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:\z_New\Team\Kim\Working Viz\2015 Data\CFO CNO Distribution_070516\"/>
    </mc:Choice>
  </mc:AlternateContent>
  <bookViews>
    <workbookView xWindow="120" yWindow="90" windowWidth="23895" windowHeight="12930"/>
  </bookViews>
  <sheets>
    <sheet name="Summary_Market_Facility" sheetId="2" r:id="rId1"/>
    <sheet name="Copy Values" sheetId="3" state="hidden" r:id="rId2"/>
    <sheet name="CustomCompareVolumesExport_0813" sheetId="1" r:id="rId3"/>
  </sheets>
  <definedNames>
    <definedName name="_xlnm._FilterDatabase" localSheetId="2" hidden="1">CustomCompareVolumesExport_0813!$A$2:$AA$1462</definedName>
    <definedName name="_xlnm.Print_Area" localSheetId="2">CustomCompareVolumesExport_0813!$C$1:$AA$518</definedName>
    <definedName name="_xlnm.Print_Area" localSheetId="0">Summary_Market_Facility!$A$1:$H$40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G5" i="2" l="1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H4" i="2"/>
  <c r="G4" i="2"/>
  <c r="G3" i="3"/>
  <c r="H3" i="3"/>
  <c r="I3" i="3"/>
  <c r="G4" i="3"/>
  <c r="H4" i="3" s="1"/>
  <c r="I4" i="3" s="1"/>
  <c r="G5" i="3"/>
  <c r="H5" i="3"/>
  <c r="I5" i="3" s="1"/>
  <c r="G6" i="3"/>
  <c r="H6" i="3"/>
  <c r="I6" i="3"/>
  <c r="G7" i="3"/>
  <c r="H7" i="3"/>
  <c r="I7" i="3"/>
  <c r="G8" i="3"/>
  <c r="H8" i="3" s="1"/>
  <c r="I8" i="3" s="1"/>
  <c r="G9" i="3"/>
  <c r="H9" i="3"/>
  <c r="I9" i="3" s="1"/>
  <c r="G10" i="3"/>
  <c r="H10" i="3"/>
  <c r="I10" i="3"/>
  <c r="G11" i="3"/>
  <c r="H11" i="3"/>
  <c r="I11" i="3"/>
  <c r="G12" i="3"/>
  <c r="H12" i="3" s="1"/>
  <c r="I12" i="3" s="1"/>
  <c r="G13" i="3"/>
  <c r="H13" i="3"/>
  <c r="I13" i="3" s="1"/>
  <c r="G14" i="3"/>
  <c r="H14" i="3"/>
  <c r="I14" i="3"/>
  <c r="G15" i="3"/>
  <c r="H15" i="3"/>
  <c r="I15" i="3"/>
  <c r="G16" i="3"/>
  <c r="H16" i="3" s="1"/>
  <c r="I16" i="3" s="1"/>
  <c r="G17" i="3"/>
  <c r="H17" i="3"/>
  <c r="I17" i="3" s="1"/>
  <c r="G18" i="3"/>
  <c r="H18" i="3"/>
  <c r="I18" i="3"/>
  <c r="G19" i="3"/>
  <c r="H19" i="3"/>
  <c r="I19" i="3"/>
  <c r="G20" i="3"/>
  <c r="H20" i="3" s="1"/>
  <c r="I20" i="3" s="1"/>
  <c r="G21" i="3"/>
  <c r="H21" i="3"/>
  <c r="I21" i="3" s="1"/>
  <c r="G22" i="3"/>
  <c r="H22" i="3"/>
  <c r="I22" i="3"/>
  <c r="G23" i="3"/>
  <c r="H23" i="3"/>
  <c r="I23" i="3"/>
  <c r="G24" i="3"/>
  <c r="H24" i="3" s="1"/>
  <c r="I24" i="3" s="1"/>
  <c r="G25" i="3"/>
  <c r="H25" i="3"/>
  <c r="I25" i="3" s="1"/>
  <c r="G26" i="3"/>
  <c r="H26" i="3"/>
  <c r="I26" i="3"/>
  <c r="G27" i="3"/>
  <c r="H27" i="3"/>
  <c r="I27" i="3"/>
  <c r="G28" i="3"/>
  <c r="H28" i="3" s="1"/>
  <c r="I28" i="3" s="1"/>
  <c r="G29" i="3"/>
  <c r="H29" i="3"/>
  <c r="I29" i="3" s="1"/>
  <c r="G30" i="3"/>
  <c r="H30" i="3"/>
  <c r="I30" i="3"/>
  <c r="G31" i="3"/>
  <c r="H31" i="3"/>
  <c r="I31" i="3"/>
  <c r="G32" i="3"/>
  <c r="H32" i="3" s="1"/>
  <c r="I32" i="3" s="1"/>
  <c r="G33" i="3"/>
  <c r="H33" i="3"/>
  <c r="I33" i="3" s="1"/>
  <c r="G34" i="3"/>
  <c r="H34" i="3"/>
  <c r="I34" i="3"/>
  <c r="G35" i="3"/>
  <c r="H35" i="3"/>
  <c r="I35" i="3"/>
  <c r="G36" i="3"/>
  <c r="H36" i="3" s="1"/>
  <c r="I36" i="3" s="1"/>
  <c r="G37" i="3"/>
  <c r="H37" i="3"/>
  <c r="I37" i="3" s="1"/>
  <c r="G38" i="3"/>
  <c r="H38" i="3"/>
  <c r="I38" i="3"/>
  <c r="I2" i="3"/>
  <c r="H2" i="3"/>
  <c r="G2" i="3"/>
  <c r="A666" i="1" l="1"/>
  <c r="A600" i="1"/>
  <c r="A1145" i="1"/>
  <c r="A601" i="1"/>
  <c r="A418" i="1" l="1"/>
  <c r="A455" i="1"/>
  <c r="A423" i="1"/>
  <c r="A445" i="1"/>
  <c r="A437" i="1"/>
  <c r="Z449" i="1"/>
  <c r="Y449" i="1" s="1"/>
  <c r="A449" i="1"/>
  <c r="Q441" i="1"/>
  <c r="Z441" i="1" s="1"/>
  <c r="A441" i="1"/>
  <c r="A1446" i="1"/>
  <c r="A435" i="1"/>
  <c r="Q450" i="1"/>
  <c r="Z450" i="1" s="1"/>
  <c r="A450" i="1"/>
  <c r="A458" i="1"/>
  <c r="Q415" i="1"/>
  <c r="Z415" i="1" s="1"/>
  <c r="AA415" i="1" s="1"/>
  <c r="A415" i="1"/>
  <c r="N409" i="1"/>
  <c r="Q409" i="1" s="1"/>
  <c r="Z409" i="1" s="1"/>
  <c r="A409" i="1"/>
  <c r="Q411" i="1"/>
  <c r="Z411" i="1" s="1"/>
  <c r="A411" i="1"/>
  <c r="A442" i="1"/>
  <c r="Q417" i="1"/>
  <c r="Z417" i="1" s="1"/>
  <c r="A417" i="1"/>
  <c r="A429" i="1"/>
  <c r="A421" i="1"/>
  <c r="A413" i="1"/>
  <c r="A456" i="1"/>
  <c r="A454" i="1"/>
  <c r="A434" i="1"/>
  <c r="A447" i="1"/>
  <c r="Q714" i="1"/>
  <c r="Z714" i="1" s="1"/>
  <c r="A714" i="1"/>
  <c r="A422" i="1"/>
  <c r="A451" i="1"/>
  <c r="A425" i="1"/>
  <c r="A444" i="1"/>
  <c r="A432" i="1"/>
  <c r="A1326" i="1"/>
  <c r="A416" i="1"/>
  <c r="A453" i="1"/>
  <c r="A439" i="1"/>
  <c r="A438" i="1"/>
  <c r="A436" i="1"/>
  <c r="A427" i="1"/>
  <c r="Z414" i="1"/>
  <c r="AA414" i="1" s="1"/>
  <c r="A414" i="1"/>
  <c r="Q457" i="1"/>
  <c r="Z457" i="1" s="1"/>
  <c r="Y457" i="1" s="1"/>
  <c r="A457" i="1"/>
  <c r="Z433" i="1"/>
  <c r="Y433" i="1" s="1"/>
  <c r="A433" i="1"/>
  <c r="Z430" i="1"/>
  <c r="Y430" i="1" s="1"/>
  <c r="A430" i="1"/>
  <c r="A410" i="1"/>
  <c r="A412" i="1"/>
  <c r="A452" i="1"/>
  <c r="A426" i="1"/>
  <c r="A443" i="1"/>
  <c r="A440" i="1"/>
  <c r="A431" i="1"/>
  <c r="A424" i="1"/>
  <c r="A420" i="1"/>
  <c r="A446" i="1"/>
  <c r="A1459" i="1"/>
  <c r="A1462" i="1"/>
  <c r="A1458" i="1"/>
  <c r="A1460" i="1"/>
  <c r="A1461" i="1"/>
  <c r="A1455" i="1"/>
  <c r="A1457" i="1"/>
  <c r="A1454" i="1"/>
  <c r="A1456" i="1"/>
  <c r="A1330" i="1"/>
  <c r="A1445" i="1"/>
  <c r="A1423" i="1"/>
  <c r="A1453" i="1"/>
  <c r="A1422" i="1"/>
  <c r="A1432" i="1"/>
  <c r="A1413" i="1"/>
  <c r="A1442" i="1"/>
  <c r="A1452" i="1"/>
  <c r="A1431" i="1"/>
  <c r="A1416" i="1"/>
  <c r="A1415" i="1"/>
  <c r="A1441" i="1"/>
  <c r="A1440" i="1"/>
  <c r="A1417" i="1"/>
  <c r="A1439" i="1"/>
  <c r="A1448" i="1"/>
  <c r="A1414" i="1"/>
  <c r="A1451" i="1"/>
  <c r="A1449" i="1"/>
  <c r="A1437" i="1"/>
  <c r="A1419" i="1"/>
  <c r="N326" i="1"/>
  <c r="Q326" i="1" s="1"/>
  <c r="Z326" i="1" s="1"/>
  <c r="A326" i="1"/>
  <c r="A1444" i="1"/>
  <c r="A1421" i="1"/>
  <c r="A1427" i="1"/>
  <c r="A1436" i="1"/>
  <c r="A1450" i="1"/>
  <c r="A1426" i="1"/>
  <c r="A1438" i="1"/>
  <c r="A1435" i="1"/>
  <c r="A1430" i="1"/>
  <c r="A1420" i="1"/>
  <c r="A1418" i="1"/>
  <c r="A1443" i="1"/>
  <c r="A1434" i="1"/>
  <c r="A1425" i="1"/>
  <c r="A1433" i="1"/>
  <c r="A1424" i="1"/>
  <c r="A1429" i="1"/>
  <c r="A1428" i="1"/>
  <c r="A1402" i="1"/>
  <c r="A1401" i="1"/>
  <c r="A1403" i="1"/>
  <c r="A1410" i="1"/>
  <c r="A1412" i="1"/>
  <c r="A1411" i="1"/>
  <c r="A1404" i="1"/>
  <c r="A1408" i="1"/>
  <c r="A1407" i="1"/>
  <c r="A1405" i="1"/>
  <c r="A1406" i="1"/>
  <c r="A1409" i="1"/>
  <c r="A1335" i="1"/>
  <c r="A1361" i="1"/>
  <c r="A1355" i="1"/>
  <c r="A1351" i="1"/>
  <c r="A1385" i="1"/>
  <c r="A1329" i="1"/>
  <c r="A1312" i="1"/>
  <c r="A1372" i="1"/>
  <c r="A1397" i="1"/>
  <c r="A1334" i="1"/>
  <c r="A1342" i="1"/>
  <c r="A1371" i="1"/>
  <c r="A1360" i="1"/>
  <c r="A1346" i="1"/>
  <c r="A1269" i="1"/>
  <c r="A1288" i="1"/>
  <c r="A1398" i="1"/>
  <c r="A1333" i="1"/>
  <c r="Q465" i="1"/>
  <c r="Z465" i="1" s="1"/>
  <c r="Y465" i="1" s="1"/>
  <c r="A465" i="1"/>
  <c r="A1311" i="1"/>
  <c r="A1350" i="1"/>
  <c r="A1366" i="1"/>
  <c r="A1384" i="1"/>
  <c r="A1345" i="1"/>
  <c r="A1316" i="1"/>
  <c r="A1370" i="1"/>
  <c r="A1380" i="1"/>
  <c r="A1315" i="1"/>
  <c r="A1332" i="1"/>
  <c r="A1331" i="1"/>
  <c r="A1391" i="1"/>
  <c r="A1379" i="1"/>
  <c r="A1365" i="1"/>
  <c r="A1310" i="1"/>
  <c r="A1359" i="1"/>
  <c r="A1378" i="1"/>
  <c r="A1325" i="1"/>
  <c r="A1396" i="1"/>
  <c r="A1390" i="1"/>
  <c r="A1358" i="1"/>
  <c r="A1369" i="1"/>
  <c r="A1395" i="1"/>
  <c r="A1400" i="1"/>
  <c r="A1364" i="1"/>
  <c r="A1399" i="1"/>
  <c r="A1324" i="1"/>
  <c r="A1377" i="1"/>
  <c r="A1349" i="1"/>
  <c r="A1314" i="1"/>
  <c r="A1319" i="1"/>
  <c r="A1344" i="1"/>
  <c r="A1354" i="1"/>
  <c r="A1357" i="1"/>
  <c r="A1356" i="1"/>
  <c r="A1389" i="1"/>
  <c r="A1323" i="1"/>
  <c r="A1388" i="1"/>
  <c r="A1322" i="1"/>
  <c r="A1387" i="1"/>
  <c r="A1368" i="1"/>
  <c r="A1394" i="1"/>
  <c r="A1367" i="1"/>
  <c r="A1343" i="1"/>
  <c r="A1374" i="1"/>
  <c r="A1348" i="1"/>
  <c r="A1363" i="1"/>
  <c r="A1353" i="1"/>
  <c r="A1318" i="1"/>
  <c r="A1352" i="1"/>
  <c r="A1313" i="1"/>
  <c r="A1341" i="1"/>
  <c r="A1317" i="1"/>
  <c r="A1383" i="1"/>
  <c r="A1382" i="1"/>
  <c r="N514" i="1"/>
  <c r="Q514" i="1" s="1"/>
  <c r="Z514" i="1" s="1"/>
  <c r="Y514" i="1" s="1"/>
  <c r="A514" i="1"/>
  <c r="A1340" i="1"/>
  <c r="A1339" i="1"/>
  <c r="A1362" i="1"/>
  <c r="A1393" i="1"/>
  <c r="A1381" i="1"/>
  <c r="A1373" i="1"/>
  <c r="A1321" i="1"/>
  <c r="A1338" i="1"/>
  <c r="A1347" i="1"/>
  <c r="A1386" i="1"/>
  <c r="A1376" i="1"/>
  <c r="A1320" i="1"/>
  <c r="A1328" i="1"/>
  <c r="A1327" i="1"/>
  <c r="A1337" i="1"/>
  <c r="A1392" i="1"/>
  <c r="A1259" i="1"/>
  <c r="A1257" i="1"/>
  <c r="A1268" i="1"/>
  <c r="A1264" i="1"/>
  <c r="A1263" i="1"/>
  <c r="A1267" i="1"/>
  <c r="A1304" i="1"/>
  <c r="A1266" i="1"/>
  <c r="A1207" i="1"/>
  <c r="A1274" i="1"/>
  <c r="A1226" i="1"/>
  <c r="A1281" i="1"/>
  <c r="A1308" i="1"/>
  <c r="A1271" i="1"/>
  <c r="A1280" i="1"/>
  <c r="A1290" i="1"/>
  <c r="A1279" i="1"/>
  <c r="A1303" i="1"/>
  <c r="A1302" i="1"/>
  <c r="A1296" i="1"/>
  <c r="A1277" i="1"/>
  <c r="A1261" i="1"/>
  <c r="A1306" i="1"/>
  <c r="A1300" i="1"/>
  <c r="A1284" i="1"/>
  <c r="A1295" i="1"/>
  <c r="A1278" i="1"/>
  <c r="A1276" i="1"/>
  <c r="A1301" i="1"/>
  <c r="A1275" i="1"/>
  <c r="A1270" i="1"/>
  <c r="A1307" i="1"/>
  <c r="A1305" i="1"/>
  <c r="A1256" i="1"/>
  <c r="A1283" i="1"/>
  <c r="A1265" i="1"/>
  <c r="A1258" i="1"/>
  <c r="A1292" i="1"/>
  <c r="A1262" i="1"/>
  <c r="A1293" i="1"/>
  <c r="A1298" i="1"/>
  <c r="A1289" i="1"/>
  <c r="A1297" i="1"/>
  <c r="A1273" i="1"/>
  <c r="A1294" i="1"/>
  <c r="A1287" i="1"/>
  <c r="A1291" i="1"/>
  <c r="A1260" i="1"/>
  <c r="A1299" i="1"/>
  <c r="A1282" i="1"/>
  <c r="A1272" i="1"/>
  <c r="A1286" i="1"/>
  <c r="A966" i="1"/>
  <c r="A1309" i="1"/>
  <c r="A1225" i="1"/>
  <c r="A1202" i="1"/>
  <c r="A1208" i="1"/>
  <c r="A1236" i="1"/>
  <c r="A1245" i="1"/>
  <c r="A1210" i="1"/>
  <c r="A1223" i="1"/>
  <c r="A1209" i="1"/>
  <c r="A1213" i="1"/>
  <c r="A1222" i="1"/>
  <c r="A1118" i="1"/>
  <c r="A1248" i="1"/>
  <c r="A1212" i="1"/>
  <c r="A1206" i="1"/>
  <c r="A1221" i="1"/>
  <c r="A1224" i="1"/>
  <c r="A1237" i="1"/>
  <c r="A1218" i="1"/>
  <c r="A1242" i="1"/>
  <c r="A1253" i="1"/>
  <c r="A1247" i="1"/>
  <c r="A1252" i="1"/>
  <c r="A1243" i="1"/>
  <c r="A1220" i="1"/>
  <c r="A1241" i="1"/>
  <c r="A1254" i="1"/>
  <c r="A1217" i="1"/>
  <c r="A1216" i="1"/>
  <c r="A1229" i="1"/>
  <c r="A1240" i="1"/>
  <c r="A1204" i="1"/>
  <c r="A1205" i="1"/>
  <c r="A1228" i="1"/>
  <c r="A1203" i="1"/>
  <c r="A1239" i="1"/>
  <c r="A1162" i="1"/>
  <c r="A1215" i="1"/>
  <c r="A1233" i="1"/>
  <c r="A1219" i="1"/>
  <c r="A1246" i="1"/>
  <c r="A1214" i="1"/>
  <c r="A1232" i="1"/>
  <c r="A1227" i="1"/>
  <c r="A1231" i="1"/>
  <c r="A1244" i="1"/>
  <c r="A1250" i="1"/>
  <c r="A1235" i="1"/>
  <c r="A1238" i="1"/>
  <c r="A1251" i="1"/>
  <c r="A1249" i="1"/>
  <c r="A1211" i="1"/>
  <c r="A1230" i="1"/>
  <c r="A1234" i="1"/>
  <c r="A1255" i="1"/>
  <c r="A1189" i="1"/>
  <c r="A1182" i="1"/>
  <c r="A1200" i="1"/>
  <c r="A1197" i="1"/>
  <c r="A1193" i="1"/>
  <c r="A1178" i="1"/>
  <c r="A1196" i="1"/>
  <c r="A1177" i="1"/>
  <c r="A1186" i="1"/>
  <c r="A1201" i="1"/>
  <c r="A1195" i="1"/>
  <c r="A1192" i="1"/>
  <c r="A1199" i="1"/>
  <c r="A1191" i="1"/>
  <c r="A1190" i="1"/>
  <c r="A1180" i="1"/>
  <c r="A1179" i="1"/>
  <c r="A1194" i="1"/>
  <c r="A1188" i="1"/>
  <c r="A1181" i="1"/>
  <c r="A1184" i="1"/>
  <c r="A1198" i="1"/>
  <c r="A1185" i="1"/>
  <c r="A1183" i="1"/>
  <c r="A1187" i="1"/>
  <c r="A1148" i="1"/>
  <c r="A1164" i="1"/>
  <c r="A1173" i="1"/>
  <c r="A1161" i="1"/>
  <c r="A1152" i="1"/>
  <c r="A1167" i="1"/>
  <c r="A1150" i="1"/>
  <c r="A1144" i="1"/>
  <c r="A1169" i="1"/>
  <c r="A1159" i="1"/>
  <c r="A383" i="1"/>
  <c r="A1166" i="1"/>
  <c r="A1156" i="1"/>
  <c r="A1168" i="1"/>
  <c r="A1158" i="1"/>
  <c r="A1171" i="1"/>
  <c r="A1155" i="1"/>
  <c r="A1170" i="1"/>
  <c r="A1172" i="1"/>
  <c r="A1160" i="1"/>
  <c r="A1154" i="1"/>
  <c r="A1163" i="1"/>
  <c r="A1147" i="1"/>
  <c r="A1175" i="1"/>
  <c r="A1153" i="1"/>
  <c r="A1146" i="1"/>
  <c r="A1165" i="1"/>
  <c r="A1174" i="1"/>
  <c r="A1149" i="1"/>
  <c r="A1151" i="1"/>
  <c r="A1176" i="1"/>
  <c r="Q1113" i="1"/>
  <c r="Z1113" i="1" s="1"/>
  <c r="AA1113" i="1" s="1"/>
  <c r="A1113" i="1"/>
  <c r="A1094" i="1"/>
  <c r="A1108" i="1"/>
  <c r="A1138" i="1"/>
  <c r="A1116" i="1"/>
  <c r="A1107" i="1"/>
  <c r="A1110" i="1"/>
  <c r="A1130" i="1"/>
  <c r="A1123" i="1"/>
  <c r="A1141" i="1"/>
  <c r="A1104" i="1"/>
  <c r="A1132" i="1"/>
  <c r="A1122" i="1"/>
  <c r="A1134" i="1"/>
  <c r="A1040" i="1"/>
  <c r="A1103" i="1"/>
  <c r="A1112" i="1"/>
  <c r="A1121" i="1"/>
  <c r="A1129" i="1"/>
  <c r="A1136" i="1"/>
  <c r="A1115" i="1"/>
  <c r="A1128" i="1"/>
  <c r="A1126" i="1"/>
  <c r="A1097" i="1"/>
  <c r="A1120" i="1"/>
  <c r="A1099" i="1"/>
  <c r="A1114" i="1"/>
  <c r="A1119" i="1"/>
  <c r="A1100" i="1"/>
  <c r="A1106" i="1"/>
  <c r="A1125" i="1"/>
  <c r="A1109" i="1"/>
  <c r="A1096" i="1"/>
  <c r="A1133" i="1"/>
  <c r="A1117" i="1"/>
  <c r="A1105" i="1"/>
  <c r="A1102" i="1"/>
  <c r="A1098" i="1"/>
  <c r="A1143" i="1"/>
  <c r="A1137" i="1"/>
  <c r="A1101" i="1"/>
  <c r="A1142" i="1"/>
  <c r="A1124" i="1"/>
  <c r="A1139" i="1"/>
  <c r="A1095" i="1"/>
  <c r="A1131" i="1"/>
  <c r="A1127" i="1"/>
  <c r="A1111" i="1"/>
  <c r="A1447" i="1"/>
  <c r="A1135" i="1"/>
  <c r="A1092" i="1"/>
  <c r="A1093" i="1"/>
  <c r="A1059" i="1"/>
  <c r="A1074" i="1"/>
  <c r="A1088" i="1"/>
  <c r="A1048" i="1"/>
  <c r="Z1081" i="1"/>
  <c r="AA1081" i="1" s="1"/>
  <c r="A1081" i="1"/>
  <c r="A1076" i="1"/>
  <c r="A1063" i="1"/>
  <c r="Q1085" i="1"/>
  <c r="Z1085" i="1" s="1"/>
  <c r="Y1085" i="1" s="1"/>
  <c r="A1085" i="1"/>
  <c r="A1091" i="1"/>
  <c r="Z1084" i="1"/>
  <c r="AA1084" i="1" s="1"/>
  <c r="A1084" i="1"/>
  <c r="A1064" i="1"/>
  <c r="A1068" i="1"/>
  <c r="Z1072" i="1"/>
  <c r="AA1072" i="1" s="1"/>
  <c r="A1072" i="1"/>
  <c r="Z1052" i="1"/>
  <c r="AA1052" i="1" s="1"/>
  <c r="A1052" i="1"/>
  <c r="Z1066" i="1"/>
  <c r="AA1066" i="1" s="1"/>
  <c r="A1066" i="1"/>
  <c r="A1071" i="1"/>
  <c r="A1080" i="1"/>
  <c r="A1073" i="1"/>
  <c r="A1062" i="1"/>
  <c r="A1075" i="1"/>
  <c r="A1060" i="1"/>
  <c r="A1047" i="1"/>
  <c r="Q1083" i="1"/>
  <c r="Z1083" i="1" s="1"/>
  <c r="P1083" i="1"/>
  <c r="A1083" i="1"/>
  <c r="A1058" i="1"/>
  <c r="Q1070" i="1"/>
  <c r="Z1070" i="1" s="1"/>
  <c r="A1070" i="1"/>
  <c r="A1054" i="1"/>
  <c r="A1049" i="1"/>
  <c r="A1057" i="1"/>
  <c r="A1056" i="1"/>
  <c r="A1089" i="1"/>
  <c r="A1078" i="1"/>
  <c r="A1086" i="1"/>
  <c r="A1077" i="1"/>
  <c r="A1053" i="1"/>
  <c r="A1067" i="1"/>
  <c r="A1090" i="1"/>
  <c r="A1082" i="1"/>
  <c r="A1061" i="1"/>
  <c r="A1051" i="1"/>
  <c r="A1079" i="1"/>
  <c r="A1065" i="1"/>
  <c r="A1087" i="1"/>
  <c r="A1069" i="1"/>
  <c r="A1050" i="1"/>
  <c r="Z1055" i="1"/>
  <c r="AA1055" i="1" s="1"/>
  <c r="A1055" i="1"/>
  <c r="A995" i="1"/>
  <c r="A1000" i="1"/>
  <c r="A999" i="1"/>
  <c r="A994" i="1"/>
  <c r="A1003" i="1"/>
  <c r="A986" i="1"/>
  <c r="A975" i="1"/>
  <c r="A1007" i="1"/>
  <c r="A1023" i="1"/>
  <c r="Z1011" i="1"/>
  <c r="A1011" i="1"/>
  <c r="A1043" i="1"/>
  <c r="A1036" i="1"/>
  <c r="A1037" i="1"/>
  <c r="A981" i="1"/>
  <c r="A1035" i="1"/>
  <c r="A1002" i="1"/>
  <c r="A980" i="1"/>
  <c r="A993" i="1"/>
  <c r="A865" i="1"/>
  <c r="A913" i="1"/>
  <c r="A1026" i="1"/>
  <c r="Z998" i="1"/>
  <c r="Y998" i="1" s="1"/>
  <c r="A998" i="1"/>
  <c r="A1020" i="1"/>
  <c r="A1006" i="1"/>
  <c r="A1034" i="1"/>
  <c r="A1015" i="1"/>
  <c r="A1029" i="1"/>
  <c r="A1041" i="1"/>
  <c r="A997" i="1"/>
  <c r="Q1019" i="1"/>
  <c r="Z1019" i="1" s="1"/>
  <c r="A1019" i="1"/>
  <c r="A1044" i="1"/>
  <c r="A992" i="1"/>
  <c r="A985" i="1"/>
  <c r="A1005" i="1"/>
  <c r="Z979" i="1"/>
  <c r="AA979" i="1" s="1"/>
  <c r="A979" i="1"/>
  <c r="A1004" i="1"/>
  <c r="A1014" i="1"/>
  <c r="A978" i="1"/>
  <c r="A991" i="1"/>
  <c r="A1039" i="1"/>
  <c r="A1013" i="1"/>
  <c r="A1012" i="1"/>
  <c r="A990" i="1"/>
  <c r="A1018" i="1"/>
  <c r="A1046" i="1"/>
  <c r="A1030" i="1"/>
  <c r="A1022" i="1"/>
  <c r="A1038" i="1"/>
  <c r="A1045" i="1"/>
  <c r="A977" i="1"/>
  <c r="A1025" i="1"/>
  <c r="A976" i="1"/>
  <c r="A996" i="1"/>
  <c r="A1017" i="1"/>
  <c r="A1010" i="1"/>
  <c r="A1028" i="1"/>
  <c r="A1009" i="1"/>
  <c r="A1033" i="1"/>
  <c r="Q1021" i="1"/>
  <c r="Z1021" i="1" s="1"/>
  <c r="A1021" i="1"/>
  <c r="Q1032" i="1"/>
  <c r="Z1032" i="1" s="1"/>
  <c r="AA1032" i="1" s="1"/>
  <c r="A1032" i="1"/>
  <c r="A989" i="1"/>
  <c r="A1001" i="1"/>
  <c r="A1008" i="1"/>
  <c r="A984" i="1"/>
  <c r="Q1027" i="1"/>
  <c r="Z1027" i="1" s="1"/>
  <c r="A1027" i="1"/>
  <c r="A974" i="1"/>
  <c r="A988" i="1"/>
  <c r="A1042" i="1"/>
  <c r="A973" i="1"/>
  <c r="A1024" i="1"/>
  <c r="A972" i="1"/>
  <c r="N1157" i="1"/>
  <c r="A1157" i="1"/>
  <c r="A983" i="1"/>
  <c r="Q987" i="1"/>
  <c r="Z987" i="1" s="1"/>
  <c r="A987" i="1"/>
  <c r="A1016" i="1"/>
  <c r="Z971" i="1"/>
  <c r="A971" i="1"/>
  <c r="A1031" i="1"/>
  <c r="N260" i="1"/>
  <c r="Q260" i="1" s="1"/>
  <c r="Z260" i="1" s="1"/>
  <c r="Y260" i="1" s="1"/>
  <c r="A260" i="1"/>
  <c r="A949" i="1"/>
  <c r="A948" i="1"/>
  <c r="A967" i="1"/>
  <c r="A936" i="1"/>
  <c r="A931" i="1"/>
  <c r="A959" i="1"/>
  <c r="A939" i="1"/>
  <c r="A919" i="1"/>
  <c r="A947" i="1"/>
  <c r="A938" i="1"/>
  <c r="A946" i="1"/>
  <c r="A935" i="1"/>
  <c r="A955" i="1"/>
  <c r="A958" i="1"/>
  <c r="A954" i="1"/>
  <c r="A905" i="1"/>
  <c r="A970" i="1"/>
  <c r="A912" i="1"/>
  <c r="A798" i="1"/>
  <c r="A930" i="1"/>
  <c r="A945" i="1"/>
  <c r="A904" i="1"/>
  <c r="A918" i="1"/>
  <c r="A944" i="1"/>
  <c r="A968" i="1"/>
  <c r="A963" i="1"/>
  <c r="A965" i="1"/>
  <c r="A953" i="1"/>
  <c r="A923" i="1"/>
  <c r="A964" i="1"/>
  <c r="A962" i="1"/>
  <c r="A943" i="1"/>
  <c r="A934" i="1"/>
  <c r="A898" i="1"/>
  <c r="A957" i="1"/>
  <c r="A927" i="1"/>
  <c r="A926" i="1"/>
  <c r="A922" i="1"/>
  <c r="A917" i="1"/>
  <c r="A897" i="1"/>
  <c r="A902" i="1"/>
  <c r="A899" i="1"/>
  <c r="A908" i="1"/>
  <c r="A921" i="1"/>
  <c r="A916" i="1"/>
  <c r="A933" i="1"/>
  <c r="A925" i="1"/>
  <c r="A960" i="1"/>
  <c r="A937" i="1"/>
  <c r="A907" i="1"/>
  <c r="A932" i="1"/>
  <c r="A900" i="1"/>
  <c r="A920" i="1"/>
  <c r="A952" i="1"/>
  <c r="A929" i="1"/>
  <c r="A942" i="1"/>
  <c r="A961" i="1"/>
  <c r="A941" i="1"/>
  <c r="A915" i="1"/>
  <c r="A911" i="1"/>
  <c r="A951" i="1"/>
  <c r="A924" i="1"/>
  <c r="A914" i="1"/>
  <c r="A901" i="1"/>
  <c r="A969" i="1"/>
  <c r="A910" i="1"/>
  <c r="A909" i="1"/>
  <c r="A956" i="1"/>
  <c r="A928" i="1"/>
  <c r="A940" i="1"/>
  <c r="A950" i="1"/>
  <c r="A903" i="1"/>
  <c r="A906" i="1"/>
  <c r="A893" i="1"/>
  <c r="A859" i="1"/>
  <c r="A896" i="1"/>
  <c r="A878" i="1"/>
  <c r="A851" i="1"/>
  <c r="A879" i="1"/>
  <c r="A881" i="1"/>
  <c r="A867" i="1"/>
  <c r="A1375" i="1"/>
  <c r="A871" i="1"/>
  <c r="A856" i="1"/>
  <c r="A870" i="1"/>
  <c r="A869" i="1"/>
  <c r="A888" i="1"/>
  <c r="A895" i="1"/>
  <c r="A863" i="1"/>
  <c r="A891" i="1"/>
  <c r="A877" i="1"/>
  <c r="A862" i="1"/>
  <c r="A892" i="1"/>
  <c r="A884" i="1"/>
  <c r="A886" i="1"/>
  <c r="A854" i="1"/>
  <c r="A858" i="1"/>
  <c r="A852" i="1"/>
  <c r="A894" i="1"/>
  <c r="A857" i="1"/>
  <c r="A880" i="1"/>
  <c r="A864" i="1"/>
  <c r="A889" i="1"/>
  <c r="A890" i="1"/>
  <c r="A861" i="1"/>
  <c r="A855" i="1"/>
  <c r="A887" i="1"/>
  <c r="A876" i="1"/>
  <c r="Z860" i="1"/>
  <c r="AA860" i="1" s="1"/>
  <c r="A860" i="1"/>
  <c r="A885" i="1"/>
  <c r="A875" i="1"/>
  <c r="A853" i="1"/>
  <c r="A868" i="1"/>
  <c r="A873" i="1"/>
  <c r="A874" i="1"/>
  <c r="A850" i="1"/>
  <c r="A883" i="1"/>
  <c r="A872" i="1"/>
  <c r="A866" i="1"/>
  <c r="A848" i="1"/>
  <c r="A842" i="1"/>
  <c r="A849" i="1"/>
  <c r="A847" i="1"/>
  <c r="A845" i="1"/>
  <c r="A830" i="1"/>
  <c r="A843" i="1"/>
  <c r="A840" i="1"/>
  <c r="A846" i="1"/>
  <c r="A839" i="1"/>
  <c r="A844" i="1"/>
  <c r="A841" i="1"/>
  <c r="A780" i="1"/>
  <c r="A836" i="1"/>
  <c r="A827" i="1"/>
  <c r="A835" i="1"/>
  <c r="A833" i="1"/>
  <c r="A831" i="1"/>
  <c r="A771" i="1"/>
  <c r="A829" i="1"/>
  <c r="A838" i="1"/>
  <c r="A832" i="1"/>
  <c r="A828" i="1"/>
  <c r="A837" i="1"/>
  <c r="A821" i="1"/>
  <c r="A792" i="1"/>
  <c r="A811" i="1"/>
  <c r="A810" i="1"/>
  <c r="A791" i="1"/>
  <c r="A823" i="1"/>
  <c r="A786" i="1"/>
  <c r="N1140" i="1"/>
  <c r="Q1140" i="1" s="1"/>
  <c r="Z1140" i="1" s="1"/>
  <c r="A1140" i="1"/>
  <c r="A797" i="1"/>
  <c r="A770" i="1"/>
  <c r="A812" i="1"/>
  <c r="A809" i="1"/>
  <c r="A790" i="1"/>
  <c r="A775" i="1"/>
  <c r="A796" i="1"/>
  <c r="A789" i="1"/>
  <c r="A795" i="1"/>
  <c r="A824" i="1"/>
  <c r="A779" i="1"/>
  <c r="A822" i="1"/>
  <c r="A793" i="1"/>
  <c r="A808" i="1"/>
  <c r="A816" i="1"/>
  <c r="A785" i="1"/>
  <c r="A784" i="1"/>
  <c r="A820" i="1"/>
  <c r="A804" i="1"/>
  <c r="A768" i="1"/>
  <c r="A803" i="1"/>
  <c r="A788" i="1"/>
  <c r="A778" i="1"/>
  <c r="A825" i="1"/>
  <c r="A802" i="1"/>
  <c r="A815" i="1"/>
  <c r="A783" i="1"/>
  <c r="A774" i="1"/>
  <c r="A777" i="1"/>
  <c r="A819" i="1"/>
  <c r="A782" i="1"/>
  <c r="A818" i="1"/>
  <c r="A807" i="1"/>
  <c r="A794" i="1"/>
  <c r="A787" i="1"/>
  <c r="A801" i="1"/>
  <c r="A826" i="1"/>
  <c r="A773" i="1"/>
  <c r="A806" i="1"/>
  <c r="A814" i="1"/>
  <c r="A800" i="1"/>
  <c r="A817" i="1"/>
  <c r="A760" i="1"/>
  <c r="A769" i="1"/>
  <c r="A765" i="1"/>
  <c r="A776" i="1"/>
  <c r="A799" i="1"/>
  <c r="A813" i="1"/>
  <c r="A781" i="1"/>
  <c r="A767" i="1"/>
  <c r="A772" i="1"/>
  <c r="A805" i="1"/>
  <c r="Z734" i="1"/>
  <c r="AA734" i="1" s="1"/>
  <c r="A734" i="1"/>
  <c r="A725" i="1"/>
  <c r="A752" i="1"/>
  <c r="A748" i="1"/>
  <c r="Z758" i="1"/>
  <c r="Y758" i="1" s="1"/>
  <c r="A758" i="1"/>
  <c r="A755" i="1"/>
  <c r="A747" i="1"/>
  <c r="A753" i="1"/>
  <c r="A761" i="1"/>
  <c r="Z751" i="1"/>
  <c r="Y751" i="1" s="1"/>
  <c r="A751" i="1"/>
  <c r="A762" i="1"/>
  <c r="A763" i="1"/>
  <c r="A641" i="1"/>
  <c r="Z750" i="1"/>
  <c r="A750" i="1"/>
  <c r="A764" i="1"/>
  <c r="A757" i="1"/>
  <c r="A749" i="1"/>
  <c r="A754" i="1"/>
  <c r="A756" i="1"/>
  <c r="A759" i="1"/>
  <c r="A638" i="1"/>
  <c r="Z728" i="1"/>
  <c r="AA728" i="1" s="1"/>
  <c r="A728" i="1"/>
  <c r="A732" i="1"/>
  <c r="A738" i="1"/>
  <c r="A731" i="1"/>
  <c r="A723" i="1"/>
  <c r="A706" i="1"/>
  <c r="A737" i="1"/>
  <c r="A717" i="1"/>
  <c r="A722" i="1"/>
  <c r="A742" i="1"/>
  <c r="A736" i="1"/>
  <c r="A733" i="1"/>
  <c r="Z882" i="1"/>
  <c r="AA882" i="1" s="1"/>
  <c r="A882" i="1"/>
  <c r="Z716" i="1"/>
  <c r="AA716" i="1" s="1"/>
  <c r="A716" i="1"/>
  <c r="A727" i="1"/>
  <c r="Z744" i="1"/>
  <c r="AA744" i="1" s="1"/>
  <c r="A744" i="1"/>
  <c r="A712" i="1"/>
  <c r="A715" i="1"/>
  <c r="A711" i="1"/>
  <c r="A729" i="1"/>
  <c r="Q544" i="1"/>
  <c r="Z544" i="1" s="1"/>
  <c r="A544" i="1"/>
  <c r="A721" i="1"/>
  <c r="A710" i="1"/>
  <c r="A718" i="1"/>
  <c r="A735" i="1"/>
  <c r="A585" i="1"/>
  <c r="A713" i="1"/>
  <c r="A724" i="1"/>
  <c r="Z739" i="1"/>
  <c r="AA739" i="1" s="1"/>
  <c r="A739" i="1"/>
  <c r="N720" i="1"/>
  <c r="Q720" i="1" s="1"/>
  <c r="Z720" i="1" s="1"/>
  <c r="A720" i="1"/>
  <c r="A743" i="1"/>
  <c r="A709" i="1"/>
  <c r="Z746" i="1"/>
  <c r="AA746" i="1" s="1"/>
  <c r="A746" i="1"/>
  <c r="A705" i="1"/>
  <c r="Z704" i="1"/>
  <c r="A704" i="1"/>
  <c r="A730" i="1"/>
  <c r="A745" i="1"/>
  <c r="Z726" i="1"/>
  <c r="AA726" i="1" s="1"/>
  <c r="A726" i="1"/>
  <c r="A708" i="1"/>
  <c r="Z707" i="1"/>
  <c r="AA707" i="1" s="1"/>
  <c r="A707" i="1"/>
  <c r="A741" i="1"/>
  <c r="A719" i="1"/>
  <c r="A740" i="1"/>
  <c r="A698" i="1"/>
  <c r="A701" i="1"/>
  <c r="A679" i="1"/>
  <c r="A674" i="1"/>
  <c r="A673" i="1"/>
  <c r="A686" i="1"/>
  <c r="A694" i="1"/>
  <c r="A693" i="1"/>
  <c r="A696" i="1"/>
  <c r="A681" i="1"/>
  <c r="A671" i="1"/>
  <c r="A670" i="1"/>
  <c r="A691" i="1"/>
  <c r="A685" i="1"/>
  <c r="A684" i="1"/>
  <c r="A682" i="1"/>
  <c r="A692" i="1"/>
  <c r="A702" i="1"/>
  <c r="A677" i="1"/>
  <c r="A676" i="1"/>
  <c r="A678" i="1"/>
  <c r="A672" i="1"/>
  <c r="A687" i="1"/>
  <c r="A688" i="1"/>
  <c r="A700" i="1"/>
  <c r="A699" i="1"/>
  <c r="A683" i="1"/>
  <c r="A690" i="1"/>
  <c r="A675" i="1"/>
  <c r="A667" i="1"/>
  <c r="A689" i="1"/>
  <c r="A697" i="1"/>
  <c r="A680" i="1"/>
  <c r="A668" i="1"/>
  <c r="A669" i="1"/>
  <c r="A695" i="1"/>
  <c r="A602" i="1"/>
  <c r="A655" i="1"/>
  <c r="A608" i="1"/>
  <c r="A649" i="1"/>
  <c r="A651" i="1"/>
  <c r="A640" i="1"/>
  <c r="A613" i="1"/>
  <c r="A622" i="1"/>
  <c r="A628" i="1"/>
  <c r="A660" i="1"/>
  <c r="A653" i="1"/>
  <c r="A659" i="1"/>
  <c r="A610" i="1"/>
  <c r="A664" i="1"/>
  <c r="A658" i="1"/>
  <c r="A644" i="1"/>
  <c r="A645" i="1"/>
  <c r="A618" i="1"/>
  <c r="A654" i="1"/>
  <c r="A633" i="1"/>
  <c r="A620" i="1"/>
  <c r="A663" i="1"/>
  <c r="A607" i="1"/>
  <c r="A639" i="1"/>
  <c r="A661" i="1"/>
  <c r="A631" i="1"/>
  <c r="A623" i="1"/>
  <c r="A632" i="1"/>
  <c r="A656" i="1"/>
  <c r="A605" i="1"/>
  <c r="A612" i="1"/>
  <c r="A609" i="1"/>
  <c r="A637" i="1"/>
  <c r="Z68" i="1"/>
  <c r="AA68" i="1" s="1"/>
  <c r="A68" i="1"/>
  <c r="A502" i="1"/>
  <c r="A648" i="1"/>
  <c r="Q603" i="1"/>
  <c r="Z603" i="1" s="1"/>
  <c r="Y603" i="1" s="1"/>
  <c r="A603" i="1"/>
  <c r="A494" i="1"/>
  <c r="A629" i="1"/>
  <c r="A616" i="1"/>
  <c r="A647" i="1"/>
  <c r="A619" i="1"/>
  <c r="A650" i="1"/>
  <c r="A630" i="1"/>
  <c r="Z642" i="1"/>
  <c r="AA642" i="1" s="1"/>
  <c r="A642" i="1"/>
  <c r="A634" i="1"/>
  <c r="A662" i="1"/>
  <c r="A606" i="1"/>
  <c r="Z665" i="1"/>
  <c r="A665" i="1"/>
  <c r="A624" i="1"/>
  <c r="A611" i="1"/>
  <c r="A621" i="1"/>
  <c r="A657" i="1"/>
  <c r="A604" i="1"/>
  <c r="A614" i="1"/>
  <c r="Z643" i="1"/>
  <c r="AA643" i="1" s="1"/>
  <c r="A643" i="1"/>
  <c r="A636" i="1"/>
  <c r="A646" i="1"/>
  <c r="A635" i="1"/>
  <c r="A625" i="1"/>
  <c r="A615" i="1"/>
  <c r="A626" i="1"/>
  <c r="Q652" i="1"/>
  <c r="Z652" i="1" s="1"/>
  <c r="A652" i="1"/>
  <c r="Q627" i="1"/>
  <c r="Z627" i="1" s="1"/>
  <c r="Y627" i="1" s="1"/>
  <c r="A627" i="1"/>
  <c r="A552" i="1"/>
  <c r="A539" i="1"/>
  <c r="A538" i="1"/>
  <c r="Q554" i="1"/>
  <c r="Z554" i="1" s="1"/>
  <c r="Y554" i="1" s="1"/>
  <c r="A554" i="1"/>
  <c r="Q584" i="1"/>
  <c r="Z584" i="1" s="1"/>
  <c r="A584" i="1"/>
  <c r="A593" i="1"/>
  <c r="A560" i="1"/>
  <c r="A575" i="1"/>
  <c r="A291" i="1"/>
  <c r="A589" i="1"/>
  <c r="Q543" i="1"/>
  <c r="Z543" i="1" s="1"/>
  <c r="A543" i="1"/>
  <c r="Q577" i="1"/>
  <c r="Z577" i="1" s="1"/>
  <c r="Y577" i="1" s="1"/>
  <c r="A577" i="1"/>
  <c r="A567" i="1"/>
  <c r="A566" i="1"/>
  <c r="A556" i="1"/>
  <c r="A555" i="1"/>
  <c r="A588" i="1"/>
  <c r="A576" i="1"/>
  <c r="A551" i="1"/>
  <c r="A559" i="1"/>
  <c r="A578" i="1"/>
  <c r="A532" i="1"/>
  <c r="A574" i="1"/>
  <c r="A583" i="1"/>
  <c r="A537" i="1"/>
  <c r="A550" i="1"/>
  <c r="A573" i="1"/>
  <c r="A570" i="1"/>
  <c r="A592" i="1"/>
  <c r="A564" i="1"/>
  <c r="Z563" i="1"/>
  <c r="A563" i="1"/>
  <c r="A582" i="1"/>
  <c r="A598" i="1"/>
  <c r="A581" i="1"/>
  <c r="A561" i="1"/>
  <c r="A599" i="1"/>
  <c r="A572" i="1"/>
  <c r="A562" i="1"/>
  <c r="A536" i="1"/>
  <c r="A542" i="1"/>
  <c r="A596" i="1"/>
  <c r="A553" i="1"/>
  <c r="A547" i="1"/>
  <c r="A467" i="1"/>
  <c r="A448" i="1"/>
  <c r="A549" i="1"/>
  <c r="A594" i="1"/>
  <c r="A580" i="1"/>
  <c r="A597" i="1"/>
  <c r="A558" i="1"/>
  <c r="A590" i="1"/>
  <c r="A541" i="1"/>
  <c r="Q546" i="1"/>
  <c r="Z546" i="1" s="1"/>
  <c r="Y546" i="1" s="1"/>
  <c r="A546" i="1"/>
  <c r="A587" i="1"/>
  <c r="A531" i="1"/>
  <c r="A548" i="1"/>
  <c r="A591" i="1"/>
  <c r="A569" i="1"/>
  <c r="A586" i="1"/>
  <c r="A579" i="1"/>
  <c r="A571" i="1"/>
  <c r="A535" i="1"/>
  <c r="A534" i="1"/>
  <c r="A540" i="1"/>
  <c r="A533" i="1"/>
  <c r="A545" i="1"/>
  <c r="A530" i="1"/>
  <c r="Q568" i="1"/>
  <c r="Z568" i="1" s="1"/>
  <c r="A568" i="1"/>
  <c r="A557" i="1"/>
  <c r="A565" i="1"/>
  <c r="A504" i="1"/>
  <c r="A526" i="1"/>
  <c r="A501" i="1"/>
  <c r="A528" i="1"/>
  <c r="A515" i="1"/>
  <c r="N54" i="1"/>
  <c r="Q54" i="1" s="1"/>
  <c r="Z54" i="1" s="1"/>
  <c r="A54" i="1"/>
  <c r="A512" i="1"/>
  <c r="A519" i="1"/>
  <c r="A522" i="1"/>
  <c r="A524" i="1"/>
  <c r="A517" i="1"/>
  <c r="Z511" i="1"/>
  <c r="AA511" i="1" s="1"/>
  <c r="A511" i="1"/>
  <c r="Z527" i="1"/>
  <c r="AA527" i="1" s="1"/>
  <c r="A527" i="1"/>
  <c r="A510" i="1"/>
  <c r="A516" i="1"/>
  <c r="A521" i="1"/>
  <c r="A509" i="1"/>
  <c r="A508" i="1"/>
  <c r="A428" i="1"/>
  <c r="A523" i="1"/>
  <c r="A507" i="1"/>
  <c r="A506" i="1"/>
  <c r="A525" i="1"/>
  <c r="A529" i="1"/>
  <c r="A500" i="1"/>
  <c r="A520" i="1"/>
  <c r="A505" i="1"/>
  <c r="A503" i="1"/>
  <c r="Z513" i="1"/>
  <c r="AA513" i="1" s="1"/>
  <c r="A513" i="1"/>
  <c r="A518" i="1"/>
  <c r="A488" i="1"/>
  <c r="A498" i="1"/>
  <c r="A492" i="1"/>
  <c r="A495" i="1"/>
  <c r="A493" i="1"/>
  <c r="A499" i="1"/>
  <c r="A491" i="1"/>
  <c r="A489" i="1"/>
  <c r="Q382" i="1"/>
  <c r="Z382" i="1" s="1"/>
  <c r="AA382" i="1" s="1"/>
  <c r="A382" i="1"/>
  <c r="A497" i="1"/>
  <c r="A490" i="1"/>
  <c r="A496" i="1"/>
  <c r="Z464" i="1"/>
  <c r="AA464" i="1" s="1"/>
  <c r="A464" i="1"/>
  <c r="A478" i="1"/>
  <c r="A487" i="1"/>
  <c r="A462" i="1"/>
  <c r="A484" i="1"/>
  <c r="Q474" i="1"/>
  <c r="Z474" i="1" s="1"/>
  <c r="A474" i="1"/>
  <c r="A469" i="1"/>
  <c r="A468" i="1"/>
  <c r="Z459" i="1"/>
  <c r="AA459" i="1" s="1"/>
  <c r="A459" i="1"/>
  <c r="A471" i="1"/>
  <c r="Z479" i="1"/>
  <c r="AA479" i="1" s="1"/>
  <c r="A479" i="1"/>
  <c r="Q477" i="1"/>
  <c r="Z477" i="1" s="1"/>
  <c r="A477" i="1"/>
  <c r="A481" i="1"/>
  <c r="A480" i="1"/>
  <c r="A461" i="1"/>
  <c r="A475" i="1"/>
  <c r="A486" i="1"/>
  <c r="A473" i="1"/>
  <c r="A460" i="1"/>
  <c r="A483" i="1"/>
  <c r="A834" i="1"/>
  <c r="Q419" i="1"/>
  <c r="Z419" i="1" s="1"/>
  <c r="Y419" i="1" s="1"/>
  <c r="A419" i="1"/>
  <c r="A476" i="1"/>
  <c r="A482" i="1"/>
  <c r="Q472" i="1"/>
  <c r="Z472" i="1" s="1"/>
  <c r="A472" i="1"/>
  <c r="A463" i="1"/>
  <c r="A470" i="1"/>
  <c r="A485" i="1"/>
  <c r="A466" i="1"/>
  <c r="A703" i="1"/>
  <c r="A341" i="1"/>
  <c r="A321" i="1"/>
  <c r="A376" i="1"/>
  <c r="A377" i="1"/>
  <c r="A368" i="1"/>
  <c r="A397" i="1"/>
  <c r="Q386" i="1"/>
  <c r="Z386" i="1" s="1"/>
  <c r="A386" i="1"/>
  <c r="A1285" i="1"/>
  <c r="A356" i="1"/>
  <c r="A366" i="1"/>
  <c r="A406" i="1"/>
  <c r="A404" i="1"/>
  <c r="Q385" i="1"/>
  <c r="Z385" i="1" s="1"/>
  <c r="AA385" i="1" s="1"/>
  <c r="A385" i="1"/>
  <c r="A360" i="1"/>
  <c r="A367" i="1"/>
  <c r="A354" i="1"/>
  <c r="A373" i="1"/>
  <c r="A401" i="1"/>
  <c r="A396" i="1"/>
  <c r="A400" i="1"/>
  <c r="A380" i="1"/>
  <c r="A375" i="1"/>
  <c r="Q379" i="1"/>
  <c r="Z379" i="1" s="1"/>
  <c r="Y379" i="1" s="1"/>
  <c r="A379" i="1"/>
  <c r="A359" i="1"/>
  <c r="A389" i="1"/>
  <c r="A399" i="1"/>
  <c r="A353" i="1"/>
  <c r="A407" i="1"/>
  <c r="A388" i="1"/>
  <c r="A387" i="1"/>
  <c r="A370" i="1"/>
  <c r="A378" i="1"/>
  <c r="A381" i="1"/>
  <c r="A364" i="1"/>
  <c r="A398" i="1"/>
  <c r="A363" i="1"/>
  <c r="A362" i="1"/>
  <c r="Q369" i="1"/>
  <c r="Z369" i="1" s="1"/>
  <c r="A369" i="1"/>
  <c r="A352" i="1"/>
  <c r="A372" i="1"/>
  <c r="A384" i="1"/>
  <c r="A371" i="1"/>
  <c r="A405" i="1"/>
  <c r="A393" i="1"/>
  <c r="A355" i="1"/>
  <c r="A365" i="1"/>
  <c r="A395" i="1"/>
  <c r="A361" i="1"/>
  <c r="A402" i="1"/>
  <c r="A374" i="1"/>
  <c r="Q358" i="1"/>
  <c r="Z358" i="1" s="1"/>
  <c r="Y358" i="1" s="1"/>
  <c r="A358" i="1"/>
  <c r="A351" i="1"/>
  <c r="A408" i="1"/>
  <c r="A357" i="1"/>
  <c r="A390" i="1"/>
  <c r="A394" i="1"/>
  <c r="Q392" i="1"/>
  <c r="Z392" i="1" s="1"/>
  <c r="AA392" i="1" s="1"/>
  <c r="A392" i="1"/>
  <c r="A350" i="1"/>
  <c r="A340" i="1"/>
  <c r="A338" i="1"/>
  <c r="A336" i="1"/>
  <c r="A335" i="1"/>
  <c r="A345" i="1"/>
  <c r="A339" i="1"/>
  <c r="A349" i="1"/>
  <c r="A342" i="1"/>
  <c r="A347" i="1"/>
  <c r="A331" i="1"/>
  <c r="A334" i="1"/>
  <c r="A348" i="1"/>
  <c r="A332" i="1"/>
  <c r="A333" i="1"/>
  <c r="A337" i="1"/>
  <c r="A343" i="1"/>
  <c r="A346" i="1"/>
  <c r="A344" i="1"/>
  <c r="Q403" i="1"/>
  <c r="Z403" i="1" s="1"/>
  <c r="AA403" i="1" s="1"/>
  <c r="A403" i="1"/>
  <c r="A324" i="1"/>
  <c r="A317" i="1"/>
  <c r="A320" i="1"/>
  <c r="A323" i="1"/>
  <c r="A319" i="1"/>
  <c r="A328" i="1"/>
  <c r="Z312" i="1"/>
  <c r="Y312" i="1" s="1"/>
  <c r="A312" i="1"/>
  <c r="Z322" i="1"/>
  <c r="Y322" i="1" s="1"/>
  <c r="A322" i="1"/>
  <c r="A310" i="1"/>
  <c r="A313" i="1"/>
  <c r="A316" i="1"/>
  <c r="Z318" i="1"/>
  <c r="Y318" i="1" s="1"/>
  <c r="A318" i="1"/>
  <c r="A314" i="1"/>
  <c r="A309" i="1"/>
  <c r="A315" i="1"/>
  <c r="A311" i="1"/>
  <c r="A327" i="1"/>
  <c r="A330" i="1"/>
  <c r="Z766" i="1"/>
  <c r="AA766" i="1" s="1"/>
  <c r="A766" i="1"/>
  <c r="A308" i="1"/>
  <c r="A307" i="1"/>
  <c r="A325" i="1"/>
  <c r="A285" i="1"/>
  <c r="Z329" i="1"/>
  <c r="AA329" i="1" s="1"/>
  <c r="A329" i="1"/>
  <c r="A305" i="1"/>
  <c r="A293" i="1"/>
  <c r="A302" i="1"/>
  <c r="A298" i="1"/>
  <c r="A301" i="1"/>
  <c r="A274" i="1"/>
  <c r="A295" i="1"/>
  <c r="A303" i="1"/>
  <c r="A280" i="1"/>
  <c r="A304" i="1"/>
  <c r="A294" i="1"/>
  <c r="A282" i="1"/>
  <c r="A284" i="1"/>
  <c r="A299" i="1"/>
  <c r="A290" i="1"/>
  <c r="A296" i="1"/>
  <c r="A306" i="1"/>
  <c r="A289" i="1"/>
  <c r="A278" i="1"/>
  <c r="A288" i="1"/>
  <c r="A273" i="1"/>
  <c r="A275" i="1"/>
  <c r="A286" i="1"/>
  <c r="A287" i="1"/>
  <c r="A283" i="1"/>
  <c r="A281" i="1"/>
  <c r="A297" i="1"/>
  <c r="A272" i="1"/>
  <c r="Q226" i="1"/>
  <c r="Z226" i="1" s="1"/>
  <c r="AA226" i="1" s="1"/>
  <c r="A226" i="1"/>
  <c r="A277" i="1"/>
  <c r="A292" i="1"/>
  <c r="A617" i="1"/>
  <c r="A276" i="1"/>
  <c r="A279" i="1"/>
  <c r="Q300" i="1"/>
  <c r="Z300" i="1" s="1"/>
  <c r="A300" i="1"/>
  <c r="A391" i="1"/>
  <c r="A232" i="1"/>
  <c r="A270" i="1"/>
  <c r="Z221" i="1"/>
  <c r="Y221" i="1" s="1"/>
  <c r="A221" i="1"/>
  <c r="A225" i="1"/>
  <c r="A220" i="1"/>
  <c r="A259" i="1"/>
  <c r="A228" i="1"/>
  <c r="A233" i="1"/>
  <c r="A256" i="1"/>
  <c r="A266" i="1"/>
  <c r="Q250" i="1"/>
  <c r="Z250" i="1" s="1"/>
  <c r="AA250" i="1" s="1"/>
  <c r="A250" i="1"/>
  <c r="A252" i="1"/>
  <c r="Q249" i="1"/>
  <c r="Z249" i="1" s="1"/>
  <c r="Y249" i="1" s="1"/>
  <c r="A249" i="1"/>
  <c r="A224" i="1"/>
  <c r="A258" i="1"/>
  <c r="A271" i="1"/>
  <c r="N595" i="1"/>
  <c r="Q595" i="1" s="1"/>
  <c r="Z595" i="1" s="1"/>
  <c r="Y595" i="1" s="1"/>
  <c r="A595" i="1"/>
  <c r="A238" i="1"/>
  <c r="A267" i="1"/>
  <c r="A263" i="1"/>
  <c r="A241" i="1"/>
  <c r="A237" i="1"/>
  <c r="Z236" i="1"/>
  <c r="Y236" i="1" s="1"/>
  <c r="A236" i="1"/>
  <c r="Q244" i="1"/>
  <c r="Z244" i="1" s="1"/>
  <c r="A244" i="1"/>
  <c r="A262" i="1"/>
  <c r="A235" i="1"/>
  <c r="A269" i="1"/>
  <c r="A227" i="1"/>
  <c r="Q234" i="1"/>
  <c r="Z234" i="1" s="1"/>
  <c r="Y234" i="1" s="1"/>
  <c r="A234" i="1"/>
  <c r="A247" i="1"/>
  <c r="A243" i="1"/>
  <c r="A264" i="1"/>
  <c r="A245" i="1"/>
  <c r="Z219" i="1"/>
  <c r="AA219" i="1" s="1"/>
  <c r="A219" i="1"/>
  <c r="A255" i="1"/>
  <c r="A223" i="1"/>
  <c r="A257" i="1"/>
  <c r="A231" i="1"/>
  <c r="A240" i="1"/>
  <c r="A261" i="1"/>
  <c r="A253" i="1"/>
  <c r="A246" i="1"/>
  <c r="Q265" i="1"/>
  <c r="Z265" i="1" s="1"/>
  <c r="AA265" i="1" s="1"/>
  <c r="A265" i="1"/>
  <c r="A248" i="1"/>
  <c r="A242" i="1"/>
  <c r="A239" i="1"/>
  <c r="A251" i="1"/>
  <c r="A170" i="1"/>
  <c r="Z229" i="1"/>
  <c r="Y229" i="1" s="1"/>
  <c r="A229" i="1"/>
  <c r="Z268" i="1"/>
  <c r="Y268" i="1" s="1"/>
  <c r="A268" i="1"/>
  <c r="Q254" i="1"/>
  <c r="Z254" i="1" s="1"/>
  <c r="A254" i="1"/>
  <c r="Q222" i="1"/>
  <c r="Z222" i="1" s="1"/>
  <c r="Y222" i="1" s="1"/>
  <c r="A222" i="1"/>
  <c r="A166" i="1"/>
  <c r="A180" i="1"/>
  <c r="A141" i="1"/>
  <c r="A140" i="1"/>
  <c r="A211" i="1"/>
  <c r="A169" i="1"/>
  <c r="A188" i="1"/>
  <c r="A197" i="1"/>
  <c r="A139" i="1"/>
  <c r="A138" i="1"/>
  <c r="A204" i="1"/>
  <c r="A194" i="1"/>
  <c r="A213" i="1"/>
  <c r="A181" i="1"/>
  <c r="A165" i="1"/>
  <c r="A161" i="1"/>
  <c r="A137" i="1"/>
  <c r="A214" i="1"/>
  <c r="A132" i="1"/>
  <c r="A160" i="1"/>
  <c r="A136" i="1"/>
  <c r="A130" i="1"/>
  <c r="A187" i="1"/>
  <c r="A208" i="1"/>
  <c r="A190" i="1"/>
  <c r="A179" i="1"/>
  <c r="A154" i="1"/>
  <c r="A218" i="1"/>
  <c r="A193" i="1"/>
  <c r="A159" i="1"/>
  <c r="A209" i="1"/>
  <c r="A143" i="1"/>
  <c r="A217" i="1"/>
  <c r="A184" i="1"/>
  <c r="A164" i="1"/>
  <c r="A178" i="1"/>
  <c r="A202" i="1"/>
  <c r="A189" i="1"/>
  <c r="A149" i="1"/>
  <c r="A212" i="1"/>
  <c r="A175" i="1"/>
  <c r="A174" i="1"/>
  <c r="A210" i="1"/>
  <c r="A146" i="1"/>
  <c r="A200" i="1"/>
  <c r="A168" i="1"/>
  <c r="A215" i="1"/>
  <c r="A163" i="1"/>
  <c r="A177" i="1"/>
  <c r="A153" i="1"/>
  <c r="A158" i="1"/>
  <c r="A157" i="1"/>
  <c r="A198" i="1"/>
  <c r="A135" i="1"/>
  <c r="A201" i="1"/>
  <c r="A152" i="1"/>
  <c r="A183" i="1"/>
  <c r="A151" i="1"/>
  <c r="A182" i="1"/>
  <c r="A134" i="1"/>
  <c r="A150" i="1"/>
  <c r="A133" i="1"/>
  <c r="A131" i="1"/>
  <c r="A192" i="1"/>
  <c r="A185" i="1"/>
  <c r="A199" i="1"/>
  <c r="A195" i="1"/>
  <c r="A162" i="1"/>
  <c r="A145" i="1"/>
  <c r="A191" i="1"/>
  <c r="A173" i="1"/>
  <c r="A156" i="1"/>
  <c r="A148" i="1"/>
  <c r="A196" i="1"/>
  <c r="A172" i="1"/>
  <c r="A176" i="1"/>
  <c r="A155" i="1"/>
  <c r="A142" i="1"/>
  <c r="A205" i="1"/>
  <c r="Z171" i="1"/>
  <c r="Y171" i="1" s="1"/>
  <c r="A171" i="1"/>
  <c r="A144" i="1"/>
  <c r="A203" i="1"/>
  <c r="A216" i="1"/>
  <c r="A207" i="1"/>
  <c r="A147" i="1"/>
  <c r="A186" i="1"/>
  <c r="A167" i="1"/>
  <c r="A97" i="1"/>
  <c r="A1336" i="1"/>
  <c r="A126" i="1"/>
  <c r="A90" i="1"/>
  <c r="A89" i="1"/>
  <c r="A109" i="1"/>
  <c r="A116" i="1"/>
  <c r="A96" i="1"/>
  <c r="A103" i="1"/>
  <c r="A80" i="1"/>
  <c r="A115" i="1"/>
  <c r="A79" i="1"/>
  <c r="A93" i="1"/>
  <c r="A125" i="1"/>
  <c r="A78" i="1"/>
  <c r="A81" i="1"/>
  <c r="A123" i="1"/>
  <c r="A108" i="1"/>
  <c r="A95" i="1"/>
  <c r="A128" i="1"/>
  <c r="A120" i="1"/>
  <c r="A102" i="1"/>
  <c r="A122" i="1"/>
  <c r="A88" i="1"/>
  <c r="A87" i="1"/>
  <c r="A113" i="1"/>
  <c r="A112" i="1"/>
  <c r="A124" i="1"/>
  <c r="A127" i="1"/>
  <c r="A107" i="1"/>
  <c r="A118" i="1"/>
  <c r="A101" i="1"/>
  <c r="A119" i="1"/>
  <c r="A106" i="1"/>
  <c r="A129" i="1"/>
  <c r="A114" i="1"/>
  <c r="A105" i="1"/>
  <c r="A86" i="1"/>
  <c r="A100" i="1"/>
  <c r="A92" i="1"/>
  <c r="A85" i="1"/>
  <c r="A104" i="1"/>
  <c r="A84" i="1"/>
  <c r="A121" i="1"/>
  <c r="A91" i="1"/>
  <c r="A94" i="1"/>
  <c r="A111" i="1"/>
  <c r="A110" i="1"/>
  <c r="A83" i="1"/>
  <c r="A117" i="1"/>
  <c r="A99" i="1"/>
  <c r="A98" i="1"/>
  <c r="A82" i="1"/>
  <c r="A230" i="1"/>
  <c r="A77" i="1"/>
  <c r="A51" i="1"/>
  <c r="A48" i="1"/>
  <c r="Z60" i="1"/>
  <c r="AA60" i="1" s="1"/>
  <c r="A60" i="1"/>
  <c r="Q17" i="1"/>
  <c r="Z17" i="1" s="1"/>
  <c r="A17" i="1"/>
  <c r="Z56" i="1"/>
  <c r="AA56" i="1" s="1"/>
  <c r="A56" i="1"/>
  <c r="A16" i="1"/>
  <c r="Q55" i="1"/>
  <c r="Z55" i="1" s="1"/>
  <c r="A55" i="1"/>
  <c r="Z15" i="1"/>
  <c r="AA15" i="1" s="1"/>
  <c r="A15" i="1"/>
  <c r="Q50" i="1"/>
  <c r="Z50" i="1" s="1"/>
  <c r="Y50" i="1" s="1"/>
  <c r="A50" i="1"/>
  <c r="A74" i="1"/>
  <c r="Q64" i="1"/>
  <c r="Z64" i="1" s="1"/>
  <c r="AA64" i="1" s="1"/>
  <c r="A64" i="1"/>
  <c r="Z49" i="1"/>
  <c r="AA49" i="1" s="1"/>
  <c r="A49" i="1"/>
  <c r="A14" i="1"/>
  <c r="A63" i="1"/>
  <c r="Q70" i="1"/>
  <c r="Z70" i="1" s="1"/>
  <c r="A70" i="1"/>
  <c r="A10" i="1"/>
  <c r="A36" i="1"/>
  <c r="A61" i="1"/>
  <c r="Q41" i="1"/>
  <c r="Z41" i="1" s="1"/>
  <c r="A41" i="1"/>
  <c r="Q76" i="1"/>
  <c r="Z76" i="1" s="1"/>
  <c r="AA76" i="1" s="1"/>
  <c r="A76" i="1"/>
  <c r="Q27" i="1"/>
  <c r="Z27" i="1" s="1"/>
  <c r="A27" i="1"/>
  <c r="A206" i="1"/>
  <c r="Q46" i="1"/>
  <c r="Z46" i="1" s="1"/>
  <c r="A46" i="1"/>
  <c r="A32" i="1"/>
  <c r="Z71" i="1"/>
  <c r="AA71" i="1" s="1"/>
  <c r="A71" i="1"/>
  <c r="A40" i="1"/>
  <c r="A9" i="1"/>
  <c r="A35" i="1"/>
  <c r="A67" i="1"/>
  <c r="A8" i="1"/>
  <c r="A25" i="1"/>
  <c r="A13" i="1"/>
  <c r="A53" i="1"/>
  <c r="A69" i="1"/>
  <c r="Q65" i="1"/>
  <c r="Z65" i="1" s="1"/>
  <c r="AA65" i="1" s="1"/>
  <c r="A65" i="1"/>
  <c r="A39" i="1"/>
  <c r="Q7" i="1"/>
  <c r="Z7" i="1" s="1"/>
  <c r="AA7" i="1" s="1"/>
  <c r="A7" i="1"/>
  <c r="A31" i="1"/>
  <c r="A6" i="1"/>
  <c r="A73" i="1"/>
  <c r="A22" i="1"/>
  <c r="Q982" i="1"/>
  <c r="Z982" i="1" s="1"/>
  <c r="A982" i="1"/>
  <c r="A45" i="1"/>
  <c r="A72" i="1"/>
  <c r="A5" i="1"/>
  <c r="Q12" i="1"/>
  <c r="Z12" i="1" s="1"/>
  <c r="AA12" i="1" s="1"/>
  <c r="A12" i="1"/>
  <c r="A44" i="1"/>
  <c r="Q21" i="1"/>
  <c r="Z21" i="1" s="1"/>
  <c r="A21" i="1"/>
  <c r="A30" i="1"/>
  <c r="A4" i="1"/>
  <c r="A47" i="1"/>
  <c r="A37" i="1"/>
  <c r="Z66" i="1"/>
  <c r="AA66" i="1" s="1"/>
  <c r="A66" i="1"/>
  <c r="A38" i="1"/>
  <c r="A20" i="1"/>
  <c r="A34" i="1"/>
  <c r="A59" i="1"/>
  <c r="A29" i="1"/>
  <c r="Q62" i="1"/>
  <c r="Z62" i="1" s="1"/>
  <c r="A62" i="1"/>
  <c r="A24" i="1"/>
  <c r="Q58" i="1"/>
  <c r="Z58" i="1" s="1"/>
  <c r="Y58" i="1" s="1"/>
  <c r="A58" i="1"/>
  <c r="A11" i="1"/>
  <c r="A43" i="1"/>
  <c r="A23" i="1"/>
  <c r="A75" i="1"/>
  <c r="A19" i="1"/>
  <c r="A57" i="1"/>
  <c r="A42" i="1"/>
  <c r="A3" i="1"/>
  <c r="Z52" i="1"/>
  <c r="AA52" i="1" s="1"/>
  <c r="A52" i="1"/>
  <c r="A28" i="1"/>
  <c r="Q33" i="1"/>
  <c r="Z33" i="1" s="1"/>
  <c r="AA33" i="1" s="1"/>
  <c r="A33" i="1"/>
  <c r="A26" i="1"/>
  <c r="A18" i="1"/>
  <c r="Y1066" i="1" l="1"/>
  <c r="Y66" i="1"/>
  <c r="Y219" i="1"/>
  <c r="Y734" i="1"/>
  <c r="Y71" i="1"/>
  <c r="Y49" i="1"/>
  <c r="Y1072" i="1"/>
  <c r="Y1113" i="1"/>
  <c r="AA1070" i="1"/>
  <c r="Y1070" i="1"/>
  <c r="Y56" i="1"/>
  <c r="AA998" i="1"/>
  <c r="Y1055" i="1"/>
  <c r="Y1052" i="1"/>
  <c r="Y1084" i="1"/>
  <c r="Y52" i="1"/>
  <c r="AA222" i="1"/>
  <c r="Y860" i="1"/>
  <c r="Y1032" i="1"/>
  <c r="Y979" i="1"/>
  <c r="AA1085" i="1"/>
  <c r="Y1081" i="1"/>
  <c r="Y414" i="1"/>
  <c r="Y642" i="1"/>
  <c r="Y527" i="1"/>
  <c r="AA544" i="1"/>
  <c r="Y544" i="1"/>
  <c r="Y882" i="1"/>
  <c r="Y728" i="1"/>
  <c r="Y766" i="1"/>
  <c r="Y643" i="1"/>
  <c r="AA477" i="1"/>
  <c r="Y477" i="1"/>
  <c r="AA419" i="1"/>
  <c r="Y464" i="1"/>
  <c r="AA603" i="1"/>
  <c r="Y68" i="1"/>
  <c r="Y739" i="1"/>
  <c r="Y329" i="1"/>
  <c r="Y511" i="1"/>
  <c r="Y254" i="1"/>
  <c r="AA254" i="1"/>
  <c r="AA369" i="1"/>
  <c r="Y369" i="1"/>
  <c r="AA55" i="1"/>
  <c r="Y55" i="1"/>
  <c r="Y244" i="1"/>
  <c r="AA244" i="1"/>
  <c r="Y300" i="1"/>
  <c r="AA300" i="1"/>
  <c r="Y326" i="1"/>
  <c r="AA326" i="1"/>
  <c r="AA474" i="1"/>
  <c r="Y474" i="1"/>
  <c r="AA720" i="1"/>
  <c r="Y720" i="1"/>
  <c r="Y450" i="1"/>
  <c r="AA450" i="1"/>
  <c r="AA171" i="1"/>
  <c r="AA236" i="1"/>
  <c r="AA322" i="1"/>
  <c r="AA312" i="1"/>
  <c r="AA379" i="1"/>
  <c r="Y385" i="1"/>
  <c r="AA546" i="1"/>
  <c r="AA577" i="1"/>
  <c r="AA751" i="1"/>
  <c r="AA758" i="1"/>
  <c r="AA234" i="1"/>
  <c r="AA595" i="1"/>
  <c r="AA318" i="1"/>
  <c r="Y403" i="1"/>
  <c r="AA465" i="1"/>
  <c r="Y415" i="1"/>
  <c r="AA268" i="1"/>
  <c r="Y226" i="1"/>
  <c r="Y479" i="1"/>
  <c r="Y459" i="1"/>
  <c r="Y382" i="1"/>
  <c r="Y513" i="1"/>
  <c r="AA627" i="1"/>
  <c r="Y707" i="1"/>
  <c r="Y726" i="1"/>
  <c r="Y746" i="1"/>
  <c r="Y744" i="1"/>
  <c r="Y716" i="1"/>
  <c r="AA260" i="1"/>
  <c r="Y46" i="1"/>
  <c r="AA46" i="1"/>
  <c r="Y17" i="1"/>
  <c r="AA17" i="1"/>
  <c r="Y21" i="1"/>
  <c r="AA21" i="1"/>
  <c r="AA62" i="1"/>
  <c r="Y62" i="1"/>
  <c r="AA982" i="1"/>
  <c r="Y982" i="1"/>
  <c r="AA27" i="1"/>
  <c r="Y27" i="1"/>
  <c r="Y41" i="1"/>
  <c r="AA41" i="1"/>
  <c r="Y70" i="1"/>
  <c r="AA70" i="1"/>
  <c r="Y1021" i="1"/>
  <c r="AA1021" i="1"/>
  <c r="AA50" i="1"/>
  <c r="Y64" i="1"/>
  <c r="AA229" i="1"/>
  <c r="Y265" i="1"/>
  <c r="AA249" i="1"/>
  <c r="Y250" i="1"/>
  <c r="AA358" i="1"/>
  <c r="AA472" i="1"/>
  <c r="Y472" i="1"/>
  <c r="Y584" i="1"/>
  <c r="AA584" i="1"/>
  <c r="AA652" i="1"/>
  <c r="Y652" i="1"/>
  <c r="AA750" i="1"/>
  <c r="Y750" i="1"/>
  <c r="AA971" i="1"/>
  <c r="Y971" i="1"/>
  <c r="AA417" i="1"/>
  <c r="Y417" i="1"/>
  <c r="AA714" i="1"/>
  <c r="Y714" i="1"/>
  <c r="AA58" i="1"/>
  <c r="Y7" i="1"/>
  <c r="Y76" i="1"/>
  <c r="Y33" i="1"/>
  <c r="Y12" i="1"/>
  <c r="Y65" i="1"/>
  <c r="Y15" i="1"/>
  <c r="AA568" i="1"/>
  <c r="Y568" i="1"/>
  <c r="AA563" i="1"/>
  <c r="Y563" i="1"/>
  <c r="AA543" i="1"/>
  <c r="Y543" i="1"/>
  <c r="AA665" i="1"/>
  <c r="Y665" i="1"/>
  <c r="AA1140" i="1"/>
  <c r="Y1140" i="1"/>
  <c r="AA1083" i="1"/>
  <c r="Y1083" i="1"/>
  <c r="AA386" i="1"/>
  <c r="Y386" i="1"/>
  <c r="AA704" i="1"/>
  <c r="Y704" i="1"/>
  <c r="AA221" i="1"/>
  <c r="Y392" i="1"/>
  <c r="AA54" i="1"/>
  <c r="Y54" i="1"/>
  <c r="AA554" i="1"/>
  <c r="Y987" i="1"/>
  <c r="AA987" i="1"/>
  <c r="AA1027" i="1"/>
  <c r="Y1027" i="1"/>
  <c r="Y1019" i="1"/>
  <c r="AA1019" i="1"/>
  <c r="AA1011" i="1"/>
  <c r="Y1011" i="1"/>
  <c r="AA514" i="1"/>
  <c r="AA457" i="1"/>
  <c r="Y411" i="1"/>
  <c r="AA411" i="1"/>
  <c r="AA409" i="1"/>
  <c r="Y409" i="1"/>
  <c r="Y441" i="1"/>
  <c r="AA441" i="1"/>
  <c r="AA430" i="1"/>
  <c r="AA433" i="1"/>
  <c r="AA449" i="1"/>
</calcChain>
</file>

<file path=xl/comments1.xml><?xml version="1.0" encoding="utf-8"?>
<comments xmlns="http://schemas.openxmlformats.org/spreadsheetml/2006/main">
  <authors>
    <author>Markarian, Rubina</author>
  </authors>
  <commentList>
    <comment ref="Q265" authorId="0" shapeId="0">
      <text>
        <r>
          <rPr>
            <b/>
            <sz val="9"/>
            <color indexed="81"/>
            <rFont val="Tahoma"/>
            <family val="2"/>
          </rPr>
          <t>Markarian, Rubina:</t>
        </r>
        <r>
          <rPr>
            <sz val="9"/>
            <color indexed="81"/>
            <rFont val="Tahoma"/>
            <family val="2"/>
          </rPr>
          <t xml:space="preserve">
Based on Normalized indicator report</t>
        </r>
      </text>
    </comment>
    <comment ref="Q386" authorId="0" shapeId="0">
      <text>
        <r>
          <rPr>
            <b/>
            <sz val="9"/>
            <color indexed="81"/>
            <rFont val="Tahoma"/>
            <family val="2"/>
          </rPr>
          <t>Markarian, Rubina:</t>
        </r>
        <r>
          <rPr>
            <sz val="9"/>
            <color indexed="81"/>
            <rFont val="Tahoma"/>
            <family val="2"/>
          </rPr>
          <t xml:space="preserve">
worked hr is 32020.84
</t>
        </r>
      </text>
    </comment>
    <comment ref="N392" authorId="0" shapeId="0">
      <text>
        <r>
          <rPr>
            <b/>
            <sz val="9"/>
            <color indexed="81"/>
            <rFont val="Tahoma"/>
            <family val="2"/>
          </rPr>
          <t>Markarian, Rubina:</t>
        </r>
        <r>
          <rPr>
            <sz val="9"/>
            <color indexed="81"/>
            <rFont val="Tahoma"/>
            <family val="2"/>
          </rPr>
          <t xml:space="preserve">
changed the volume
</t>
        </r>
      </text>
    </comment>
  </commentList>
</comments>
</file>

<file path=xl/sharedStrings.xml><?xml version="1.0" encoding="utf-8"?>
<sst xmlns="http://schemas.openxmlformats.org/spreadsheetml/2006/main" count="11827" uniqueCount="1749">
  <si>
    <t>Market</t>
  </si>
  <si>
    <t>Region</t>
  </si>
  <si>
    <t>Facility State</t>
  </si>
  <si>
    <t>Facility ID</t>
  </si>
  <si>
    <t>Facility</t>
  </si>
  <si>
    <t>Truven Standard Dept Number</t>
  </si>
  <si>
    <t>Truven Department Name</t>
  </si>
  <si>
    <t>Truven Department Series</t>
  </si>
  <si>
    <t>Hospital Department</t>
  </si>
  <si>
    <t>Measure</t>
  </si>
  <si>
    <t>Sample Size</t>
  </si>
  <si>
    <t>Total Paid Benchmarked FTEs</t>
  </si>
  <si>
    <t>Revenue Cycle Management</t>
  </si>
  <si>
    <t>FYE 4Q 2015</t>
  </si>
  <si>
    <t>100 Adjusted Discharges</t>
  </si>
  <si>
    <t>Volunteer Services</t>
  </si>
  <si>
    <t>Community Outreach</t>
  </si>
  <si>
    <t>100 Volunteer Service Hours</t>
  </si>
  <si>
    <t>Adjusted Discharges</t>
  </si>
  <si>
    <t>Medical Staff Services</t>
  </si>
  <si>
    <t>Physicians On Active Medical Staff</t>
  </si>
  <si>
    <t>Educational Services</t>
  </si>
  <si>
    <t>Centralized Telemetry</t>
  </si>
  <si>
    <t>Nursing Services</t>
  </si>
  <si>
    <t>Telemetry Days Supported</t>
  </si>
  <si>
    <t>Quality Management</t>
  </si>
  <si>
    <t>Clinical Resource Management Services</t>
  </si>
  <si>
    <t>Total Admissions And Registrations</t>
  </si>
  <si>
    <t>Clinical Staff Education</t>
  </si>
  <si>
    <t>Infection Prevention and Control and Healthcare Epidemiology</t>
  </si>
  <si>
    <t>Quality Management and Patient Safety Services</t>
  </si>
  <si>
    <t>Total Healthcare-associated Infections (HAIs)</t>
  </si>
  <si>
    <t>Case Management / Utilization Management</t>
  </si>
  <si>
    <t>Total Cases</t>
  </si>
  <si>
    <t>Nursing Administration</t>
  </si>
  <si>
    <t>Nursing Division Employees</t>
  </si>
  <si>
    <t>Pharmacy Administration and Support</t>
  </si>
  <si>
    <t>Pharmacy Services</t>
  </si>
  <si>
    <t>Pharmacy Administration and Support (U,N)</t>
  </si>
  <si>
    <t>CMI Weighted Adjusted Discharges</t>
  </si>
  <si>
    <t>Rehabilitation Services Administration</t>
  </si>
  <si>
    <t>Rehabilitation Services</t>
  </si>
  <si>
    <t>Rehabilitation Services Administration (U,N)</t>
  </si>
  <si>
    <t>1000 Baseline Billed Time Units (BTUs) Supported</t>
  </si>
  <si>
    <t>Respiratory and Pulmonary Care Services</t>
  </si>
  <si>
    <t>CMI Weighted Total Facility Discharges</t>
  </si>
  <si>
    <t>Surgical Services Administration</t>
  </si>
  <si>
    <t>Surgical Services</t>
  </si>
  <si>
    <t>Surgical Services Administration (U,N)</t>
  </si>
  <si>
    <t>Cases Supported</t>
  </si>
  <si>
    <t>Environmental Services</t>
  </si>
  <si>
    <t>1000 Net Sq Ft Cleaned</t>
  </si>
  <si>
    <t>Laboratory Services Administration</t>
  </si>
  <si>
    <t>Laboratory Services</t>
  </si>
  <si>
    <t>Laboratory Services Administration (U,N)</t>
  </si>
  <si>
    <t>100 Billed Tests Supported</t>
  </si>
  <si>
    <t>Imaging Services Administration</t>
  </si>
  <si>
    <t>Imaging Services</t>
  </si>
  <si>
    <t>APC Relative Weight Supported</t>
  </si>
  <si>
    <t>Cardiology and Vascular Administration and Support Services</t>
  </si>
  <si>
    <t>Cardiology and Vascular Services Series</t>
  </si>
  <si>
    <t>Facility Services Administration</t>
  </si>
  <si>
    <t>Facility Services</t>
  </si>
  <si>
    <t>1000 Gross Square Feet Maintained</t>
  </si>
  <si>
    <t>Clinical Nutrition Services</t>
  </si>
  <si>
    <t>Food and Nutrition Services</t>
  </si>
  <si>
    <t>Clinical Nutrition Services (U,N)</t>
  </si>
  <si>
    <t>Total Medical Nutritional Therapy Interventions</t>
  </si>
  <si>
    <t>Information Technology</t>
  </si>
  <si>
    <t>Human Resources</t>
  </si>
  <si>
    <t>Employee Health Services</t>
  </si>
  <si>
    <t>Visits</t>
  </si>
  <si>
    <t>Administration</t>
  </si>
  <si>
    <t>Med/Surg/Cardiac Intensive Care Unit</t>
  </si>
  <si>
    <t>Equivalent Patient Day</t>
  </si>
  <si>
    <t>Emergency Department</t>
  </si>
  <si>
    <t>Emergency Services</t>
  </si>
  <si>
    <t>Patient Visits</t>
  </si>
  <si>
    <t>Physical Therapy: Outpatient</t>
  </si>
  <si>
    <t>1000 Baseline Billed Time Units (BTUs)</t>
  </si>
  <si>
    <t>Surgery Pre Op and Post Recovery Only</t>
  </si>
  <si>
    <t>100 Patient Observation Minutes</t>
  </si>
  <si>
    <t>Hematology Oncology Infusion Therapy (Hema/Onc)</t>
  </si>
  <si>
    <t>Other Clinical Support Services</t>
  </si>
  <si>
    <t>Infusions</t>
  </si>
  <si>
    <t>Labor/Delivery with Recovery</t>
  </si>
  <si>
    <t>Neonate Deliveries</t>
  </si>
  <si>
    <t>Operating Room</t>
  </si>
  <si>
    <t>100 Operating Room Minutes</t>
  </si>
  <si>
    <t>Post Anesthesia Care Unit (PACU)</t>
  </si>
  <si>
    <t>100 PACU Minutes</t>
  </si>
  <si>
    <t>Sterile Processing</t>
  </si>
  <si>
    <t>100 Items Processed</t>
  </si>
  <si>
    <t>Laboratory Services: Clinical Operations and Blood Bank Combined</t>
  </si>
  <si>
    <t>100 Billed Tests</t>
  </si>
  <si>
    <t>Laboratory Services: Anatomic Pathology</t>
  </si>
  <si>
    <t>Combined Invasive Cardiology and Vascular Services</t>
  </si>
  <si>
    <t>Procedure Minutes</t>
  </si>
  <si>
    <t>Combined Noninvasive Cardiology and Vascular Services</t>
  </si>
  <si>
    <t>APC Relative Weight</t>
  </si>
  <si>
    <t>CMI Weighted Department Adjusted Discharges</t>
  </si>
  <si>
    <t>Dialysis</t>
  </si>
  <si>
    <t>Dialysis Services</t>
  </si>
  <si>
    <t>Treatments</t>
  </si>
  <si>
    <t>Endoscopy (GI) Laboratory</t>
  </si>
  <si>
    <t>Cardiac Intermediate Care Unit</t>
  </si>
  <si>
    <t>Neonatal Intensive Care Unit (NICU)</t>
  </si>
  <si>
    <t>Patient Days (Neonate)</t>
  </si>
  <si>
    <t>Med/Surg/Cardiac Acute Care Unit</t>
  </si>
  <si>
    <t>Medical/Surgical/Oncology Acute Care Unit</t>
  </si>
  <si>
    <t>Orthopedic Acute Care Unit</t>
  </si>
  <si>
    <t>Medical/Surgical Intermediate Care Unit</t>
  </si>
  <si>
    <t>Mother/Baby Unit</t>
  </si>
  <si>
    <t>Acute Rehabilitation Unit</t>
  </si>
  <si>
    <t>Patient Days</t>
  </si>
  <si>
    <t>Neurodiagnostic Laboratory (EEG)</t>
  </si>
  <si>
    <t>Neurodiagnostic Services</t>
  </si>
  <si>
    <t>Diagnostic Radiology Without Interventional Procedures</t>
  </si>
  <si>
    <t>Interventional Radiology</t>
  </si>
  <si>
    <t>Mammography</t>
  </si>
  <si>
    <t>Nuclear Medicine</t>
  </si>
  <si>
    <t>Magnetic Resonance Imaging</t>
  </si>
  <si>
    <t>Ultrasound</t>
  </si>
  <si>
    <t>Computerized Tomography</t>
  </si>
  <si>
    <t>Physical Therapy: Inpatient</t>
  </si>
  <si>
    <t>Speech Language Pathology: Inpatient and Outpatient</t>
  </si>
  <si>
    <t>Nonpatient Food Services</t>
  </si>
  <si>
    <t>ART: Total Non Patient Meal Equivalents</t>
  </si>
  <si>
    <t>Occupational Therapy: Inpatient and Outpatient</t>
  </si>
  <si>
    <t>Patient Food Services</t>
  </si>
  <si>
    <t>ART: Total Patient Meal Equivalents</t>
  </si>
  <si>
    <t>Laundry and Linen Distribution Only</t>
  </si>
  <si>
    <t>100 Lbs Clean Laundry Distributed</t>
  </si>
  <si>
    <t>Social Work</t>
  </si>
  <si>
    <t>Social Work Cases</t>
  </si>
  <si>
    <t>Patient Escort (Transport) Service</t>
  </si>
  <si>
    <t>Other Support Services</t>
  </si>
  <si>
    <t>100 Patient Transports Performed</t>
  </si>
  <si>
    <t>Supply Chain Services</t>
  </si>
  <si>
    <t>Security</t>
  </si>
  <si>
    <t>1000 Gross Square Feet Patrolled</t>
  </si>
  <si>
    <t>Plant Operations / Plant Maintenance and Grounds</t>
  </si>
  <si>
    <t>Biomedical Engineering</t>
  </si>
  <si>
    <t>100 Equipment and Devices Maintained</t>
  </si>
  <si>
    <t>Call Center / Switchboard</t>
  </si>
  <si>
    <t>Respiratory Care</t>
  </si>
  <si>
    <t>Med/Surg/Cardiac Intermediate Care Unit</t>
  </si>
  <si>
    <t>Medical/Surgical Acute Care Unit</t>
  </si>
  <si>
    <t>Oncology Acute Care Unit</t>
  </si>
  <si>
    <t>Home Health</t>
  </si>
  <si>
    <t>Home Care Services</t>
  </si>
  <si>
    <t>Home Care Patient Visits</t>
  </si>
  <si>
    <t>Radiation Therapy (Oncology)</t>
  </si>
  <si>
    <t>Radiation Therapy Services</t>
  </si>
  <si>
    <t>Pharmacy Retail/Prescription Services</t>
  </si>
  <si>
    <t>Retail Prescriptions Processed</t>
  </si>
  <si>
    <t>Patient and Family Education</t>
  </si>
  <si>
    <t>Instructional Hours: Patient and Family</t>
  </si>
  <si>
    <t>Vascular Laboratory</t>
  </si>
  <si>
    <t>Pediatric Intensive Care Unit</t>
  </si>
  <si>
    <t>General Surgical Acute Care Unit</t>
  </si>
  <si>
    <t>General Medical Acute Care Unit</t>
  </si>
  <si>
    <t>IV Team (Vascular Access)</t>
  </si>
  <si>
    <t>100 Procedures</t>
  </si>
  <si>
    <t>Occupational Therapy: Inpatient</t>
  </si>
  <si>
    <t>Occupational Therapy: Outpatient</t>
  </si>
  <si>
    <t>Sleep Diagnostic Center</t>
  </si>
  <si>
    <t>Laundry and Linen In-house Reprocessing</t>
  </si>
  <si>
    <t>100 Lbs Laundry Processed</t>
  </si>
  <si>
    <t>Foundation</t>
  </si>
  <si>
    <t>$1000 New Commitments Pledged</t>
  </si>
  <si>
    <t>Nurse Staffing Office</t>
  </si>
  <si>
    <t>Clinical Resource Management</t>
  </si>
  <si>
    <t>Pediatric Acute Care Unit</t>
  </si>
  <si>
    <t>Behavioral Health Unit</t>
  </si>
  <si>
    <t>High Risk Obstetrical Unit</t>
  </si>
  <si>
    <t>Ambulatory Care Clinics</t>
  </si>
  <si>
    <t>Family Practice Clinic</t>
  </si>
  <si>
    <t>Cardiac Rehabilitation Services</t>
  </si>
  <si>
    <t>Chemical Dependency Clinic</t>
  </si>
  <si>
    <t>Anesthesia</t>
  </si>
  <si>
    <t>100 Minutes Patient Enter To Leave</t>
  </si>
  <si>
    <t>Laboratory Services: Clinical Operations</t>
  </si>
  <si>
    <t>Oncology / Hematology Clinic</t>
  </si>
  <si>
    <t>Respiratory Care and Pulmonary Diagnostics Combined</t>
  </si>
  <si>
    <t>WWA</t>
  </si>
  <si>
    <t>WA</t>
  </si>
  <si>
    <t>Ambulatory Services Administration</t>
  </si>
  <si>
    <t>Patient Visits Supported</t>
  </si>
  <si>
    <t>Chemical Dependency Unit</t>
  </si>
  <si>
    <t>General Medicine Clinic</t>
  </si>
  <si>
    <t>Obstetrics Clinic</t>
  </si>
  <si>
    <t>Pre Admission / Pre Procedure Testing</t>
  </si>
  <si>
    <t>Observation Unit</t>
  </si>
  <si>
    <t>Outpatient Observation Days</t>
  </si>
  <si>
    <t>Outpatient Imaging</t>
  </si>
  <si>
    <t>PT/OT/SLP Combined: Inpatient</t>
  </si>
  <si>
    <t>PT/OT/SLP Combined: Outpatient</t>
  </si>
  <si>
    <t>Wound Care</t>
  </si>
  <si>
    <t>Labor/Delivery/Recovery/Postpartum/Nursery</t>
  </si>
  <si>
    <t>SWR</t>
  </si>
  <si>
    <t>Providence St Peter Hospital</t>
  </si>
  <si>
    <t>33061710, Medical Telemetry</t>
  </si>
  <si>
    <t>33061730, MEDICAL ONCOLOGY</t>
  </si>
  <si>
    <t>33061770, ORTHOPEDICS ACUTE</t>
  </si>
  <si>
    <t>33061790, Med/Surg/Cardiac Intermediate Unit</t>
  </si>
  <si>
    <t>33061794, Neuro Acute</t>
  </si>
  <si>
    <t>33062900, PEDIATRIC ACUTE</t>
  </si>
  <si>
    <t>33063400, PSYCHIATRIC I P ACUTE</t>
  </si>
  <si>
    <t>33064201, Chemical Dependency Admin</t>
  </si>
  <si>
    <t>33075000 33075001 33075020 33075091 33075097 Combined Lab Service</t>
  </si>
  <si>
    <t>33060100, INTENSIVE CARE UNIT</t>
  </si>
  <si>
    <t>33060101, IMCU Med/Surg/Cardiac Intermediate Unit</t>
  </si>
  <si>
    <t>33061500, CLINICAL OBSERVATION UNIT</t>
  </si>
  <si>
    <t>Renal/Nephrology Acute Care Unit</t>
  </si>
  <si>
    <t>33061700, Medical Renal</t>
  </si>
  <si>
    <t>33061701, MEDICAL SURGICAL ACUTE</t>
  </si>
  <si>
    <t>33075700, CARDIOVASCULAR LAB</t>
  </si>
  <si>
    <t>33075930, CARDIAC REHABILITATION</t>
  </si>
  <si>
    <t>33076300, 33076309 DIAGNOSTIC IMAGING</t>
  </si>
  <si>
    <t>33076302, DIAGNOSTIC IMAGING EXP</t>
  </si>
  <si>
    <t>33076306, YELM MOB</t>
  </si>
  <si>
    <t>33076490, INTERVENTIONAL RADIOLOGY</t>
  </si>
  <si>
    <t>33076500, NUCLEAR MEDICINE</t>
  </si>
  <si>
    <t>33076608, Magnetic Resonance Imaging</t>
  </si>
  <si>
    <t>33076700, ULTRASOUND</t>
  </si>
  <si>
    <t>33076800, CT SCAN</t>
  </si>
  <si>
    <t>33077150, IV THERAPY</t>
  </si>
  <si>
    <t>33077200, RESPIRATORY THERAPY</t>
  </si>
  <si>
    <t>33077610, ENDOSCOPY</t>
  </si>
  <si>
    <t>33077790, PEDIATRIC PT/OT/ST</t>
  </si>
  <si>
    <t>33078000 and 33085303 Rehabilitation Services Administration</t>
  </si>
  <si>
    <t>33078001, PT OT SLP Combined Inpatient</t>
  </si>
  <si>
    <t>33078002, PT ST OT Inpatient</t>
  </si>
  <si>
    <t>33078003, PT/OT OUTPATIENT</t>
  </si>
  <si>
    <t>33078004, PT/ST/OT OP NEURO</t>
  </si>
  <si>
    <t>33078700, Clinical Nutrition Services</t>
  </si>
  <si>
    <t>33078740, SLEEP LABORATORY</t>
  </si>
  <si>
    <t>33078741, Neurodiagnostic Laboratory (EEG)</t>
  </si>
  <si>
    <t>33082901, Nursing Education</t>
  </si>
  <si>
    <t>33083300, 33083391Combined Cafeteria &amp; Espresso</t>
  </si>
  <si>
    <t>33083500, LAUNDRY AND LINEN</t>
  </si>
  <si>
    <t>33083700, PATIENT TRANSPORT</t>
  </si>
  <si>
    <t>33084200, SECURITY</t>
  </si>
  <si>
    <t>33084400, ENVIRONMENTAL SERVICES</t>
  </si>
  <si>
    <t>33084500, 33084602 Plant Operation/Grounds Maintenance</t>
  </si>
  <si>
    <t>33084601, BIOMED INSTRUMENT SERVICES</t>
  </si>
  <si>
    <t>33084701, PBX OPERATIONS</t>
  </si>
  <si>
    <t>33085601, PREADMIT SURGERY</t>
  </si>
  <si>
    <t>33086100, ADMINISTRATION</t>
  </si>
  <si>
    <t>33087100, 33087101 Combined MED STAFF/Credentialing</t>
  </si>
  <si>
    <t>33087200-33087203 NURSING ADMINISTRATION</t>
  </si>
  <si>
    <t>33087520, QUALITY ASSURANCE</t>
  </si>
  <si>
    <t>33090300, FOUNDATION</t>
  </si>
  <si>
    <t>33095501, SATELLITE PHARMACY</t>
  </si>
  <si>
    <t>Centralized Telemetry (U,N)</t>
  </si>
  <si>
    <t>Laboratory Services - Administration And Support (U,N)</t>
  </si>
  <si>
    <t>Centralized Scheduling</t>
  </si>
  <si>
    <t>Centralized Scheduling (U,N)</t>
  </si>
  <si>
    <t>Social Work Services (U,N)</t>
  </si>
  <si>
    <t>33077100, 33077103 PHARMACY and RESIDENCY</t>
  </si>
  <si>
    <t>33077102, OP INFUSION CENTER</t>
  </si>
  <si>
    <t>Facilities Administration and Support (U,N)</t>
  </si>
  <si>
    <t>33070100, EMERGENCY SERVICES</t>
  </si>
  <si>
    <t>Anticoagulant Clinic</t>
  </si>
  <si>
    <t>33070800, Anticoagulant Clinic</t>
  </si>
  <si>
    <t>33072203, CDC OP Units</t>
  </si>
  <si>
    <t>Partial Hospitalization</t>
  </si>
  <si>
    <t>Psychiatry and Psychological Services</t>
  </si>
  <si>
    <t>Patient Sessions</t>
  </si>
  <si>
    <t>33074000, LABOR AND DELIVERY</t>
  </si>
  <si>
    <t>33074200 33074230 33074702 Combined Surgery Services</t>
  </si>
  <si>
    <t>33074270, RECOVERY ROOM SERVICES</t>
  </si>
  <si>
    <t>33074271, SHORT STAY RECOVERY</t>
  </si>
  <si>
    <t>33074701, STERILE PROCESSING</t>
  </si>
  <si>
    <t>Echocardiography</t>
  </si>
  <si>
    <t>33075600 Echocardiography</t>
  </si>
  <si>
    <t>Ambulatory Surgery Center</t>
  </si>
  <si>
    <t>Pharmacy Ambulatory/Clinic Services</t>
  </si>
  <si>
    <t>Doses Dispensed</t>
  </si>
  <si>
    <t>Physical Therapy: Inpatient and Outpatient</t>
  </si>
  <si>
    <t>Patient and Nonpatient Food Services</t>
  </si>
  <si>
    <t>ART: Total Meal Equivalents</t>
  </si>
  <si>
    <t>PT/OT/SLP Combined: Inpatient and Outpatient</t>
  </si>
  <si>
    <t>Staff Education Combined</t>
  </si>
  <si>
    <t>Medical/Surgical Unit with Swing Beds</t>
  </si>
  <si>
    <t>Surgical Services Combined Without Anesthesia</t>
  </si>
  <si>
    <t>Medical/Surgical Intensive Care Unit</t>
  </si>
  <si>
    <t>Cardiac Intensive Care Unit</t>
  </si>
  <si>
    <t>Orthopedic/Neurology Acute Care Unit</t>
  </si>
  <si>
    <t>Central Sterile Services - Reprocessing Only</t>
  </si>
  <si>
    <t>Disease Registries</t>
  </si>
  <si>
    <t>Charts Abstracted</t>
  </si>
  <si>
    <t>Environmental Services and Linen Distribution</t>
  </si>
  <si>
    <t>Neurology/Neurosurgical Intensive Care Unit</t>
  </si>
  <si>
    <t>Cardiac Operating Room</t>
  </si>
  <si>
    <t>Electrophysiology Laboratory</t>
  </si>
  <si>
    <t>EWA/MT</t>
  </si>
  <si>
    <t>WMR</t>
  </si>
  <si>
    <t>MT</t>
  </si>
  <si>
    <t>Providence St Patrick Hospital &amp; Health Science Ce</t>
  </si>
  <si>
    <t>46063400, MENTAL HEALTH</t>
  </si>
  <si>
    <t>46064400, IP REHAB FACILITY</t>
  </si>
  <si>
    <t>46070100, 70101 EMERGENCY SERVICES</t>
  </si>
  <si>
    <t>46072300, OBSERVATION UNIT</t>
  </si>
  <si>
    <t>46072340, OP INFUSION</t>
  </si>
  <si>
    <t>46074200, OPERATING ROOM</t>
  </si>
  <si>
    <t>46074270, RECOVERY ROOM SERVICES</t>
  </si>
  <si>
    <t>46074271, SURGICAL SHORT STAY UNIT</t>
  </si>
  <si>
    <t>46074701, STERILE PROCESSING</t>
  </si>
  <si>
    <t>46075000, CLINICAL LABORATORY SERVICES</t>
  </si>
  <si>
    <t>46004490, Pharmacy Administration and Support (U)</t>
  </si>
  <si>
    <t>46060100, INTENSIVE CARE UNIT</t>
  </si>
  <si>
    <t>46060300, 4 NORTH CARDIO SURG</t>
  </si>
  <si>
    <t>46061701, NEURO/ORTHO</t>
  </si>
  <si>
    <t>46061730, MEDICAL ONCOLOGY</t>
  </si>
  <si>
    <t>46061794, SURGICAL PEDIATRICS</t>
  </si>
  <si>
    <t>46075700, CARDIOVASCULAR LAB</t>
  </si>
  <si>
    <t>46076200, NEURODIAGNOSTICS</t>
  </si>
  <si>
    <t>46076300, 76302 DIAGNOSTIC IMAGING / PROV CTR</t>
  </si>
  <si>
    <t>46076309, SPECIAL PROCEDURES</t>
  </si>
  <si>
    <t>46076310, 76311, 76312 SUPPORT SERVICES RADIOLOGY</t>
  </si>
  <si>
    <t>46076390, MAMMOGRAPHY</t>
  </si>
  <si>
    <t>46076420, RADIATION ONCOLOGY</t>
  </si>
  <si>
    <t>46077610, ENDOSCOPY</t>
  </si>
  <si>
    <t>46077700, PHYSICAL THERAPY</t>
  </si>
  <si>
    <t>46077800, SPEECH LANGUAGE PATHOLOGY</t>
  </si>
  <si>
    <t>46077900, OCCUPATIONAL THERAPY</t>
  </si>
  <si>
    <t>46082100, 87940 EDUCATION</t>
  </si>
  <si>
    <t>46083400, DIETARY</t>
  </si>
  <si>
    <t>46076430 Chemo OP Services</t>
  </si>
  <si>
    <t>46076500, 76501 NUCLEAR MEDICINE / PET</t>
  </si>
  <si>
    <t>46076600, MRI</t>
  </si>
  <si>
    <t>46076700, ULTRASOUND</t>
  </si>
  <si>
    <t>46076800, CT SCAN</t>
  </si>
  <si>
    <t>46077100, PHARMACY</t>
  </si>
  <si>
    <t>46077102, RETAIL PHARMACY (U)</t>
  </si>
  <si>
    <t>46077200, RESPIRATORY THERAPY</t>
  </si>
  <si>
    <t>46083401, CLINICAL NUTRITION</t>
  </si>
  <si>
    <t>46084202, SAFETY</t>
  </si>
  <si>
    <t>46084500, 84501 FAC ENGINEERING</t>
  </si>
  <si>
    <t>46084601, BIOMED</t>
  </si>
  <si>
    <t>COMMUNICATIONS PC (U)</t>
  </si>
  <si>
    <t>100 Incoming Calls</t>
  </si>
  <si>
    <t>46086100, 86200 ADMINISTRATION (U)</t>
  </si>
  <si>
    <t>46086700, AUXILIARY GROUPS</t>
  </si>
  <si>
    <t>46087100, MEDICAL STAFF ADMINISTRATION (U)</t>
  </si>
  <si>
    <t>46087520, QUALITY ASSURANCE</t>
  </si>
  <si>
    <t>4607400 Family Maternity Center</t>
  </si>
  <si>
    <t>PHC</t>
  </si>
  <si>
    <t>Providence Mount Carmel Hospital</t>
  </si>
  <si>
    <t>Imaging Services Administration (N)</t>
  </si>
  <si>
    <t>04490, Pharmacy Administration and Support (U,N)</t>
  </si>
  <si>
    <t>Centralized Sheduling (U,N)</t>
  </si>
  <si>
    <t>37060100, INTENSIVE CARE UNIT</t>
  </si>
  <si>
    <t>37070100, 70101 EMERGENCY SERVICES</t>
  </si>
  <si>
    <t>37074000, LABOR AND DELIVERY</t>
  </si>
  <si>
    <t>37074200, SURGICAL SERVICES</t>
  </si>
  <si>
    <t>37075000, 75400 CLINICAL LABORATORY SERVICES</t>
  </si>
  <si>
    <t>37076300, DIAGNOSTIC IMAGING</t>
  </si>
  <si>
    <t>37077100, PHARMACY</t>
  </si>
  <si>
    <t>37077610, ENDOSCOPY</t>
  </si>
  <si>
    <t>37083400, DIETARY</t>
  </si>
  <si>
    <t>Providence Holy Family Hospital</t>
  </si>
  <si>
    <t>36570100, 70101 EMERGENCY</t>
  </si>
  <si>
    <t>Pain Management</t>
  </si>
  <si>
    <t>36570708, PAIN CLINIC</t>
  </si>
  <si>
    <t>36572220, ANTICOAGULATION OP CLINIC</t>
  </si>
  <si>
    <t>36574200, SURGICAL SERVICES</t>
  </si>
  <si>
    <t>36574201, SURG PROC CALL CTR</t>
  </si>
  <si>
    <t>36560100, INTENSIVE CARE</t>
  </si>
  <si>
    <t>36560101, ADVANCED CARE</t>
  </si>
  <si>
    <t>36560300, CARDIAC REHABILITATION (U)</t>
  </si>
  <si>
    <t>36561710, MEDICAL ACUTE</t>
  </si>
  <si>
    <t>36561720, SURGICAL ACUTE</t>
  </si>
  <si>
    <t>36563800, FAMILY MATERNITY CENTER (U)</t>
  </si>
  <si>
    <t>36574204, SURGERY ADMIN</t>
  </si>
  <si>
    <t>36574270, RECOVERY ROOM SERVICES</t>
  </si>
  <si>
    <t>36574300, SURG-MED ADMISSIONS UNIT</t>
  </si>
  <si>
    <t>36574701, STERILE PROCESSING</t>
  </si>
  <si>
    <t>36575000, CLINICAL LABORATORY SERVICES</t>
  </si>
  <si>
    <t>36575900, CARDIOLOGY SERVICES</t>
  </si>
  <si>
    <t>36576310, CATH LAB</t>
  </si>
  <si>
    <t>36577100, PHARMACY</t>
  </si>
  <si>
    <t>36577150, IV THERAPY</t>
  </si>
  <si>
    <t>36577200, RESPIRATORY THERAPY</t>
  </si>
  <si>
    <t>36578740, SLEEP LABORATORY</t>
  </si>
  <si>
    <t>36583400, DIETARY</t>
  </si>
  <si>
    <t>36583500, LAUNDRY AND LINEN</t>
  </si>
  <si>
    <t>36583600, SOCIAL WORK SRVS</t>
  </si>
  <si>
    <t>36584200, SECURITY</t>
  </si>
  <si>
    <t>36584400, ENVIRONMENTAL SERVICES</t>
  </si>
  <si>
    <t>36584500, PLANT OPERATIONS</t>
  </si>
  <si>
    <t>36584601, BIOMED INSTRUMENT SERVICES</t>
  </si>
  <si>
    <t>36587100, MEDICAL STAFF ADMINISTRATION</t>
  </si>
  <si>
    <t>36587200, NURSING ADMINISTRATION</t>
  </si>
  <si>
    <t>Clinical Nutrition Services (N)</t>
  </si>
  <si>
    <t>Providence Sacred Heart Medical Center</t>
  </si>
  <si>
    <t>34560700, NICU</t>
  </si>
  <si>
    <t>34561702, NEPHROLOGY</t>
  </si>
  <si>
    <t>34561703, CARDIAC MEDICAL</t>
  </si>
  <si>
    <t>34561705 PSYCH MEDICAL &amp; 34563400 MAIN ADULT PSYCH</t>
  </si>
  <si>
    <t>34561710, 7N MEDICAL</t>
  </si>
  <si>
    <t>34561720, SURGICAL FLOOR</t>
  </si>
  <si>
    <t>34561730, ONCOLOGY</t>
  </si>
  <si>
    <t>34577150, IV THERAPY</t>
  </si>
  <si>
    <t>34577610, ENDOSCOPY</t>
  </si>
  <si>
    <t>34560100, ICU</t>
  </si>
  <si>
    <t>34560340, CARDIAC ADVANCED CARE UNIT</t>
  </si>
  <si>
    <t>34560341, CARDIAC CARE</t>
  </si>
  <si>
    <t>34560343, CARDIAC REHAB SERVICE</t>
  </si>
  <si>
    <t>34560500, PICU</t>
  </si>
  <si>
    <t>34560501, PICU INTERMEDIATE</t>
  </si>
  <si>
    <t>34561770, TRAUMA ORTHO</t>
  </si>
  <si>
    <t>34563801 ANTEPARTUM</t>
  </si>
  <si>
    <t>34565300, MOTHER BABY</t>
  </si>
  <si>
    <t>34570100, EMERGENCY SERVICES</t>
  </si>
  <si>
    <t>34570800, ANTICOAGULATION CLINIC</t>
  </si>
  <si>
    <t>34572610, BEST PROGRAM</t>
  </si>
  <si>
    <t>34574000, LABOR AND DELIVERY</t>
  </si>
  <si>
    <t>34574200, SURGICAL SERVICES</t>
  </si>
  <si>
    <t>34574201, SURGERY ADMIN</t>
  </si>
  <si>
    <t>34574270, PACU</t>
  </si>
  <si>
    <t>34574271, AM ADMIT UNIT</t>
  </si>
  <si>
    <t>34574272, PRESURGICAL SCREENING</t>
  </si>
  <si>
    <t>34574300, DAY SURGERY</t>
  </si>
  <si>
    <t>34574704, STERILE PROCESSING</t>
  </si>
  <si>
    <t>34575700, CARDIOVASCULAR</t>
  </si>
  <si>
    <t>34575710, ELECTROPHYSIOLOGY</t>
  </si>
  <si>
    <t>34575900, CARDIOLOGY (U)</t>
  </si>
  <si>
    <t>34576200, ELECTRO NEURO DIAGNOSTICS</t>
  </si>
  <si>
    <t>34576350, RADIOLOGY-ADMIN</t>
  </si>
  <si>
    <t>34576390, MOBILE MAMMOGRAPHY</t>
  </si>
  <si>
    <t>34576405, TUMOR REGISTRY</t>
  </si>
  <si>
    <t>34576490, INTERVENTIONAL RADIOLOGY</t>
  </si>
  <si>
    <t>34576500, NUCLEAR MEDICINE</t>
  </si>
  <si>
    <t>34577100, PHARMACY</t>
  </si>
  <si>
    <t>34577102, OP PHARMACY</t>
  </si>
  <si>
    <t>34582500, PHARMACIST RESIDENCY PROG</t>
  </si>
  <si>
    <t>34583400, DIETARY</t>
  </si>
  <si>
    <t>34583500, LAUNDRY AND LINEN</t>
  </si>
  <si>
    <t>34583601, SOCIAL SERVICES</t>
  </si>
  <si>
    <t>34577200, RESPIRATORY THERAPY</t>
  </si>
  <si>
    <t>34583700, CENTRAL TRANSPORTATION</t>
  </si>
  <si>
    <t>34584200, SECURITY</t>
  </si>
  <si>
    <t>34584400, ENVIRONMENTAL SERVICES</t>
  </si>
  <si>
    <t>34584500 &amp; 34584600-34584605 Plant Ops Combined</t>
  </si>
  <si>
    <t>34584610, CLINICAL ENGINEERING</t>
  </si>
  <si>
    <t>34584700, COMMUNICATIONS (U)</t>
  </si>
  <si>
    <t>34586100, 86103 ADMINISTRATION</t>
  </si>
  <si>
    <t>34586700, VOLUNTEER SERVICES</t>
  </si>
  <si>
    <t>34587100, MEDICAL STAFF SERVICES</t>
  </si>
  <si>
    <t>34587200, NURSING ADMINISTRATION</t>
  </si>
  <si>
    <t>34587550, CASE MANAGEMENT</t>
  </si>
  <si>
    <t>34587706, Cardiac Administration</t>
  </si>
  <si>
    <t>Womens Health Clinic</t>
  </si>
  <si>
    <t>34587901, WOMENS HEALTH CENTER</t>
  </si>
  <si>
    <t>34590300, FOUNDATION</t>
  </si>
  <si>
    <t>Laboratory Services Anatomic Pathology</t>
  </si>
  <si>
    <t>Laboratory Services Clinical Operations</t>
  </si>
  <si>
    <t>Providence St Joseph's Hospital Chewelah</t>
  </si>
  <si>
    <t>PT OT SLP Combined Inpatient Outpatient</t>
  </si>
  <si>
    <t>37570100, 70101 EMERGENCY SERVICES</t>
  </si>
  <si>
    <t>37576300, DIAGNOSTIC IMAGING</t>
  </si>
  <si>
    <t>37577100, PHARMACY</t>
  </si>
  <si>
    <t>37577200, RESPIRATORY THERAPY</t>
  </si>
  <si>
    <t>37583400, DIETARY</t>
  </si>
  <si>
    <t>37584500, PLANT OPERATIONS</t>
  </si>
  <si>
    <t>37586100, 86102 ADMINISTRATION</t>
  </si>
  <si>
    <t>37587200, NURSING ADMINISTRATION</t>
  </si>
  <si>
    <t>SER</t>
  </si>
  <si>
    <t>Providence Saint Mary Medical Center</t>
  </si>
  <si>
    <t>32573900, HOME HEALTH CARE SVS</t>
  </si>
  <si>
    <t>32574200, 74210 OPERATING ROOM</t>
  </si>
  <si>
    <t>32574270, PACU</t>
  </si>
  <si>
    <t>32584200, SECURITY</t>
  </si>
  <si>
    <t>32580100, CANCER CENTER ADMIN</t>
  </si>
  <si>
    <t>32582908, 87101 ORGANIZATIONAL DEVELOPMENT</t>
  </si>
  <si>
    <t>32583500, LAUNDRY AND LINEN</t>
  </si>
  <si>
    <t>32577901, IP OCCUPATIONAL THERAPY</t>
  </si>
  <si>
    <t>04490, Pharmacy Administration and Support</t>
  </si>
  <si>
    <t>32561701, SURGICAL FLOOR</t>
  </si>
  <si>
    <t>32561710, MEDICAL ACUTE</t>
  </si>
  <si>
    <t>32564400, IP REHAB</t>
  </si>
  <si>
    <t>32570100, 70102 EMERGENCY SERVICES</t>
  </si>
  <si>
    <t>32572340, INFUSION SERVICES</t>
  </si>
  <si>
    <t>32574700, CENTRAL PROCESSING AND DISTRIB</t>
  </si>
  <si>
    <t>32575000, 75400 CLINICAL LAB SERVICES / BLOOD BANK</t>
  </si>
  <si>
    <t>32576305, DIAGNOSTIC IMAGING</t>
  </si>
  <si>
    <t>32576428, RADIATION ONCOLOGY</t>
  </si>
  <si>
    <t>32576430, MEDICAL ONCOLOGY CLINIC</t>
  </si>
  <si>
    <t>32576608, MRI</t>
  </si>
  <si>
    <t>32576700, ULTRASOUND</t>
  </si>
  <si>
    <t>32576800, CT SCAN</t>
  </si>
  <si>
    <t>32577100, PHARMACY</t>
  </si>
  <si>
    <t>32577200, RESPIRATORY THERAPY COMBINED</t>
  </si>
  <si>
    <t>32577610, ENDOSCOPY</t>
  </si>
  <si>
    <t>32577700, OP PHYSICAL THERAPY</t>
  </si>
  <si>
    <t>32577701, PT OT ADMIN</t>
  </si>
  <si>
    <t>32577702, IP PHYSICAL THERAPY</t>
  </si>
  <si>
    <t>32577800, SPEECH THERAPY</t>
  </si>
  <si>
    <t>32577900, OP OCCUPATIONAL THERAPY</t>
  </si>
  <si>
    <t>32578740, SLEEP LABORATORY</t>
  </si>
  <si>
    <t>32584400, ENVIRONMENTAL SERVICES</t>
  </si>
  <si>
    <t>32584600, 84602 PLANT SERVICES / GROUNDS</t>
  </si>
  <si>
    <t>32587100, MEDICAL STAFF ADMINISTRATION</t>
  </si>
  <si>
    <t>32565390, 32570753, WHS / SPECIAL CARE NURSERY</t>
  </si>
  <si>
    <t>32590300, FOUNDATION OPERATIONS</t>
  </si>
  <si>
    <t>Providence St Joseph Medical Center Polson</t>
  </si>
  <si>
    <t>46561700, MEDICAL SURGICAL</t>
  </si>
  <si>
    <t>46570100, EMERGENCY SERVICES</t>
  </si>
  <si>
    <t>Multi-discipline Combined Clinic</t>
  </si>
  <si>
    <t>46576300, DIAGNOSTIC IMAGING</t>
  </si>
  <si>
    <t>46577100, PHARMACY</t>
  </si>
  <si>
    <t>46577102, SJH Retail Pharmacy</t>
  </si>
  <si>
    <t>46577200, RESPIRATORY THERAPY</t>
  </si>
  <si>
    <t>46583400, DIETARY</t>
  </si>
  <si>
    <t>46584400, ENVIRONMENTAL SERVICES</t>
  </si>
  <si>
    <t>46584500, FAC ENGINEERING</t>
  </si>
  <si>
    <t>46586100, ADMINISTRATION (U)</t>
  </si>
  <si>
    <t>Clinical Operations &amp; Blood Bank Combined</t>
  </si>
  <si>
    <t>SHS</t>
  </si>
  <si>
    <t>Swedish First Hill</t>
  </si>
  <si>
    <t>21060100 INTENSIVE CARE</t>
  </si>
  <si>
    <t>21060500 PEDIATRIC INTENSIVE CARE</t>
  </si>
  <si>
    <t>21060700-1 NEONATAL INTENSIVE CARE/INTERMEDIATE CARE</t>
  </si>
  <si>
    <t>21061300 TELEMETRY</t>
  </si>
  <si>
    <t>21061705 NEPHROLOGY SURGICAL</t>
  </si>
  <si>
    <t>21061791 MEDICAL RESPIRATORY</t>
  </si>
  <si>
    <t>21061792 SHORT STAY UNIT</t>
  </si>
  <si>
    <t>21062900 PEDIATRIC UNIT</t>
  </si>
  <si>
    <t>21063800 POSTPARTUM</t>
  </si>
  <si>
    <t>21063801 ANTEPARTUM</t>
  </si>
  <si>
    <t>21070100 EMERGENCY SERVICES</t>
  </si>
  <si>
    <t>21070700 FAMILY MEDICINE CLINIC</t>
  </si>
  <si>
    <t>21070708 PAIN SERVICES</t>
  </si>
  <si>
    <t>21070720 DIABETES EDUCATION CENTER</t>
  </si>
  <si>
    <t>General Surgery Clinic</t>
  </si>
  <si>
    <t>21070780 SCI HEAD AND NECK SURG</t>
  </si>
  <si>
    <t>21070800 ANTICOAGULATION THERAPY SVCS</t>
  </si>
  <si>
    <t>21071919 SCI THORACIC SURGERY</t>
  </si>
  <si>
    <t>21072320 AMBULATORY INFUSION CENTER</t>
  </si>
  <si>
    <t>21074000, 21063802 LABOR AND DELIVERY &amp; OB TRIAGE</t>
  </si>
  <si>
    <t>21074001 PERINATAL CLINIC</t>
  </si>
  <si>
    <t>21074200 SURGERY/21074232 PERFUSION SERVICES/21074704 SURGERY PATIENT CHARGEABLE</t>
  </si>
  <si>
    <t>21074202 WEIGHT LOSS CLINIC</t>
  </si>
  <si>
    <t>21074210 ORTHOPEDIC SURGERY/21074709 ORTHO SURG PATIENT CHARGEABLES</t>
  </si>
  <si>
    <t>21074270 RECOVERY 2nd Level</t>
  </si>
  <si>
    <t>21074276 ORTHO SURGERY RECOVERY</t>
  </si>
  <si>
    <t>21074278 AMBULATORY SURGERY RECOVERY C Level</t>
  </si>
  <si>
    <t>21074292, PREADMISSION CENTER</t>
  </si>
  <si>
    <t>21074294 ORTHO PRE AND POST SURGERY CTR</t>
  </si>
  <si>
    <t>21074295 SCI BREAST SURGERY</t>
  </si>
  <si>
    <t>Plastic Surgery Clinic</t>
  </si>
  <si>
    <t>21074296 SCI RECONSTRUCTIVE SURGERY</t>
  </si>
  <si>
    <t>21074300 AMBULATORY/21074708 AMB PATIENT CHG</t>
  </si>
  <si>
    <t>21074303 SCI COLORECTAL SURGERY</t>
  </si>
  <si>
    <t>21074305 AMBULATORY SURGERY CENTER 1SE</t>
  </si>
  <si>
    <t>21074500 ANESTHESIA</t>
  </si>
  <si>
    <t>21074701-02 FH STERILE PROCESSING/ORTHO SURG STERILE PROCESSING/21084060 PDC</t>
  </si>
  <si>
    <t>21075600 ECHOCARDIOLOGY</t>
  </si>
  <si>
    <t>21075700 CARDIAC CATHERIZATION</t>
  </si>
  <si>
    <t>21076208 EEG</t>
  </si>
  <si>
    <t>21076300 MEDICAL IMAGING</t>
  </si>
  <si>
    <t>21076390 SCI BREAST CARE CENTER</t>
  </si>
  <si>
    <t>21076391 MOBILE BREAST CANCER SVCS</t>
  </si>
  <si>
    <t>21076410, 21076430 FH TREATMENT CTR &amp; MEDICAL ONCOLOGY</t>
  </si>
  <si>
    <t>21076412 SCI HIGHLINE</t>
  </si>
  <si>
    <t>21076413 EASTSIDE MEDICAL ONCOLOGY</t>
  </si>
  <si>
    <t>21076414 SCI EDMONDS</t>
  </si>
  <si>
    <t>21076416 SCI ISSAQUAH</t>
  </si>
  <si>
    <t>21076428 RADIATION ONCOLOGY</t>
  </si>
  <si>
    <t>21076498 INTERVENTIONAL RADIOLOGY</t>
  </si>
  <si>
    <t>21076500 NUCLEAR MEDICINE</t>
  </si>
  <si>
    <t>21076600 MRI</t>
  </si>
  <si>
    <t>21076700 ULTRASOUND</t>
  </si>
  <si>
    <t>21076800 CT SCANNING</t>
  </si>
  <si>
    <t>21077100 PHARMACY</t>
  </si>
  <si>
    <t>21077102 RETAIL PHARMACY/21077107 ORTHO PHARMACY</t>
  </si>
  <si>
    <t>21077706 FACTORIA REHAB SVCS</t>
  </si>
  <si>
    <t>21077709 OP REHAB SERVICES FH</t>
  </si>
  <si>
    <t>21077900 IP OCCUPATIONAL THERAPY FH</t>
  </si>
  <si>
    <t>Transplant Center</t>
  </si>
  <si>
    <t>21078622 ORGAN TRANSPLANT/78600 KIDNEY ACQ/78621 LIVER/74223-4 POST LIVER KIDNEY</t>
  </si>
  <si>
    <t>21083300 CAFETERIA/21083301 DOCTORS DINING ROOM/21083340 CATERING</t>
  </si>
  <si>
    <t>21083400 NUTRITION SERVICES</t>
  </si>
  <si>
    <t>21083401 DIET CONSULTANTS</t>
  </si>
  <si>
    <t>21083500 LINEN FH</t>
  </si>
  <si>
    <t>21083700 CENTRAL DISPATCH AND TRANSPORT/21086109 PERIO SUPPORT</t>
  </si>
  <si>
    <t>21084200 SECURITY</t>
  </si>
  <si>
    <t>21084400 ENVIRONMENTAL SVC/21084401 ENVIRO CARE/21084402 WASTE MGMT</t>
  </si>
  <si>
    <t>21084500 FACILITY MGMT/21084560 CONSTRUCTION/21084602 GROUND</t>
  </si>
  <si>
    <t>21086100 ADMINISTRATION/21086105 OB NEONATAL ADMIN/21087904 ORTHOPEDICS ADMIN</t>
  </si>
  <si>
    <t>21086107 MEDICAL IMAGING ADMIN</t>
  </si>
  <si>
    <t>21086123, SURGICAL RESOURCES</t>
  </si>
  <si>
    <t>21087010 Ambulatory Services Administration</t>
  </si>
  <si>
    <t>21087202 NURSING SUPERVISORS</t>
  </si>
  <si>
    <t>Centralized Scheduling (N)</t>
  </si>
  <si>
    <t>Centralized Telemetry (N)</t>
  </si>
  <si>
    <t>21061710 GENERAL MEDICAL</t>
  </si>
  <si>
    <t>21061715 MEDICAL SURGICAL TELEMETRY</t>
  </si>
  <si>
    <t>21061720 GENERAL SURGICAL</t>
  </si>
  <si>
    <t>21061730 ONCOLOGY SERVICES</t>
  </si>
  <si>
    <t>21077103 EDMONDS CANCER PHARMACY</t>
  </si>
  <si>
    <t>21077104 PHARMACY RESIDENCY Admin</t>
  </si>
  <si>
    <t>21077105 ISSAQUAH CANCER PHARMACY</t>
  </si>
  <si>
    <t>21077109 FIRST HILL CANCER PHARMACY</t>
  </si>
  <si>
    <t>21077158 INTRAVENOUS NURSES</t>
  </si>
  <si>
    <t>21077400 DIALYSIS/21077411 DIALYSIS TRAINING</t>
  </si>
  <si>
    <t>21077600 ENDOSCOPY</t>
  </si>
  <si>
    <t>21077700 PHYSICAL THERAPY FH</t>
  </si>
  <si>
    <t>21077705 WEST SEATTLE REHAB SVCS</t>
  </si>
  <si>
    <t>21077200 RESPIRATORY THERAPY</t>
  </si>
  <si>
    <t>Issaquah Radiation Therapy (N)</t>
  </si>
  <si>
    <t>Oncology / Hematology Clinic Edmonds (N)</t>
  </si>
  <si>
    <t>Rehabilitation Services Administration (N)</t>
  </si>
  <si>
    <t>Tumor Disease Registries (N)</t>
  </si>
  <si>
    <t>Swedish Cherry Hill</t>
  </si>
  <si>
    <t>22060300 CRITICAL CARE</t>
  </si>
  <si>
    <t>22060390 NEURO CRITICAL CARE</t>
  </si>
  <si>
    <t>22061300 NEURO TELEMETRY</t>
  </si>
  <si>
    <t>22061703 INTERVENTIONAL CARDIAC</t>
  </si>
  <si>
    <t>22061790 CARDIAC UNIT</t>
  </si>
  <si>
    <t>22063400 BEHAVIORAL PSYCH</t>
  </si>
  <si>
    <t>22076701 VASCULAR ULTRASOUND</t>
  </si>
  <si>
    <t>22076800 CT SCANNING</t>
  </si>
  <si>
    <t>22077100 PHARMACY</t>
  </si>
  <si>
    <t>22077102 RETAIL PHARMACY</t>
  </si>
  <si>
    <t>22077158 INTRAVENOUS NURSES</t>
  </si>
  <si>
    <t>22083400 NUTRITION SERVICES</t>
  </si>
  <si>
    <t>22083401 DIET CONSULTANTS</t>
  </si>
  <si>
    <t>22083700 CENTRAL DISPATCH AND TRANSPORT</t>
  </si>
  <si>
    <t>22084200 SECURITY</t>
  </si>
  <si>
    <t>22084400 ENVIRONMENTAL SERVICES</t>
  </si>
  <si>
    <t>22084500 FACILITY MANAGEMENT/22084560 FACILITIES CONSTRUCTION</t>
  </si>
  <si>
    <t>22086107 MEDICAL IMAGING ADMIN</t>
  </si>
  <si>
    <t>22064400, REHAB UNIT</t>
  </si>
  <si>
    <t>22070100 EMERGENCY SERVICES</t>
  </si>
  <si>
    <t>22070700 FAMILY MEDICINE CLINIC</t>
  </si>
  <si>
    <t>22070701 WOUND HEALING CENTER OP</t>
  </si>
  <si>
    <t>22070860 NEUROSCIENCE EPILEPSY</t>
  </si>
  <si>
    <t>22072320 AMBULATORY INFUSION CENTER</t>
  </si>
  <si>
    <t>22074230 HEART AND VASCULAR SURGERY/22074232 PERFUSION SERVICES/22074705 HEART A</t>
  </si>
  <si>
    <t>22074270 RECOVERY</t>
  </si>
  <si>
    <t>22074292 PRE-ADMISSION CENTER</t>
  </si>
  <si>
    <t>22074500 ANESTHESIA</t>
  </si>
  <si>
    <t>22074701 STERILE PROCESSING/22084060 PRODUCT DISTRIBUTION CENTER</t>
  </si>
  <si>
    <t>22075600 ECHOCARDIOLOGY</t>
  </si>
  <si>
    <t>22075710 ELECTROPHYSIOLOGY LAB/22075702 STERIOTAXIS LAB</t>
  </si>
  <si>
    <t>22075910 CARDIO VASCULAR DIAGNOSTICS</t>
  </si>
  <si>
    <t>22075930 CARDIAC REHAB</t>
  </si>
  <si>
    <t>22076200 NEUROSCIENCE ADMIN/22086100 ADMINISTRATION/22087902 SWED HEART AND VASC (U)</t>
  </si>
  <si>
    <t>22076208 EEG</t>
  </si>
  <si>
    <t>22076300 MEDICAL IMAGING</t>
  </si>
  <si>
    <t>22076490 INTERVENTIONAL RADIOLOGY</t>
  </si>
  <si>
    <t>22076500 NUCLEAR MEDICINE</t>
  </si>
  <si>
    <t>22076600 MRI</t>
  </si>
  <si>
    <t>22076700 ULTRASOUND</t>
  </si>
  <si>
    <t>22077700 PHYSICAL THERAPY</t>
  </si>
  <si>
    <t>22077709 OP REHAB SERVICES</t>
  </si>
  <si>
    <t>22077800 IP SPEECH THERAPY</t>
  </si>
  <si>
    <t>22077900 IP OCCUPATIONAL THERAPY</t>
  </si>
  <si>
    <t>22078740 SLEEP LAB</t>
  </si>
  <si>
    <t>22083300 CAFETERIA/22083340 CATERING</t>
  </si>
  <si>
    <t>22086123 SURGICAL RESOURCES</t>
  </si>
  <si>
    <t>22087202 NURSING SUPERVISORS</t>
  </si>
  <si>
    <t>Ambulatory Services Administration (N)</t>
  </si>
  <si>
    <t>Pharmacy Administration and Support (N)</t>
  </si>
  <si>
    <t>22077200 RESPIRATORY THERAPY</t>
  </si>
  <si>
    <t>Swedish Edmonds</t>
  </si>
  <si>
    <t>23087550, 23083600 CARE COORDINATION, ED SOCIAL WORKERS</t>
  </si>
  <si>
    <t>Interventional Radiology (N)</t>
  </si>
  <si>
    <t>Patient Escort (Transport) Service (N)</t>
  </si>
  <si>
    <t>23070709 PAIN/23070740 NEPHROLOGIST/23070747 ENDO Specialty Clinic</t>
  </si>
  <si>
    <t>23070710 INTERNAL MEDICINE CLINIC</t>
  </si>
  <si>
    <t>23070739 SPECIALTY CLINIC SUPPORT</t>
  </si>
  <si>
    <t>23072320 AMBULATORY INFUSION CENTER</t>
  </si>
  <si>
    <t>23074200 SURGERY</t>
  </si>
  <si>
    <t>23074270 RECOVERY</t>
  </si>
  <si>
    <t>23074291 EYE SURGERY</t>
  </si>
  <si>
    <t>23074300 AMBULATORY SURGERY</t>
  </si>
  <si>
    <t>23074701 STERILE PROCESSING</t>
  </si>
  <si>
    <t>23075000/23075020/23075090/23075400 LAB MICROBIOLOGY BLOOD</t>
  </si>
  <si>
    <t>23075600 ECHOCARDIOLOGY</t>
  </si>
  <si>
    <t>23075700 CARDIAC CATHERIZATION</t>
  </si>
  <si>
    <t>23077800 IP SPEECH THERAPY</t>
  </si>
  <si>
    <t>23077900 IP OCCUPATIONAL THERAPY</t>
  </si>
  <si>
    <t>23078400 OP PSYCH</t>
  </si>
  <si>
    <t>23078740 SLEEP LAB</t>
  </si>
  <si>
    <t>23083300 CAFETERIA</t>
  </si>
  <si>
    <t>23083400 NUTRITION SERVICES</t>
  </si>
  <si>
    <t>23084400 ENVIRONMENTAL SERVICES</t>
  </si>
  <si>
    <t>23084500 FACILITY MANAGEMENT/23084560 CONSTRUCTION/23084602 GROUNDS MAINTENANCE</t>
  </si>
  <si>
    <t>Telecom Switchboard Combined</t>
  </si>
  <si>
    <t>23084700 TELECOMMUNICATIONS</t>
  </si>
  <si>
    <t>23086100 ADMINISTRATION</t>
  </si>
  <si>
    <t>23086107, 23076395, MEDICAL IMAGING ADMIN, CARDIAC IMAGING SUPPORT</t>
  </si>
  <si>
    <t>23086116, 23085302 LABORATORY ADMIN, PT ACCTS LAB OUTREACH</t>
  </si>
  <si>
    <t>23070701, 23078780 WOUND OSTOMY CLINIC, HYPERBARIC OXYGEN CHAMBER</t>
  </si>
  <si>
    <t>Surgical Services Administration (N)</t>
  </si>
  <si>
    <t>23060100 INTENSIVE CARE</t>
  </si>
  <si>
    <t>23061731 SURGERY ONCOLOGY</t>
  </si>
  <si>
    <t>23061770 MEDICAL ORTHOPEDICS</t>
  </si>
  <si>
    <t>23061790 PROGRESSIVE CARE UNIT</t>
  </si>
  <si>
    <t>23063400 PSYCHIATRY</t>
  </si>
  <si>
    <t>23063800 FAMILY CHILDBIRTH/23074501 OB ANESTHESIA</t>
  </si>
  <si>
    <t>23070100 EMERGENCY SERVICES</t>
  </si>
  <si>
    <t>23077200 RESPIRATORY THERAPY</t>
  </si>
  <si>
    <t>23075910 CARDIO VASCULAR DIAGNOSTICS (U)</t>
  </si>
  <si>
    <t>23087201 NURSING SUPPORT SERVICES</t>
  </si>
  <si>
    <t>23087340 PICC NURSING TEAM</t>
  </si>
  <si>
    <t>23076300 MEDICAL IMAGING</t>
  </si>
  <si>
    <t>23076390 MAMMOGRAPHY</t>
  </si>
  <si>
    <t>23076600 MRI</t>
  </si>
  <si>
    <t>23076700 ULTRASOUND</t>
  </si>
  <si>
    <t>23076800 CT SCANNING/23076850 PET CT</t>
  </si>
  <si>
    <t>23077100 PHARMACY</t>
  </si>
  <si>
    <t>23077102 RETAIL PHARMACY</t>
  </si>
  <si>
    <t>23077610 ENDOSCOPY CLINIC</t>
  </si>
  <si>
    <t>23077700 PHYSICAL THERAPY</t>
  </si>
  <si>
    <t>Swedish Ballard</t>
  </si>
  <si>
    <t>21570700 FAMILY MEDICINE CLINIC</t>
  </si>
  <si>
    <t>21572200 ADDICTION RECOVERY CLINIC</t>
  </si>
  <si>
    <t>21574200,21574270,21574300,21574701,21574704,21577600 Surgical Svc</t>
  </si>
  <si>
    <t>21576300 MEDICAL IMAGING</t>
  </si>
  <si>
    <t>21576410 CANCER TREATMENT CENTER</t>
  </si>
  <si>
    <t>21576420 RADIATION TREATMENT CENTER</t>
  </si>
  <si>
    <t>21576700 ULTRASOUND</t>
  </si>
  <si>
    <t>21576800 CT SCANNING</t>
  </si>
  <si>
    <t>21563800 FAMILY CHILDBIRTH CENTER</t>
  </si>
  <si>
    <t>21570100 EMERGENCY SERVICES</t>
  </si>
  <si>
    <t>21577100 PHARMACY</t>
  </si>
  <si>
    <t>21577158 INTRAVENOUS NURSES</t>
  </si>
  <si>
    <t>21577708 IP REHAB SERVICES</t>
  </si>
  <si>
    <t>21577709 OP REHAB SERVICES</t>
  </si>
  <si>
    <t>21583500 LINEN</t>
  </si>
  <si>
    <t>21584200 SECURITY</t>
  </si>
  <si>
    <t>21584400 ENVIRONMENTAL SERVICES</t>
  </si>
  <si>
    <t>21584500 FACILITY MANAGEMENT/21584560 FACILITIES CONSTRUCTION/21584602 GROUNDS</t>
  </si>
  <si>
    <t>21586100 ADMINISTRATION</t>
  </si>
  <si>
    <t>21587202 NURSING SUPERVISORS</t>
  </si>
  <si>
    <t>21577200 RESPIRATORY THERAPY</t>
  </si>
  <si>
    <t>21561700 ACUTE CARE</t>
  </si>
  <si>
    <t>Swedish Issaquah</t>
  </si>
  <si>
    <t>22561710 GENERAL MEDICAL</t>
  </si>
  <si>
    <t>22561720 GENERAL SURGICAL</t>
  </si>
  <si>
    <t>22561724 INTENSIVE CARE TELEMETRY</t>
  </si>
  <si>
    <t>22562900 PEDIATRIC UNIT</t>
  </si>
  <si>
    <t>22563800, 22563801, FAMILY CHILDBIRTH CENTER, POSTPARTUM</t>
  </si>
  <si>
    <t>22570100 EMERGENCY SERVICES</t>
  </si>
  <si>
    <t>22574000 LABOR AND DELIVERY</t>
  </si>
  <si>
    <t>22574200 SURGERY</t>
  </si>
  <si>
    <t>22574202 WEIGHT LOSS CLINIC</t>
  </si>
  <si>
    <t>22574270 RECOVERY</t>
  </si>
  <si>
    <t>22574500 ANESTHESIA</t>
  </si>
  <si>
    <t>22574701 STERILE PROCESSING</t>
  </si>
  <si>
    <t>22575600 ECHOCARDIOLOGY</t>
  </si>
  <si>
    <t>22575700 CARDIAC CATHERIZATION</t>
  </si>
  <si>
    <t>22576300 MEDICAL IMAGING</t>
  </si>
  <si>
    <t>22576390 MAMMOGRAPHY</t>
  </si>
  <si>
    <t>22576600 MRI</t>
  </si>
  <si>
    <t>22576700 ULTRASOUND</t>
  </si>
  <si>
    <t>22576800 CT SCANNING</t>
  </si>
  <si>
    <t>22577100 PHARMACY</t>
  </si>
  <si>
    <t>22577102 RETAIL PHARMACY</t>
  </si>
  <si>
    <t>22577158 INTRAVENOUS NURSES</t>
  </si>
  <si>
    <t>22577600 ENDOSCOPY</t>
  </si>
  <si>
    <t>22577708 IP REHAB SERVICES</t>
  </si>
  <si>
    <t>22577709 OP REHAB SERVICES</t>
  </si>
  <si>
    <t>22587202 NURSING SUPERVISORS</t>
  </si>
  <si>
    <t>Medical/Surgical Intermediate Unit (N)</t>
  </si>
  <si>
    <t>Post Anesthesia Care Unit (PACU) (N)</t>
  </si>
  <si>
    <t>22577200 RESPIRATORY THERAPY</t>
  </si>
  <si>
    <t>22578740 SLEEP LAB</t>
  </si>
  <si>
    <t>22583401 DIETICIAN SERVICES</t>
  </si>
  <si>
    <t>22584200 SECURITY</t>
  </si>
  <si>
    <t>22586100 ADMINISTRATION</t>
  </si>
  <si>
    <t>22584400 ENVIRONMENTAL SERVICES/22584401 EVS IP</t>
  </si>
  <si>
    <t>22584500 FACILITY MANAGEMENT/22584560 FACILITIES CONSTRUCTION/22584602 GROUNDS</t>
  </si>
  <si>
    <t>Swedish Health Services Corp (S)</t>
  </si>
  <si>
    <t>20586600 EMPLOYEE HEALTH</t>
  </si>
  <si>
    <t>20587100 MEDICAL STAFF SERVICES</t>
  </si>
  <si>
    <t>20587302 NURSING RESOURCE OFFICE</t>
  </si>
  <si>
    <t>20587530 EPIDEMIOLOGY-INFECTION PREVNTN</t>
  </si>
  <si>
    <t>20587550 CARE COORDINATION</t>
  </si>
  <si>
    <t>20590301,20590302,20590303,20590304,20590305,20590306,26090300 Foundation</t>
  </si>
  <si>
    <t>Courier Service</t>
  </si>
  <si>
    <t>Courier Service (N)</t>
  </si>
  <si>
    <t>100 Round Trips Performed</t>
  </si>
  <si>
    <t>20582901 CLINICAL EDUCATION/20582903 ACADEMIC AFFILIATIONS CLIN ED</t>
  </si>
  <si>
    <t>20584500 FACILITY MANAGEMENT/20584604 WORKFLOW SYSTEMS</t>
  </si>
  <si>
    <t>20584601 CLINICAL ENGINEERING/20584615 MEDICAL IMAGING ENGINEERS</t>
  </si>
  <si>
    <t>20586100 ADMINISTRATION/20586112 CHIEF NURSING ADMIN</t>
  </si>
  <si>
    <t>20586109 PERIO OPERATIVE ADMIN/20586123 SURGICAL RESOURCES</t>
  </si>
  <si>
    <t>Swedish Mill Creek</t>
  </si>
  <si>
    <t>23570100, MILL CREEK EMERGENCY SERVICES</t>
  </si>
  <si>
    <t>23577709, MILL CREEK OP REHAB SERVICES</t>
  </si>
  <si>
    <t>23584200, MILL CREEK SECURITY</t>
  </si>
  <si>
    <t>23584400, MILL CREEK ENVIRONMENTAL SERVICES</t>
  </si>
  <si>
    <t>Swedish Redmond Campus</t>
  </si>
  <si>
    <t>24070100, REDMOND EMERGENCY SERVICES</t>
  </si>
  <si>
    <t>24077709, REDMOND OP REHAB SERVICES</t>
  </si>
  <si>
    <t>24078740, REDMOND SLEEP LAB</t>
  </si>
  <si>
    <t>24084200, REDMOND SECURITY</t>
  </si>
  <si>
    <t>24084400, REDMOND ENVIRONMENTAL SERVICES</t>
  </si>
  <si>
    <t>Key</t>
  </si>
  <si>
    <t>Exclude</t>
  </si>
  <si>
    <t>Grand Total</t>
  </si>
  <si>
    <t>Sum of Total Paid Benchmarked FTEs</t>
  </si>
  <si>
    <t>FYE 4Q 2014</t>
  </si>
  <si>
    <t>Host Percent Rank FYE 4Q 2015</t>
  </si>
  <si>
    <t>UOS Host Value</t>
  </si>
  <si>
    <t>HWPU Host Value</t>
  </si>
  <si>
    <t>Percentile</t>
  </si>
  <si>
    <t>25th</t>
  </si>
  <si>
    <t>35th</t>
  </si>
  <si>
    <t>50th</t>
  </si>
  <si>
    <t>35th Percentile</t>
  </si>
  <si>
    <t>Opportunity $</t>
  </si>
  <si>
    <t>Opportunity Hours</t>
  </si>
  <si>
    <t>Paid FTE Opportunity</t>
  </si>
  <si>
    <t>Hours Worked as % Hours Paid</t>
  </si>
  <si>
    <t>Sum of Paid FTE Opportunity</t>
  </si>
  <si>
    <t>Sum of Opportunity Hours</t>
  </si>
  <si>
    <t>Sum of Opportunity $</t>
  </si>
  <si>
    <t>EWA/MT Total</t>
  </si>
  <si>
    <t>CMI Weighted Discharges</t>
  </si>
  <si>
    <t>WWA Total</t>
  </si>
  <si>
    <t>AK</t>
  </si>
  <si>
    <t>Providence Alaska Medical Center</t>
  </si>
  <si>
    <t>Hospital Administration</t>
  </si>
  <si>
    <t>Laboratory Services: Blood Bank</t>
  </si>
  <si>
    <t>Blood Bank</t>
  </si>
  <si>
    <t>Laboratory</t>
  </si>
  <si>
    <t>Anatomic Pathology</t>
  </si>
  <si>
    <t>Outreach Laboratory</t>
  </si>
  <si>
    <t>Lab Administration</t>
  </si>
  <si>
    <t>Biomedical Services</t>
  </si>
  <si>
    <t>Telecommunications (U)</t>
  </si>
  <si>
    <t>Sterile Processing &amp; Distribution</t>
  </si>
  <si>
    <t>Laundry</t>
  </si>
  <si>
    <t>Post Anesthesia Care Unit</t>
  </si>
  <si>
    <t>Ambulatory Services Unit</t>
  </si>
  <si>
    <t>TRANSPORT AND LOGISTICS</t>
  </si>
  <si>
    <t>VASCULAR ACCESS</t>
  </si>
  <si>
    <t>PHYSICAL THERAPY IP</t>
  </si>
  <si>
    <t>Occupational Therapy IP</t>
  </si>
  <si>
    <t>Speech Therapy IP</t>
  </si>
  <si>
    <t>Oncology Rehab</t>
  </si>
  <si>
    <t>OCCUP THERAPY OP ONLY</t>
  </si>
  <si>
    <t>PHYSICAL THERAPY OP ONLY</t>
  </si>
  <si>
    <t>N - Rehab Admin (U,N)</t>
  </si>
  <si>
    <t>Plant Operations</t>
  </si>
  <si>
    <t>Plant Maintenance and Grounds</t>
  </si>
  <si>
    <t>Maintenance &amp; Grounds</t>
  </si>
  <si>
    <t>Facilities Support</t>
  </si>
  <si>
    <t>Case Mgmt and Social Services</t>
  </si>
  <si>
    <t>Adjusted Patient Days</t>
  </si>
  <si>
    <t>Diagnostic Radiology Including Interventional Procedures</t>
  </si>
  <si>
    <t>Diagnostic Radiology</t>
  </si>
  <si>
    <t>MRI</t>
  </si>
  <si>
    <t>E K G (U)</t>
  </si>
  <si>
    <t>Radiation Oncology</t>
  </si>
  <si>
    <t>Echo (U)</t>
  </si>
  <si>
    <t>Cat Scanner</t>
  </si>
  <si>
    <t>N - Imaging Admin (U,N)</t>
  </si>
  <si>
    <t>Cafeteria</t>
  </si>
  <si>
    <t>Dietary and Nutritional Services</t>
  </si>
  <si>
    <t>Perioperative Services Admin</t>
  </si>
  <si>
    <t>CV Ambulatory</t>
  </si>
  <si>
    <t>19877200, RESPIRATORY THERAPY</t>
  </si>
  <si>
    <t>Clinical Activity Time Standard (CATS)</t>
  </si>
  <si>
    <t>Pharmacy</t>
  </si>
  <si>
    <t>Pharmacy Administration</t>
  </si>
  <si>
    <t>Medical/Cardiac Intensive Care Unit</t>
  </si>
  <si>
    <t>CARDIOVASCULAR CARE UNIT</t>
  </si>
  <si>
    <t>5N Medical Oncology</t>
  </si>
  <si>
    <t>Pediatrics</t>
  </si>
  <si>
    <t>Cardiovascular Surgical Intensive Care Unit</t>
  </si>
  <si>
    <t>CARDIAC THORASIC ICU</t>
  </si>
  <si>
    <t>Renal Care Unit</t>
  </si>
  <si>
    <t>19860101, IMCU</t>
  </si>
  <si>
    <t>PRENATAL UNIT</t>
  </si>
  <si>
    <t>5W Neuro</t>
  </si>
  <si>
    <t>3W Orthopedics</t>
  </si>
  <si>
    <t>Pediatric ICU</t>
  </si>
  <si>
    <t>Rehabilitation IP</t>
  </si>
  <si>
    <t>Progressive Care Unit</t>
  </si>
  <si>
    <t>Adult Critical Care Unit</t>
  </si>
  <si>
    <t>4 North Surgical</t>
  </si>
  <si>
    <t>Mother Baby Unit</t>
  </si>
  <si>
    <t>Infusion Therapy</t>
  </si>
  <si>
    <t>Labor &amp; Delivery with Recovery</t>
  </si>
  <si>
    <t>Peds/Adolescent Behavioral Health Unit</t>
  </si>
  <si>
    <t>Mental Health Unit</t>
  </si>
  <si>
    <t>Neonatal Intensive Care Unit (2)</t>
  </si>
  <si>
    <t>Outpatient Chemical Dependency</t>
  </si>
  <si>
    <t>Endocrinology Clinic</t>
  </si>
  <si>
    <t>Diabetes Clinic</t>
  </si>
  <si>
    <t>Cardiac Rehabilitation (U)</t>
  </si>
  <si>
    <t>Med Staff Office</t>
  </si>
  <si>
    <t>Endoscopy</t>
  </si>
  <si>
    <t>Medical Arts Pharmacy</t>
  </si>
  <si>
    <t>Nutrition Services</t>
  </si>
  <si>
    <t>Cardiac Cath Lab</t>
  </si>
  <si>
    <t>Total Procedures</t>
  </si>
  <si>
    <t>Kidney Dialysis</t>
  </si>
  <si>
    <t>Providence Kodiak Hospital</t>
  </si>
  <si>
    <t>18986100, FINANCE ADMIN CFO</t>
  </si>
  <si>
    <t>18975000, 75090, LABORATORY / REF LAB</t>
  </si>
  <si>
    <t>18983500, LAUNDRY</t>
  </si>
  <si>
    <t>18977700, PHYSICAL THERAPY</t>
  </si>
  <si>
    <t>18977900, OCCUPATIONAL THERAPY</t>
  </si>
  <si>
    <t>18984600, 84601 FACILITIES SUPPORT</t>
  </si>
  <si>
    <t>18984200, SECURITY</t>
  </si>
  <si>
    <t>18984400, ENVIRONMENTAL SERVICES</t>
  </si>
  <si>
    <t>18983400, DIETARY</t>
  </si>
  <si>
    <t>PHARMACY</t>
  </si>
  <si>
    <t>RESPIRATORY THERAPY (U)</t>
  </si>
  <si>
    <t>Long Term Care Unit</t>
  </si>
  <si>
    <t>ECF KODIAK</t>
  </si>
  <si>
    <t>18970100, 70101 EMERGENCY DEPARTMENT / Trauma</t>
  </si>
  <si>
    <t>Ambulatory Services Administration (U,N)</t>
  </si>
  <si>
    <t>18987520, QUALITY IMPROVEMENT</t>
  </si>
  <si>
    <t>CA</t>
  </si>
  <si>
    <t>Providence Holy Cross Medical Center</t>
  </si>
  <si>
    <t>Subacute Nursing Unit</t>
  </si>
  <si>
    <t>72065600 Subacute Nursing Inpatient Unit</t>
  </si>
  <si>
    <t>72061744, 4S TELEMTRY</t>
  </si>
  <si>
    <t>72077200 Respiratory Therapy</t>
  </si>
  <si>
    <t>83,33%</t>
  </si>
  <si>
    <t>72061731, 2D ONCOLOGY</t>
  </si>
  <si>
    <t>72077600 Endoscopy (GI) Laboratory</t>
  </si>
  <si>
    <t>72087530 Epidemiology</t>
  </si>
  <si>
    <t>72083600 Social Work Services</t>
  </si>
  <si>
    <t>72083400 Dietary Patient Services</t>
  </si>
  <si>
    <t>Respiratory Intermediate Care Unit</t>
  </si>
  <si>
    <t>72061540, 3C TELE PULMONARY</t>
  </si>
  <si>
    <t>72077700 Physical Therapy Inpatient</t>
  </si>
  <si>
    <t>72061510, 3A/3B TELE NEURO</t>
  </si>
  <si>
    <t>72060100, INTENSIVE CARE UNIT</t>
  </si>
  <si>
    <t>72077900 Occupational Therapy - Acute Inpatient &amp; Outpatient</t>
  </si>
  <si>
    <t>72070100, 72070120 Emergency Department / Trauma</t>
  </si>
  <si>
    <t>72076100 Cardiology Non-Invasive Diagnostic</t>
  </si>
  <si>
    <t>72061732, 2A / 2B MED SURG ORTHO</t>
  </si>
  <si>
    <t>72084700 Telecommunications</t>
  </si>
  <si>
    <t>5099, Facility Services Administration (U,N)</t>
  </si>
  <si>
    <t>72076700 HOSP Ultrasound</t>
  </si>
  <si>
    <t>7207500 Clinical Lab Operations</t>
  </si>
  <si>
    <t>72076310, PHCMC RADIOLOGY SPECIAL PROC</t>
  </si>
  <si>
    <t>72072350 Hematology Oncology Infusion Therapy</t>
  </si>
  <si>
    <t>72087100 Medical Staff Office</t>
  </si>
  <si>
    <t>72076800 HOSP CAT Scan</t>
  </si>
  <si>
    <t>72084200 Security</t>
  </si>
  <si>
    <t>Imaging Services Administration (U,N)</t>
  </si>
  <si>
    <t>72075700 Card Cath Lab Invasive Cardiology</t>
  </si>
  <si>
    <t>72076300 Hosp Radiology Diagnostic</t>
  </si>
  <si>
    <t>72083700 Patient Escort (Transport) Service</t>
  </si>
  <si>
    <t>72063800, 72065320 Maternity / Nursery</t>
  </si>
  <si>
    <t>72087440 Clinical Staff Education</t>
  </si>
  <si>
    <t>72077100 Pharmacy</t>
  </si>
  <si>
    <t>72084100 500 600 Landscape Engr Plant Maint</t>
  </si>
  <si>
    <t>72064400, 3D ACUTE REHAB (IRF)</t>
  </si>
  <si>
    <t>72060700 NICU</t>
  </si>
  <si>
    <t>72076600 HOSP Magnetic Resonance Imaging</t>
  </si>
  <si>
    <t>72072300 Surgery Pre Op and Post Recovery Only</t>
  </si>
  <si>
    <t>72087400 72087540 Quality Improvement / Risk Mgmt</t>
  </si>
  <si>
    <t>72077800 Speech Therapy</t>
  </si>
  <si>
    <t>72074270 Post Anesthesia Care Unit (PACU) / Recovery</t>
  </si>
  <si>
    <t>72084650 Biomedical Engineering</t>
  </si>
  <si>
    <t>72083500 Laundry</t>
  </si>
  <si>
    <t>72084400 Environmental (Housekeeping) Services</t>
  </si>
  <si>
    <t>72061721, 2S MED SURG TELE</t>
  </si>
  <si>
    <t>72074000 Labor &amp; Delivery</t>
  </si>
  <si>
    <t>72070760 Physical Therapy - Outpatient Only</t>
  </si>
  <si>
    <t>72060150, 3S STEPDOWN / PROGRESSIVE CARE</t>
  </si>
  <si>
    <t>72074200 PHCMC SURGERY</t>
  </si>
  <si>
    <t>Providence Little Company of Mary Hospital</t>
  </si>
  <si>
    <t>76276700 03450 ULTRASOUND</t>
  </si>
  <si>
    <t>76287530, LCMH QI INFECTION CON (U)</t>
  </si>
  <si>
    <t>76287500 05830 UTILIZATION CARE MGMT</t>
  </si>
  <si>
    <t>76261505 - 1122 - LCHM ACUTE DOU OVERFLOW</t>
  </si>
  <si>
    <t>76285602 04665 PRE ADMITTING</t>
  </si>
  <si>
    <t>76277200 04110 RESPIRATORY CARE</t>
  </si>
  <si>
    <t>76283800 03071 STERILE PROCESSING</t>
  </si>
  <si>
    <t>76260700 01277 NICU</t>
  </si>
  <si>
    <t>76277900 04825 OCCUPATIONAL THERAPY</t>
  </si>
  <si>
    <t>76261501 - 1122 LCMH LUMINARY CARE</t>
  </si>
  <si>
    <t>76261710 01212 ADULT SURGICAL</t>
  </si>
  <si>
    <t>76286142 01910 TCU ADMINISTRATION</t>
  </si>
  <si>
    <t>76277700 04815 PHYSICAL THERAPY</t>
  </si>
  <si>
    <t>76276500 03460 NUCLEAR MEDICINE</t>
  </si>
  <si>
    <t>76276315 03440 WOMENS IMAGING</t>
  </si>
  <si>
    <t>76276421 04010 RADIATION THERAPY</t>
  </si>
  <si>
    <t>Skilled Nursing Unit</t>
  </si>
  <si>
    <t>76269200 01530 TCU</t>
  </si>
  <si>
    <t>76275001 03370 CONSOLIDATED LABORATORY</t>
  </si>
  <si>
    <t>76272900 02310 HOME HEALTH</t>
  </si>
  <si>
    <t>76286701 06370 VOLUNTEERS</t>
  </si>
  <si>
    <t>76276300 03411 RADIOLOGY</t>
  </si>
  <si>
    <t>76275401 03390 CONSOLIDATED BLOOD BANK</t>
  </si>
  <si>
    <t>76262900 01260 PEDIATRIC ACUTE</t>
  </si>
  <si>
    <t>76283600 05810 PATIENT FAMILY SERVICES</t>
  </si>
  <si>
    <t>76284200 05910 SECURITY</t>
  </si>
  <si>
    <t>76275930 04241 CARDIAC REHAB</t>
  </si>
  <si>
    <t>76287235 01830 CENTRAL PATIENT MONITORING</t>
  </si>
  <si>
    <t>76275701 04230 ANGIO CENTER (72301)</t>
  </si>
  <si>
    <t>76287401 06210 EDUCATION-SIMULATION (87405)</t>
  </si>
  <si>
    <t>76277102 - 4440 - LCMH OP Pharmacy</t>
  </si>
  <si>
    <t>76277800 04861 SPEECH THERAPY</t>
  </si>
  <si>
    <t>76274300 03030 AMBULATORY SURGERY</t>
  </si>
  <si>
    <t>76261740 61745 - 1110 - LCMH 4 MS ONC TELE ONC</t>
  </si>
  <si>
    <t>76283200 05112 DIETARY (83300-83400)</t>
  </si>
  <si>
    <t>Patient Transport (U,N)</t>
  </si>
  <si>
    <t>Pharmacy Administration &amp; Support (U,N)</t>
  </si>
  <si>
    <t>76287520 05825 PI-RISK (87541)</t>
  </si>
  <si>
    <t>76260100 01013 ICU</t>
  </si>
  <si>
    <t>76284700 05530 COMMUNICATIONS</t>
  </si>
  <si>
    <t>76283500 05221 LAUNDRY &amp; LINEN</t>
  </si>
  <si>
    <t>Imaging Service Administration (U,N)</t>
  </si>
  <si>
    <t>Newborn Nursery</t>
  </si>
  <si>
    <t>76265300 01280 Newborn Nursery</t>
  </si>
  <si>
    <t>76275900 04220 CARDIOLOGY (U)</t>
  </si>
  <si>
    <t>76264000 01272 POST PARTUM</t>
  </si>
  <si>
    <t>76284601 05040 BIO MED ENGINEER</t>
  </si>
  <si>
    <t>76284400 05211 EVS</t>
  </si>
  <si>
    <t>76276800 03420 CAT SCAN</t>
  </si>
  <si>
    <t>76277600 04630 GI LAB</t>
  </si>
  <si>
    <t>76275201 03380 CONSOLIDATED PATHOLOGY</t>
  </si>
  <si>
    <t>76284501 05099 SERVICE CENTER</t>
  </si>
  <si>
    <t>76286100 06610 ADMINISTRATION (85104)</t>
  </si>
  <si>
    <t>76270100 02010 EMERGENCY DEPT (U)</t>
  </si>
  <si>
    <t>76287100 06510 MEDICAL STAFF</t>
  </si>
  <si>
    <t>76276600 03430 MRI</t>
  </si>
  <si>
    <t>76274200 03011 SURGERY</t>
  </si>
  <si>
    <t>76274270 03020 RECOVERY ROOM</t>
  </si>
  <si>
    <t>76284500 600 Plant Ops Plant Maint</t>
  </si>
  <si>
    <t>Providence San Pedro Peninsula Hospital</t>
  </si>
  <si>
    <t>77264200, SPH CDU IP</t>
  </si>
  <si>
    <t>77275700 SPH CATH LAB</t>
  </si>
  <si>
    <t>77277900, SPH OCCUPAT THERAPY</t>
  </si>
  <si>
    <t>77277800 SPH SPEECH THERAPY (U)</t>
  </si>
  <si>
    <t>77283901 SPH PHARMACY WEST</t>
  </si>
  <si>
    <t>77277200 SPH RESPIRATORY CARE</t>
  </si>
  <si>
    <t>77261713, SPH 3W TELE</t>
  </si>
  <si>
    <t>77277700 PHYSICAL THERAPY</t>
  </si>
  <si>
    <t>01830, Centralized Telemetry Normalization (U,N)</t>
  </si>
  <si>
    <t>77283600 SPH PAT. &amp; FAM. SERV</t>
  </si>
  <si>
    <t>77264400 REHABILITATION</t>
  </si>
  <si>
    <t>77274300 SPH AMBULATORY SURG</t>
  </si>
  <si>
    <t>77284400 83500 SPH EVS LAUNDRY LINEN</t>
  </si>
  <si>
    <t>77263400 PSYCHIATRIC</t>
  </si>
  <si>
    <t>77263401,78400 SPH PSYCH SERVICES</t>
  </si>
  <si>
    <t>77287100 SPH MEDICAL STAFF</t>
  </si>
  <si>
    <t>77261721, SPH 2W MED SURG</t>
  </si>
  <si>
    <t>77260100, SPH ICU IMCU</t>
  </si>
  <si>
    <t>77287520, SPH PI AND OUTCOMES</t>
  </si>
  <si>
    <t>77284601 SPH BIO MED ENGINEER</t>
  </si>
  <si>
    <t xml:space="preserve"> </t>
  </si>
  <si>
    <t>77287500 SPH UTILZ CARE MGT</t>
  </si>
  <si>
    <t>77276304, SPH RADIOLOGY 1360</t>
  </si>
  <si>
    <t>77278701 83401 SPH NUTRITION, CLIN DIETETICS</t>
  </si>
  <si>
    <t>77287200 77286142 SPH NURSING ADMIN SACC ADMIN</t>
  </si>
  <si>
    <t>77274270 SPH RECOVERY ROOM</t>
  </si>
  <si>
    <t>77275910 SPH ELECTROCARDIOLGY</t>
  </si>
  <si>
    <t>77284700 SPH COMMUNICATIONS</t>
  </si>
  <si>
    <t>77287400 SPH EDUCATION SERVIC</t>
  </si>
  <si>
    <t>77278000 SPH REHAB SVC ADMIN</t>
  </si>
  <si>
    <t>77276800 SPH CAT SCAN</t>
  </si>
  <si>
    <t>77263800 - 65300 - 74000 Obstetrics, Nursery, and Labor/Delivery</t>
  </si>
  <si>
    <t>77283200 83300 83400 SPH KITCHEN CAFETERIA DIETARY</t>
  </si>
  <si>
    <t>03499, Imaging Services Administration Normalization Results Library Imaging (U,N)</t>
  </si>
  <si>
    <t>77274200 SPH SURGERY</t>
  </si>
  <si>
    <t>77276300 SPH RADIOLOGY</t>
  </si>
  <si>
    <t>77284200 84201 SPH SECURITY SAFETY</t>
  </si>
  <si>
    <t>77286100 SPH ADMINISTRATION</t>
  </si>
  <si>
    <t>05925, Patient Escort (Transport) Service Normalization (U,N)</t>
  </si>
  <si>
    <t>77283900 SPH PHARMACY</t>
  </si>
  <si>
    <t>CMI Weighted Department Adjusted Patient Days</t>
  </si>
  <si>
    <t>03071, Central Sterile Services - Reprocessing Only Normalization (U,N)</t>
  </si>
  <si>
    <t>77284100 500 600 Grounds Plant Ops Plant Maint</t>
  </si>
  <si>
    <t>04490, Pharmacy Administration and Support Normalizations (U,N)</t>
  </si>
  <si>
    <t>77276700 SPH ULTRASOUND</t>
  </si>
  <si>
    <t>70100 EMERGENCY DEPT</t>
  </si>
  <si>
    <t>Providence St Joseph Medical Center</t>
  </si>
  <si>
    <t>71077600 - 04630 - PSJMC GASTROENTEROLOGY LAB</t>
  </si>
  <si>
    <t>71077200 - 04110 - PSJMC RESPIRATORY THERAPY (incl NICU Resp)</t>
  </si>
  <si>
    <t>71077800 - 04861 - PSJMC SPEECH THERAPY (U)</t>
  </si>
  <si>
    <t>71072300 - 03030 - PSJMC SHORT STAY</t>
  </si>
  <si>
    <t>71083400 - 05110 - PSJMC DIETARY PATIENT SRVS</t>
  </si>
  <si>
    <t>71063800 - 01272 - PSJMC 4NE (OB) and Nursery</t>
  </si>
  <si>
    <t>Case Management</t>
  </si>
  <si>
    <t>71087550 - 05840 - PSJMC CASE MANAGEMENT</t>
  </si>
  <si>
    <t>Cases Managed</t>
  </si>
  <si>
    <t>71060700 - 01277 - PSJMC NICU</t>
  </si>
  <si>
    <t>71072910 - 02310 - Home Health 71072910 to 71072980 (U)</t>
  </si>
  <si>
    <t>71083600 - 05810 - PSJMC CLINICAL SOCIAL WORK</t>
  </si>
  <si>
    <t>71087560 - 06410 - PSJMC EPIDEMIOLOGY</t>
  </si>
  <si>
    <t>71070100 - 02010 - PSJMC EMERGENCY DEPARTMENT</t>
  </si>
  <si>
    <t>71073150 - 06250- PSJMC DIABETES EDUCATION</t>
  </si>
  <si>
    <t>71076320 - 03440 - PSJMC Breast Center</t>
  </si>
  <si>
    <t>71076300 - 03411 - PSJMC RADIOLOGY DIAGNOSTIC</t>
  </si>
  <si>
    <t>71083300 - 05120 - PSJMC CAFETERIA (U)</t>
  </si>
  <si>
    <t>71075200 - 03380 - PSJMC LABORATORY ANATOMICAL</t>
  </si>
  <si>
    <t>71083810 - 03070 - PSJMC STERILE PROCESSING</t>
  </si>
  <si>
    <t>71087700 - 06250 - PSJMC MATERNAL CHILD EDUC</t>
  </si>
  <si>
    <t>71076600 - 03430 - PSJMC MAGNETIC RESONANCE IMAG (inlc BMP)</t>
  </si>
  <si>
    <t>71076200 - 04310 - PSJMC NEURODIAGNOSTICS</t>
  </si>
  <si>
    <t>71075000 - 03350 - PSJMC LABORATORY CLINICAL</t>
  </si>
  <si>
    <t>71061730 - 01238 - PSJMC 6 NE</t>
  </si>
  <si>
    <t>PSJMC Nutritonal Therapy (U,N)</t>
  </si>
  <si>
    <t>71078710 - 04260 - PSJMC VASCULAR DIAGNOSTIC CTR</t>
  </si>
  <si>
    <t>Pulmonary Diagnostics</t>
  </si>
  <si>
    <t>71077300 - 04120 - PSJMC PULMONARY FUNCTION</t>
  </si>
  <si>
    <t>71076800 - 03420 - PSJMC C.A.T. SCAN</t>
  </si>
  <si>
    <t>71087200 - 01910 - PSJMC NURSING ADMINISTRATION</t>
  </si>
  <si>
    <t>71061300 - 01111 - 71061300 3N (inlcudes 6 South)</t>
  </si>
  <si>
    <t>71076100 - 04220 - PSJMC ECG (U)</t>
  </si>
  <si>
    <t>71060100 - 01013 - PSJMC ICU</t>
  </si>
  <si>
    <t>71074200 - 03011 - PSJMC SURGERY</t>
  </si>
  <si>
    <t>71087400 - 05825 - PSJMC QUALTY IMPROVMNT OUTCMS</t>
  </si>
  <si>
    <t>71077100 - 04410 - PSJMC PHARMACY</t>
  </si>
  <si>
    <t>71076700 - 03450 - PSJMC ULTRASOUND</t>
  </si>
  <si>
    <t>71086700 - 06370 - PSJMC VOLUNTEERS</t>
  </si>
  <si>
    <t>71075700 - 04230 - PSJMC CARDIAC PHYSIOLOGY LAB</t>
  </si>
  <si>
    <t>71074270 - 03020 - PSJMC RECOVERY ROOM</t>
  </si>
  <si>
    <t>71083500 - 05221 - PSJMC LAUNDRY</t>
  </si>
  <si>
    <t>71087540 - 05825 - PSJMC RISK MANAGEMENT</t>
  </si>
  <si>
    <t>71074000 - 01285 - PSJMC Labor &amp; Delivery</t>
  </si>
  <si>
    <t>71084400 - 05211 - PSJMC ENVIROMENTAL SERVICES</t>
  </si>
  <si>
    <t>71061740 - 01210 - PSJMC 5NE</t>
  </si>
  <si>
    <t>71076500 - 03460 - PSJMC NUCLEAR MEDICINE</t>
  </si>
  <si>
    <t>71076310 - 03412 - PSJMC RADIOLOGY-SPECIAL PROC</t>
  </si>
  <si>
    <t>71083700 - 05925 - PSJMC MEDICAL TRANSPORTATION</t>
  </si>
  <si>
    <t>Respiratory and Pulmonary Care Administration and Support</t>
  </si>
  <si>
    <t>Respiratory &amp; Pulmonary Care Administration &amp; Support (U,N)</t>
  </si>
  <si>
    <t>71061710 - 01210 - PSJMC 7 NE</t>
  </si>
  <si>
    <t>71076350 - 03499 - PSJMC RADIOLOGY-ADMIN</t>
  </si>
  <si>
    <t>71086100 - 06610 - PSJMC ADMINISTRATION</t>
  </si>
  <si>
    <t>71087440 - 06210 - PSJMC CLINICAL EDUCATION</t>
  </si>
  <si>
    <t>71061510 - 01111 - PSJMC 4N Neuro</t>
  </si>
  <si>
    <t>71076420 - 04010 - PSJMC RADIATION THERAPY</t>
  </si>
  <si>
    <t>71084500 600 PSJMC Plant Ops Plant Maint</t>
  </si>
  <si>
    <t>71084650 - 05040 - PSJMC BIOMEDICAL ENGINEERING</t>
  </si>
  <si>
    <t>71087100 - 06510 - PSJMC MEDICAL STAFF ADMIN</t>
  </si>
  <si>
    <t>71064400 - 01410 - PSJMC PHYSICAL REHABILITATION</t>
  </si>
  <si>
    <t>71084700 - 05530 - PSJMC PBX</t>
  </si>
  <si>
    <t>71074350, PSJMC DFCC INFUSION CENTER</t>
  </si>
  <si>
    <t>Providence St. John's Health Center</t>
  </si>
  <si>
    <t>73561700, SJHC MED SURG (U)</t>
  </si>
  <si>
    <t>73575000, SJHC LAB ADMINISTRATION</t>
  </si>
  <si>
    <t>73576350, SJHC RADIOLOGY ADMIN (U)</t>
  </si>
  <si>
    <t>73583810, SJHC CNTRL STERILE PROCESSING</t>
  </si>
  <si>
    <t>Clinical Operations and Blood Bank Combined</t>
  </si>
  <si>
    <t>73561740, SJHC TELEMETRY (U)</t>
  </si>
  <si>
    <t>73561730, SJHC ONCOLOGY ACUTE (U)</t>
  </si>
  <si>
    <t>73577100, SJHC PHARMACY</t>
  </si>
  <si>
    <t>73576300, SJHC DIAGNOSTIC RADIOLOGY (U)</t>
  </si>
  <si>
    <t>73574000, 65300 SJHC LABOR AND DELIVERY (U)</t>
  </si>
  <si>
    <t>73561710, SJHCM MED SURG CSS4 (U)</t>
  </si>
  <si>
    <t>73577700, SJHC PHYSICAL THERAPY (U)</t>
  </si>
  <si>
    <t>73587100, SJHC MEDICAL STAFF ADMIN</t>
  </si>
  <si>
    <t>73584200, SJHC SECURITY (U)</t>
  </si>
  <si>
    <t>Assistance Calls Completed</t>
  </si>
  <si>
    <t>73574300, SJHC AMBULATORY SURGERY CENTER</t>
  </si>
  <si>
    <t>73584650, SJHC BIOMEDICAL ENGINEERING (U)</t>
  </si>
  <si>
    <t>73560100, SJHC ICU CCU (U)</t>
  </si>
  <si>
    <t>73587520, 7540 SJHC QUALITY ASSURANCE - RISK</t>
  </si>
  <si>
    <t>73583700, SJHC CENTRAL TRANSPORTATION (U)</t>
  </si>
  <si>
    <t>73560700, SJHC NEONATAL INTENSIVE CARE (U)</t>
  </si>
  <si>
    <t>73586100, SJHC ADMINISTRATION (U)</t>
  </si>
  <si>
    <t>73561770, SJHC ORTHO 5 MAIN (U)</t>
  </si>
  <si>
    <t>73577200, SJHC RESPIRATORY THERAPY (U)</t>
  </si>
  <si>
    <t>73587400, SJHC TRAINING AND DEVELOP (U)</t>
  </si>
  <si>
    <t>73577900, SJHC OCCUPATIONAL THERAPY (U)</t>
  </si>
  <si>
    <t>73587510, SJHC UTILIZATION REVIEW</t>
  </si>
  <si>
    <t>73584700, SJHC COMMUNICATIONS PBX (U)</t>
  </si>
  <si>
    <t>73576600, SJHC MAGN RESONANCE IMAGING (U)</t>
  </si>
  <si>
    <t>73576410, SJHC RADIATION ONCOLOGY (U)</t>
  </si>
  <si>
    <t>73576500, SJHC NUCLEAR MEDICINE (U)</t>
  </si>
  <si>
    <t>73586700, SJHC VOLUNTEERS</t>
  </si>
  <si>
    <t>Respiratory and Pulmonary Care Administration and Support (U,N)</t>
  </si>
  <si>
    <t>73578000, SJHC SPEECH LANGUAGE THERAPY (U)</t>
  </si>
  <si>
    <t>73576800, SJHC CT SCAN (U)</t>
  </si>
  <si>
    <t>73576710, SJHC ULTRASONOGRAPHY (U)</t>
  </si>
  <si>
    <t>73577600, SJHC GASTROINTESTINAL SERVICES (U)</t>
  </si>
  <si>
    <t>73575900, SJHC CARDIOLOGY (U)</t>
  </si>
  <si>
    <t>73576315, 76305 SJHC MAMMOGRAPHY / BONE DENSITY (U)</t>
  </si>
  <si>
    <t>73570100, SJHC EMERGENCY ROOM (U)</t>
  </si>
  <si>
    <t>73587200, SJHC NURSING ADMINISTRATION</t>
  </si>
  <si>
    <t>73574200, SJHC SURGERY</t>
  </si>
  <si>
    <t>73563800, 74002 OBSTETRICS ACUTE /ANTEPARTUM (U)</t>
  </si>
  <si>
    <t>73577710, SJHC OUTPATIENT REHAB (U)</t>
  </si>
  <si>
    <t>Providence Tarzana Medical Center</t>
  </si>
  <si>
    <t>72583300, 83400 CAFETERIA / DIETARY</t>
  </si>
  <si>
    <t>1280, Newborn Nursery (U,N)</t>
  </si>
  <si>
    <t>72577600, ENDOSCOPY</t>
  </si>
  <si>
    <t>72570100, Emergency Room - ER</t>
  </si>
  <si>
    <t>72563800 65320 OB Nursery</t>
  </si>
  <si>
    <t>72574300, DAY CARE AMBULATORY SURG (SDS)</t>
  </si>
  <si>
    <t>72574200 74230 CVOR Surg</t>
  </si>
  <si>
    <t>72584600, 84500 Plant Operations - Maintenance - POM</t>
  </si>
  <si>
    <t>72574000 70190 LD NST Clinic</t>
  </si>
  <si>
    <t>72561730, ONCOLOGY</t>
  </si>
  <si>
    <t>72587200, NURSING ADMIN</t>
  </si>
  <si>
    <t>Medical Intensive Care Unit</t>
  </si>
  <si>
    <t>72560100, ICU</t>
  </si>
  <si>
    <t>72577700, PHYSICAL THERAPY</t>
  </si>
  <si>
    <t>72575900, EKG (U)</t>
  </si>
  <si>
    <t>72587400, INSERVICE EDUCATION</t>
  </si>
  <si>
    <t>72575700, CARDIAC CATH LAB</t>
  </si>
  <si>
    <t>72578710, VASCULAR</t>
  </si>
  <si>
    <t>72577900, OCCUPATIONAL THERAPY</t>
  </si>
  <si>
    <t>72577100 77150 Pharmacy - RX</t>
  </si>
  <si>
    <t>72576700, Ultrasound</t>
  </si>
  <si>
    <t>72576320 70700 OP IMAGING CENTER / WDC</t>
  </si>
  <si>
    <t>72584650, BIO MED</t>
  </si>
  <si>
    <t>72561520 CVU</t>
  </si>
  <si>
    <t>Combined Marketing, Communications, Strategic Planning and Public/Comm Relations</t>
  </si>
  <si>
    <t>Marketing, Communications, Strategic Planning, Public and Community Relations</t>
  </si>
  <si>
    <t>Combined Strategic Planning, Marketing and Community Relations</t>
  </si>
  <si>
    <t>100 Adjusted Patient Days</t>
  </si>
  <si>
    <t>72560500, PEDS ICU</t>
  </si>
  <si>
    <t>72561731, MED SURG 3</t>
  </si>
  <si>
    <t>72561710, MED SURG 2</t>
  </si>
  <si>
    <t>72583600, SOCIAL SERVICES</t>
  </si>
  <si>
    <t>72584700 84705 84725 PBX/Telecom Maint (U)</t>
  </si>
  <si>
    <t>72586100 87570 ADMINISTRATION / MEDICAL OFFICER</t>
  </si>
  <si>
    <t>72577710, OP PHYSICAL THERAPY</t>
  </si>
  <si>
    <t>72576800, CAT SCAN</t>
  </si>
  <si>
    <t>72561790, MED SURG 4</t>
  </si>
  <si>
    <t>72576500, NUCLEAR MEDICINE</t>
  </si>
  <si>
    <t>72575000 75100 75400, PTMC Lab Lab Send Out Blood Bank</t>
  </si>
  <si>
    <t>72575930, CARDIAC REHAB</t>
  </si>
  <si>
    <t>72560300 61100 CVICU, ICUBU</t>
  </si>
  <si>
    <t>72587100 86900 MEDICAL STAFF / MEDICAL LIBRARY</t>
  </si>
  <si>
    <t>72576300, RADIOLOGY</t>
  </si>
  <si>
    <t>72576600, MRI</t>
  </si>
  <si>
    <t>6210 Clinical Staff Eucation Normalization Only (U,N)</t>
  </si>
  <si>
    <t>72574270, RECOVERY PACU</t>
  </si>
  <si>
    <t>72583810, STERILE PROCESSING</t>
  </si>
  <si>
    <t>72560700, NICU</t>
  </si>
  <si>
    <t>Respiratory and Pulmonary Care Admin and Support (U,N)</t>
  </si>
  <si>
    <t>72587520 87540 QUALITY ASSURANCE / RISK MGMT</t>
  </si>
  <si>
    <t>72577200 300 Resp Care Pulm Rehab</t>
  </si>
  <si>
    <t>4490, Pharmacy Administration and Support (U,N)</t>
  </si>
  <si>
    <t>72561500 DOU</t>
  </si>
  <si>
    <t>AK Total</t>
  </si>
  <si>
    <t>CA Total</t>
  </si>
  <si>
    <t>OR</t>
  </si>
  <si>
    <t>Providence Hood River Memorial Hospital</t>
  </si>
  <si>
    <t>56077100, PHARMACY</t>
  </si>
  <si>
    <t>56074000, MATERNITY SERVICES</t>
  </si>
  <si>
    <t>56005608, CENTRALIZED SCHEDULING (U,N)</t>
  </si>
  <si>
    <t>56074300, SHORT STAY SURGICAL UNIT</t>
  </si>
  <si>
    <t>56070100, 56070101 EMERGENCY SERVICES (U)</t>
  </si>
  <si>
    <t>56074200, SURGICAL SERVICES</t>
  </si>
  <si>
    <t>56076410, OUTPATIENT TRANSFUSION</t>
  </si>
  <si>
    <t>56060100, ICU</t>
  </si>
  <si>
    <t>56087200, NURSING SERVICE ADMIN</t>
  </si>
  <si>
    <t>Psychiatry / Psychology Clinic</t>
  </si>
  <si>
    <t>56078400, OP MENTAL HEALTH</t>
  </si>
  <si>
    <t>56074270, PACU</t>
  </si>
  <si>
    <t>56061700, MEDICAL_SURGICAL</t>
  </si>
  <si>
    <t>56083800, STERILE PROCESSING</t>
  </si>
  <si>
    <t>56084600, MAINTENANCE</t>
  </si>
  <si>
    <t>56003099, SURG SVCS ADMIN (N)</t>
  </si>
  <si>
    <t>56006230, COMBO ALL STAFF EDUC (U,N)</t>
  </si>
  <si>
    <t>56076395, DIAGNOSTIC IMAGING ADM SUPPORT</t>
  </si>
  <si>
    <t>56083400, PT_NON PT FOOD SVC</t>
  </si>
  <si>
    <t>56004490, PHARMACY SUPPORT SVCS (U,N)</t>
  </si>
  <si>
    <t>56077400, HEMODIALYSIS</t>
  </si>
  <si>
    <t>56084400, ENVIRONMENTAL SERVICES</t>
  </si>
  <si>
    <t>56075000 56075400 56075098 56089008 56089009, CLIN AND BLOOD COMBO</t>
  </si>
  <si>
    <t>56076300, DIAGNOSTIC IMAGING</t>
  </si>
  <si>
    <t>56077200, RESPIRATORY THERAPY</t>
  </si>
  <si>
    <t>Providence Medford Medical Center</t>
  </si>
  <si>
    <t>59077704, HAND THERAPY (U)</t>
  </si>
  <si>
    <t>59083600, CARE MANAGEMENT</t>
  </si>
  <si>
    <t>59061721, NEUROSURGERY</t>
  </si>
  <si>
    <t>59077200, RESPIRATORY THERAPY</t>
  </si>
  <si>
    <t>59078710, NON-INVASIVE LAB</t>
  </si>
  <si>
    <t>59061712, MEDICAL UNIT WEST</t>
  </si>
  <si>
    <t>59075400, BLOOD BANK</t>
  </si>
  <si>
    <t>59076390, MAMMOGRAPHY</t>
  </si>
  <si>
    <t>59074000, MATERNITY SERVICES</t>
  </si>
  <si>
    <t>59084500, FACILITY SERVICES</t>
  </si>
  <si>
    <t>59003399, LAB SVCS ADMIN AND SUPPORT (U,N)</t>
  </si>
  <si>
    <t>59005810, SOCIAL WORK SVCS (U,N)</t>
  </si>
  <si>
    <t>59070100, 59070101 EMERGENCY SERVICES</t>
  </si>
  <si>
    <t>59087200, NURSING SERVICE ADMIN</t>
  </si>
  <si>
    <t>59064400, REHAB</t>
  </si>
  <si>
    <t>59005608, CENTRALIZED SCHEDULING (U,N)</t>
  </si>
  <si>
    <t>59084610, CLINICAL ENGINEERING-BIOMED</t>
  </si>
  <si>
    <t>59075700, CARDIOVASCULAR LAB</t>
  </si>
  <si>
    <t>59077700, PHYSICAL THERAPY</t>
  </si>
  <si>
    <t>59077713, OP PHYSICAL THERAPY - NEURO</t>
  </si>
  <si>
    <t>59083410, NUTRITION SERVICES</t>
  </si>
  <si>
    <t>59075000, 59075012, 59075096, 59075098, 59089008, 59089009, LAB COMBO</t>
  </si>
  <si>
    <t>59084400, ENVIRONMENTAL SERVICES</t>
  </si>
  <si>
    <t>59078745, SLEEP LAB</t>
  </si>
  <si>
    <t>59004665, PRE ADMIT PRE PROC TESTING (U,N)</t>
  </si>
  <si>
    <t>59006230, COMBO ALL STAFF EDUC (U,N)</t>
  </si>
  <si>
    <t>59074300, SHORT STAY SURGICAL UNIT</t>
  </si>
  <si>
    <t>59083800, STERILE PROCESSING</t>
  </si>
  <si>
    <t>59076700, ULTRASOUND</t>
  </si>
  <si>
    <t>59074270, PACU</t>
  </si>
  <si>
    <t>59005910, SECURITY (N)</t>
  </si>
  <si>
    <t>59004899, REHAB ADMIN AND SUPPORT (U,N)</t>
  </si>
  <si>
    <t>59076420, RADIATION ONCOLOGY</t>
  </si>
  <si>
    <t>59075200, PATHOLOGY</t>
  </si>
  <si>
    <t>59003099, SURG SVCS ADMIN (U,N)</t>
  </si>
  <si>
    <t>59060100, ICU</t>
  </si>
  <si>
    <t>59003499, DIAGNOSTIC IMAGING ADM SUPPORT (U,N)</t>
  </si>
  <si>
    <t>59074200, SURGICAL SERVICES</t>
  </si>
  <si>
    <t>59004490, PHARMACY SUPPORT SVCS (U,N)</t>
  </si>
  <si>
    <t>59077600, GASTRO-INTESTINAL SERVICES</t>
  </si>
  <si>
    <t>59076300, DIAGNOSTIC IMAGING</t>
  </si>
  <si>
    <t>59076800, CTT SCANNER</t>
  </si>
  <si>
    <t>59083300, 59083400 PT_NON PT FOOD SVC</t>
  </si>
  <si>
    <t>59077100, PHARMACY</t>
  </si>
  <si>
    <t>59061700, MEDICAL_SURGICAL</t>
  </si>
  <si>
    <t>59076500, NUCLEAR MEDICINE</t>
  </si>
  <si>
    <t>59077715, CENTRAL POINT PHYSICAL THERAPY</t>
  </si>
  <si>
    <t>59077702, OP PHYSICAL THERAPY-ORTHO</t>
  </si>
  <si>
    <t>59075910, 59075600, EKG &amp; ECHO</t>
  </si>
  <si>
    <t>59061701, MEDICAL TELEMETRY</t>
  </si>
  <si>
    <t>Providence Milwaukie Hospital</t>
  </si>
  <si>
    <t>55087200, NURSING SERVICE ADMIN</t>
  </si>
  <si>
    <t>55060100, ICU</t>
  </si>
  <si>
    <t>55077900, OCCUPATIONAL THERAPY</t>
  </si>
  <si>
    <t>55076300, DIAGNOSTIC IMAGING</t>
  </si>
  <si>
    <t>55004899, REHAB ADMIN AND SUPPORT (U,N)</t>
  </si>
  <si>
    <t>55074300, SHORT STAY SURGICAL UNIT</t>
  </si>
  <si>
    <t>55075910, 55075600, EKG &amp; ECHO</t>
  </si>
  <si>
    <t>55075000 55075400 89009 CLIN AND BLOOD COMBO</t>
  </si>
  <si>
    <t>55083400, PT_NON PT FOOD SVC</t>
  </si>
  <si>
    <t>55084400, ENVIRONMENTAL SERVICES</t>
  </si>
  <si>
    <t>55077100, PHARMACY</t>
  </si>
  <si>
    <t>55004490, PHARMACY SUPPORT SVCS (U,N)</t>
  </si>
  <si>
    <t>55084600 MAINTENANCE</t>
  </si>
  <si>
    <t>55078090, CLACKAMAS REHAB</t>
  </si>
  <si>
    <t>55084200, SECURITY</t>
  </si>
  <si>
    <t>55077700, PHYSICAL THERAPY</t>
  </si>
  <si>
    <t>55083800, STERILE PROCESSING</t>
  </si>
  <si>
    <t>55076800, CTT SCANNER</t>
  </si>
  <si>
    <t>55076395, DIAGNOSTIC IMAGING ADM SUPPORT</t>
  </si>
  <si>
    <t>55078099, HAPPY VALLEY REHAB (U)</t>
  </si>
  <si>
    <t>55074200, SURGICAL SERVICES</t>
  </si>
  <si>
    <t>55076700, ULTRASOUND</t>
  </si>
  <si>
    <t>55076600, MRI</t>
  </si>
  <si>
    <t>55076390, MAMMOGRAPHY</t>
  </si>
  <si>
    <t>55078740, SLEEP LAB</t>
  </si>
  <si>
    <t>55003099, SURG SVCS ADMIN (U,N)</t>
  </si>
  <si>
    <t>55070100, 55070101 EMERGENCY SERVICES</t>
  </si>
  <si>
    <t>55074270, PACU</t>
  </si>
  <si>
    <t>55061700, MEDICAL_SURGICAL</t>
  </si>
  <si>
    <t>Providence Newberg Hospital</t>
  </si>
  <si>
    <t>57084400, ENVIRONMENTAL SERVICES</t>
  </si>
  <si>
    <t>57004899, REHAB ADMIN AND SUPPORT (U,N)</t>
  </si>
  <si>
    <t>57076700, ULTRASOUND</t>
  </si>
  <si>
    <t>57074000, MATERNITY SERVICES</t>
  </si>
  <si>
    <t>57074300, SHORT STAY SURGICAL UNIT</t>
  </si>
  <si>
    <t>57076300, DIAGNOSTIC IMAGING</t>
  </si>
  <si>
    <t>57004490, PHARMACY SUPPORT SVCS (U,N)</t>
  </si>
  <si>
    <t>57070100, 57070101 EMERGENCY SERVICES</t>
  </si>
  <si>
    <t>57077100, PHARMACY</t>
  </si>
  <si>
    <t>57076800, CTT SCANNER</t>
  </si>
  <si>
    <t>57074200, SURGICAL SERVICES</t>
  </si>
  <si>
    <t>57076600, MRI</t>
  </si>
  <si>
    <t>57078091, REHAB SERVICES</t>
  </si>
  <si>
    <t>57060100, ICU</t>
  </si>
  <si>
    <t>57084600, MAINTENANCE</t>
  </si>
  <si>
    <t>57076390, MAMMOGRAPHY</t>
  </si>
  <si>
    <t>57083800, STERILE PROCESSING</t>
  </si>
  <si>
    <t>57076395, DIAGNOSTIC IMAGING ADM SUPPORT</t>
  </si>
  <si>
    <t>57061700, MEDICAL_SURGICAL</t>
  </si>
  <si>
    <t>57078095, SHERWOOD REHAB</t>
  </si>
  <si>
    <t>57083600, CS MANAGEMENT</t>
  </si>
  <si>
    <t>57084200, SECURITY</t>
  </si>
  <si>
    <t>57078740, SLEEP LAB AND EEG</t>
  </si>
  <si>
    <t>57087200, NURSING SERVICE ADMIN</t>
  </si>
  <si>
    <t>86,31</t>
  </si>
  <si>
    <t>57075910, 57075600 EKG &amp; ECHO</t>
  </si>
  <si>
    <t>57005608, CENTRALIZED SCHEDULING (U,N)</t>
  </si>
  <si>
    <t>57074270, PACU</t>
  </si>
  <si>
    <t>57075700, CARDIOVASCULAR LAB</t>
  </si>
  <si>
    <t>57083400, PT_NON PT FOOD SVC</t>
  </si>
  <si>
    <t>57075000 57075400 57075098 57089008 57089009, CLIN AND BLOOD COMBO</t>
  </si>
  <si>
    <t>Providence Portland Medical Center</t>
  </si>
  <si>
    <t>52261791, DIABETES RENAL UNIT - 5G</t>
  </si>
  <si>
    <t>52277700, PHYSICAL THERAPY</t>
  </si>
  <si>
    <t>52277701, NORTHEAST REHAB</t>
  </si>
  <si>
    <t>52277150, IV THERAPY</t>
  </si>
  <si>
    <t>52275200, 52275201 52275230 PATHOLOGY COMBO</t>
  </si>
  <si>
    <t>52287308, ER SVCS BEHAVIORAL HLTH</t>
  </si>
  <si>
    <t>52205099, FACILITIES ADMIN AND SUPPORT (U,N)</t>
  </si>
  <si>
    <t>52260341, RESPIRATORY CARDIOLOGY - 2R</t>
  </si>
  <si>
    <t>52277200, RESPIRATORY THERAPY</t>
  </si>
  <si>
    <t>52274270, PACU</t>
  </si>
  <si>
    <t>52283300,52283302,52283305,52283340,52283400,52283308 PT_NON PT FOOD SVC</t>
  </si>
  <si>
    <t>52283800, STERILE PROCESSING</t>
  </si>
  <si>
    <t>52277800, SPEECH THERAPY</t>
  </si>
  <si>
    <t>52277900, OCCUPATIONAL THERAPY</t>
  </si>
  <si>
    <t>52275910, 52275600 EKG &amp; ECHO</t>
  </si>
  <si>
    <t>52276700 52276701, ULTRASOUND</t>
  </si>
  <si>
    <t>52284100, 52284500, 52284600 GROUNDS &amp; GARDENS, FACILITY &amp; MAINT</t>
  </si>
  <si>
    <t>52278740, SLEEP LAB</t>
  </si>
  <si>
    <t>52263400, MENTAL HEALTH-ADULT - 5E &amp; 5L</t>
  </si>
  <si>
    <t>52274200, SURGICAL SERVICES</t>
  </si>
  <si>
    <t>52278710, NON-INVASIVE LAB</t>
  </si>
  <si>
    <t>52264200, CHEMICAL DEPENDENCY - ATP</t>
  </si>
  <si>
    <t>52206230, COMBO ALL STAFF EDUC (U,N)</t>
  </si>
  <si>
    <t>52276395, DIAGNOSTIC IMAGING ADM SUPPORT</t>
  </si>
  <si>
    <t>52276500, NUCLEAR MEDICINE</t>
  </si>
  <si>
    <t>52205608, CENTRALIZED SCHEDULING (U,N)</t>
  </si>
  <si>
    <t>52260700, NICU</t>
  </si>
  <si>
    <t>52260300, CCU - 2K</t>
  </si>
  <si>
    <t>52284200, SECURITY</t>
  </si>
  <si>
    <t>52283600, CARE MANAGEMENT</t>
  </si>
  <si>
    <t>52283700, PATIENT TRANSPORTATION</t>
  </si>
  <si>
    <t>52261760, PERINATAL SPECIAL CARE UNIT</t>
  </si>
  <si>
    <t>52287200, NURSING SERVICE ADMIN</t>
  </si>
  <si>
    <t>52276600, MRI</t>
  </si>
  <si>
    <t>Neurology/Neurosurgical Acute Care Unit</t>
  </si>
  <si>
    <t>52261721, NEUROSURGERY - 8S</t>
  </si>
  <si>
    <t>52275000, 52289008, 52289009 CLIN STAT LAB</t>
  </si>
  <si>
    <t>52261720, 52261704 SURGICAL UNIT - 4th Floor</t>
  </si>
  <si>
    <t>52203099, SURG SVCS ADMIN (U,N)</t>
  </si>
  <si>
    <t>52284400, ENVIRONMENTAL SERVICES</t>
  </si>
  <si>
    <t>52275700, CARDIOVASCULAR LAB</t>
  </si>
  <si>
    <t>52263805, POST PARTUM - 3G</t>
  </si>
  <si>
    <t>52205810, SOCIAL WORK SVCS (U,N)</t>
  </si>
  <si>
    <t>52275400, BLOOD BANK</t>
  </si>
  <si>
    <t>52261731, SURGICAL ONCOLOGY - 7S</t>
  </si>
  <si>
    <t>52276300 52276303, DIAGNOSTIC IMAGING</t>
  </si>
  <si>
    <t>52276410, OUTPATIENT TRANSFUSION</t>
  </si>
  <si>
    <t>52204490, PHARMACY SUPPORT SVCS (U,N)</t>
  </si>
  <si>
    <t>52204310, EEG (U,N)</t>
  </si>
  <si>
    <t>52261700, MEDICAL_SURGICAL - 5R</t>
  </si>
  <si>
    <t>52270811, GRESHAM REHAB</t>
  </si>
  <si>
    <t>52261770, ORTHOPEDICS - 8N</t>
  </si>
  <si>
    <t>52277100, 52277111 PHARMACY</t>
  </si>
  <si>
    <t>52276390, MAMMOGRAPHY</t>
  </si>
  <si>
    <t>52264400, REHAB - 4K</t>
  </si>
  <si>
    <t>52277400, HEMODIALYSIS</t>
  </si>
  <si>
    <t>52283410, NUTRITION SERVICES</t>
  </si>
  <si>
    <t>52270100, 52270101 EMERGENCY SERVICES</t>
  </si>
  <si>
    <t>52275601, HEART CLINIC ECHO (U)</t>
  </si>
  <si>
    <t>52261730, ONCOLOGY - 7N</t>
  </si>
  <si>
    <t>52276800 52276801, CTT SCANNER</t>
  </si>
  <si>
    <t>52270814, GATEWAY REHAB</t>
  </si>
  <si>
    <t>52276420, RADIATION ONCOLOGY</t>
  </si>
  <si>
    <t>52261705, MED SURG TELEMETRY</t>
  </si>
  <si>
    <t>52203399, LAB SVCS ADMIN AND SUPPORT (U,N)</t>
  </si>
  <si>
    <t>52277709, PROVIDENCE DOWNTOWN REHAB</t>
  </si>
  <si>
    <t>52274300, SHORT STAY SURGICAL UNIT</t>
  </si>
  <si>
    <t>52270823, CAMAS REHAB</t>
  </si>
  <si>
    <t>52260100, ICU - 2F</t>
  </si>
  <si>
    <t>52260340, CARDIOLOGY - 2G</t>
  </si>
  <si>
    <t>52274000, 52274003 MATERNITY SERVICES - 3K</t>
  </si>
  <si>
    <t>Providence Seaside Hospital</t>
  </si>
  <si>
    <t>51074000, MATERNITY SERVICES</t>
  </si>
  <si>
    <t>51077200, RESPIRATORY THERAPY</t>
  </si>
  <si>
    <t>51076300, DIAGNOSTIC IMAGING</t>
  </si>
  <si>
    <t>51061700, MEDICAL_SURGICAL</t>
  </si>
  <si>
    <t>51084400, ENVIRONMENTAL SERVICES</t>
  </si>
  <si>
    <t>51087200, NURSING SERVICE ADMIN</t>
  </si>
  <si>
    <t>51074200, SURGICAL SERVICES</t>
  </si>
  <si>
    <t>51060100, ICU</t>
  </si>
  <si>
    <t>51078091, REHAB SERVICES</t>
  </si>
  <si>
    <t>51077100, PHARMACY</t>
  </si>
  <si>
    <t>51084500, FACILITY SERVICES</t>
  </si>
  <si>
    <t>51070100, 51070101 EMERGENCY SERVICES</t>
  </si>
  <si>
    <t>51075000 51075400 51075098 51089008 51089009 CLIN AND BLOOD COMBO</t>
  </si>
  <si>
    <t>51083400, PT_NON PT FOOD SVC</t>
  </si>
  <si>
    <t>51004490, PHARMACY SUPPORT SVCS (U,N)</t>
  </si>
  <si>
    <t>51095505, PHS RETAIL PHARMACY</t>
  </si>
  <si>
    <t>51076700, ULTRASOUND</t>
  </si>
  <si>
    <t>51076410, OUTPATIENT TRANSFUSION</t>
  </si>
  <si>
    <t>Providence St Vincent Medical Center</t>
  </si>
  <si>
    <t>53060500, PICU</t>
  </si>
  <si>
    <t>53063400, MENTAL HEALTH-ADULT - 5E</t>
  </si>
  <si>
    <t>53077200, RESPIRATORY THERAPY</t>
  </si>
  <si>
    <t>53077700, PHYSICAL THERAPY</t>
  </si>
  <si>
    <t>53083600, CARE MANAGEMENT</t>
  </si>
  <si>
    <t>53061760, PERINATAL SPECIAL CARE UNIT - 3W</t>
  </si>
  <si>
    <t>53087200, NURSING SERVICE ADMIN</t>
  </si>
  <si>
    <t>53075701, ARRHYTHMIA SERVICES</t>
  </si>
  <si>
    <t>53004310, EEG (U,N)</t>
  </si>
  <si>
    <t>53078096, REHAB SERVICES-PEDIATRIC</t>
  </si>
  <si>
    <t>53070822, PROVIDENCE PARK REHAB</t>
  </si>
  <si>
    <t>53074300, SHORT STAY SURGICAL UNIT</t>
  </si>
  <si>
    <t>53083800, STERILE PROCESSING</t>
  </si>
  <si>
    <t>53078710, NON-INVASIVE LAB</t>
  </si>
  <si>
    <t>53078740, SLEEP LAB</t>
  </si>
  <si>
    <t>53083700, PATIENT TRANSPORTATION</t>
  </si>
  <si>
    <t>53060105, NEURO CRITICAL CARE</t>
  </si>
  <si>
    <t>53074200, SURGICAL SERVICES</t>
  </si>
  <si>
    <t>53075400, BLOOD BANK</t>
  </si>
  <si>
    <t>53076500, NUCLEAR MEDICINE</t>
  </si>
  <si>
    <t>53076395, DIAG IMAGING ADM SUPPORT</t>
  </si>
  <si>
    <t>53077710, SPORTS CENTER REHAB</t>
  </si>
  <si>
    <t>53077900, OCCUPATIONAL THERAPY</t>
  </si>
  <si>
    <t>53083410, NUTRITION SERVICES</t>
  </si>
  <si>
    <t>53084400, ENVIRONMENTAL SERVICES</t>
  </si>
  <si>
    <t>53061712, MEDSURG INTERM - 7W</t>
  </si>
  <si>
    <t>53077150, IV THERAPY</t>
  </si>
  <si>
    <t>53003099, SURG SVCS ADMIN (U,N)</t>
  </si>
  <si>
    <t>53077610, ENDOSCOPY</t>
  </si>
  <si>
    <t>53070818, TANASBOURNE REHAB</t>
  </si>
  <si>
    <t>53060310, CARDIOVASC INTENSIVE CARE UNIT</t>
  </si>
  <si>
    <t>53060342, CARDIAC TELEMETRY - 6W</t>
  </si>
  <si>
    <t>53087308, ER SVCS BEHAVIORAL HLTH</t>
  </si>
  <si>
    <t>53061711, MEDICAL - 7E</t>
  </si>
  <si>
    <t>53061730, ONCOLOGY - 5W</t>
  </si>
  <si>
    <t>53005810, SOCIAL WORK SVCS (U,N)</t>
  </si>
  <si>
    <t>53006230, COMBO ALL STAFF EDUC (U,N)</t>
  </si>
  <si>
    <t>53061721, NEUROSURGERY - 9E</t>
  </si>
  <si>
    <t>53001280, NEWBORN NURSERY (U,N)</t>
  </si>
  <si>
    <t>53074292, SURGICAL SERVICES - PEDIATRIC</t>
  </si>
  <si>
    <t>53075700, CARDIOVASCULAR LAB</t>
  </si>
  <si>
    <t>53062900, IP PEDIATRICS - 4E</t>
  </si>
  <si>
    <t>53076600, MRI</t>
  </si>
  <si>
    <t>53060100, ICU</t>
  </si>
  <si>
    <t>53076300, DIAGNOSTIC IMAGING</t>
  </si>
  <si>
    <t>53061770, ORTHOPEDICS - 9W</t>
  </si>
  <si>
    <t>53070100, 53070101 EMERGENCY SVCS</t>
  </si>
  <si>
    <t>53070813, BRIDGEPORT REHAB SRVS</t>
  </si>
  <si>
    <t>53084100, 53084500, 53084600 GARDEN &amp; GROUNDS, FACILITY &amp; MAINT</t>
  </si>
  <si>
    <t>53005608, CENTRALIZED SCHEDULING (U,N)</t>
  </si>
  <si>
    <t>53060340, CARDIOLOGY - 6E</t>
  </si>
  <si>
    <t>53074291, SURGICAL SVCS-OPHTHALMOLOGY</t>
  </si>
  <si>
    <t>53077800, SPEECH THERAPY</t>
  </si>
  <si>
    <t>53074230, SURGICAL SERVICES - CARDIAC</t>
  </si>
  <si>
    <t>53075910, 53075600 EKG &amp; ECHO</t>
  </si>
  <si>
    <t>53070856, ORENCO REHAB (U)</t>
  </si>
  <si>
    <t>53076390, MAMMOGRAPHY</t>
  </si>
  <si>
    <t>53077100, 53077111 PHARMACY &amp; RESIDENTS</t>
  </si>
  <si>
    <t>53084200, SECURITY</t>
  </si>
  <si>
    <t>53070819, SCHOLLS PHYSICAL THERAPY</t>
  </si>
  <si>
    <t>53061720, SURGICAL UNIT - 8E</t>
  </si>
  <si>
    <t>53074011, 53074003 LABOR &amp; DELIVERY TRIAGE</t>
  </si>
  <si>
    <t>53075000, 53089009 CLINICAL LAB</t>
  </si>
  <si>
    <t>53004490, PHARMACY SUPPORT SVCS (U,N)</t>
  </si>
  <si>
    <t>53077400, HEMODIALYSIS</t>
  </si>
  <si>
    <t>53076800, CTT SCANNER</t>
  </si>
  <si>
    <t>53076700, ULTRASOUND</t>
  </si>
  <si>
    <t>53061722, SPECIALITY SURGERY - 8W</t>
  </si>
  <si>
    <t>53076420, RADIATION ONCOLOGY</t>
  </si>
  <si>
    <t>53083300,53083304,53083306,53083340,53083400 PT_NON PT FOOD SVC</t>
  </si>
  <si>
    <t>53074270, PACU</t>
  </si>
  <si>
    <t>53003399, LAB SVCS ADMIN AND SUPPORT (U,N)</t>
  </si>
  <si>
    <t>53004899, REHAB ADMIN AND SUPPORT (U,N)</t>
  </si>
  <si>
    <t>53060700, NICU</t>
  </si>
  <si>
    <t>53076410, OUTPATIENT TRANSFUSION</t>
  </si>
  <si>
    <t>53070821, WILSONVILLE REHAB</t>
  </si>
  <si>
    <t>Providence Willamette Falls Medical Center</t>
  </si>
  <si>
    <t>53563600, MENTAL HEALTH_ADOLESCENT_CHILD</t>
  </si>
  <si>
    <t>53577200, RESPIRATORY THERAPY</t>
  </si>
  <si>
    <t>53575000 53575400 53589009, CLIN AND BLOOD COMBO</t>
  </si>
  <si>
    <t>53560100, ICU</t>
  </si>
  <si>
    <t>53575600, 53575910 EKG &amp; ECHO</t>
  </si>
  <si>
    <t>53584600 FACILITY SERVICES</t>
  </si>
  <si>
    <t>53574000, MATERNITY SERVICES</t>
  </si>
  <si>
    <t>53583800, STERILE PROCESSING</t>
  </si>
  <si>
    <t>53576800, CTT SCANNER</t>
  </si>
  <si>
    <t>53577900, OCCUPATIONAL THERAPY</t>
  </si>
  <si>
    <t>53505608, CENTRALIZED SCHEDULING (U,N)</t>
  </si>
  <si>
    <t>53574300, SHORT STAY SURGICAL UNIT</t>
  </si>
  <si>
    <t>53506230, COMBO ALL STAFF EDUC (U,N)</t>
  </si>
  <si>
    <t>53576300, DIAGNOSTIC IMAGING</t>
  </si>
  <si>
    <t>53505810, SOCIAL WORK SVCS (U,N)</t>
  </si>
  <si>
    <t>53576700, ULTRASOUND</t>
  </si>
  <si>
    <t>53583400 PT_NON PT FOOD SVC</t>
  </si>
  <si>
    <t>53584200, SECURITY</t>
  </si>
  <si>
    <t>53584400, ENVIRONMENTAL SERVICES</t>
  </si>
  <si>
    <t>53576395, DIAGNOSTIC IMAGING ADM SUPPORT</t>
  </si>
  <si>
    <t>53576600, MRI</t>
  </si>
  <si>
    <t>53503099, SURG SVCS ADMIN (N)</t>
  </si>
  <si>
    <t>53504899, REHAB ADMIN AND SUPPORT (U,N)</t>
  </si>
  <si>
    <t>53576390, MAMMOGRAPHY</t>
  </si>
  <si>
    <t>53577700, PHYSICAL THERAPY</t>
  </si>
  <si>
    <t>53570100, EMERGENCY SERVICES</t>
  </si>
  <si>
    <t>53561700, MEDICAL SURGICAL</t>
  </si>
  <si>
    <t>53577150, IV THERAPY</t>
  </si>
  <si>
    <t>53577100, PHARMACY</t>
  </si>
  <si>
    <t>53574270, PACU</t>
  </si>
  <si>
    <t>53574200, SURGICAL SERVICES</t>
  </si>
  <si>
    <t>OR Total</t>
  </si>
  <si>
    <t>Providence Centralia Hospital</t>
  </si>
  <si>
    <t>33386100-34086100-34086102 Hospital Administration</t>
  </si>
  <si>
    <t>34075910,34076200 ELECTROCARDIOLOGY and EEG</t>
  </si>
  <si>
    <t>34083600-34083601 Social Work Services</t>
  </si>
  <si>
    <t>Utilization Management</t>
  </si>
  <si>
    <t>34087510 UTILIZATION REVIEW</t>
  </si>
  <si>
    <t>Cases Tracked by Utilization Review</t>
  </si>
  <si>
    <t>34087520 Quality Assurance</t>
  </si>
  <si>
    <t>34086520 EDUCATION</t>
  </si>
  <si>
    <t>34070100, EMERGENCY SERVICES</t>
  </si>
  <si>
    <t>34084400, ENVIRONMENTAL SERVICES</t>
  </si>
  <si>
    <t>34084500, PLANT OPERATIONS</t>
  </si>
  <si>
    <t>34083400, Dietary</t>
  </si>
  <si>
    <t>34076300,34076800 DIAGNOSTIC IMAGING_CT</t>
  </si>
  <si>
    <t>34076608 Magnetic Resonance Imaging</t>
  </si>
  <si>
    <t>34076700, ULTRASOUND</t>
  </si>
  <si>
    <t>Imaging Services - Administration and Support (U,N)</t>
  </si>
  <si>
    <t>34075000-34075091-34075097 Laboratory Services Combined</t>
  </si>
  <si>
    <t>34087100, MEDICAL STAFF ADMINISTRATION</t>
  </si>
  <si>
    <t>34060300, CRITICAL CARE UNIT (U)</t>
  </si>
  <si>
    <t>34061790 Progressive Care</t>
  </si>
  <si>
    <t>34061710, MEDICAL ACUTE</t>
  </si>
  <si>
    <t>34061720, SURGICAL ACUTE</t>
  </si>
  <si>
    <t>34074010-34065390 FBC &amp; Nursery Combined</t>
  </si>
  <si>
    <t>34064202, Chemical Dependency Detox</t>
  </si>
  <si>
    <t>34087200, NURSING ADMINISTRATION</t>
  </si>
  <si>
    <t>34087202, NURSING SUPERVISION</t>
  </si>
  <si>
    <t>34076450 Outpatient Infusion Services</t>
  </si>
  <si>
    <t>34084200, Security &amp; Safety</t>
  </si>
  <si>
    <t>Patient Transport Normalized Only Dept (U,N)</t>
  </si>
  <si>
    <t>34077100, PHARMACY</t>
  </si>
  <si>
    <t>34095501, SATELLITE PHARMACY</t>
  </si>
  <si>
    <t>34077110 OIS Pharmacy</t>
  </si>
  <si>
    <t>Pharmacy Support Services (U,N)</t>
  </si>
  <si>
    <t>34076451, Radiant Care Lacey</t>
  </si>
  <si>
    <t>34076452, Radiant Care Centralia</t>
  </si>
  <si>
    <t>34076453, Radiant Care Aberdeen</t>
  </si>
  <si>
    <t>33377703 PHYSICAL THERAPY CENTRALIA</t>
  </si>
  <si>
    <t>33377704 PHYSICAL THERAPY TUMWATER</t>
  </si>
  <si>
    <t>33377705 PHYSICAL THERAPY CHEHALIS</t>
  </si>
  <si>
    <t>33377706 PHYSICAL THERAPY ANNEX</t>
  </si>
  <si>
    <t>34077700, PHYSICAL THERAPY</t>
  </si>
  <si>
    <t>34077900, OCCUPATIONAL THERAPY</t>
  </si>
  <si>
    <t>34077800 Speech - Language Pathology</t>
  </si>
  <si>
    <t>Rehabilitation Administration And Support (U,N)</t>
  </si>
  <si>
    <t>34077200 Respiratory Therapy</t>
  </si>
  <si>
    <t>34074200, SURGERY SERVICES</t>
  </si>
  <si>
    <t>34074270, RECOVERY ROOM SERVICES</t>
  </si>
  <si>
    <t>34074300, AMBULATORY SURGERY SERVICES</t>
  </si>
  <si>
    <t>34074701 Sterile Processing</t>
  </si>
  <si>
    <t>NWR</t>
  </si>
  <si>
    <t>Providence Everett Medical Center</t>
  </si>
  <si>
    <t>31686100 Administration</t>
  </si>
  <si>
    <t>Autism Clinic</t>
  </si>
  <si>
    <t>31670775, Autism</t>
  </si>
  <si>
    <t>31672208, O/P Chemical Dependency - Paci</t>
  </si>
  <si>
    <t>31670703 Anticoag Clinic</t>
  </si>
  <si>
    <t>31687718 Sexual Assault Center</t>
  </si>
  <si>
    <t>31670751, Maternal Fetal Medicine Clinic</t>
  </si>
  <si>
    <t>31670758 Post Partum Outpatient Clinics</t>
  </si>
  <si>
    <t>Pediatric Clinic</t>
  </si>
  <si>
    <t>31662908, Childrens Center</t>
  </si>
  <si>
    <t>31670852 PRMCE Wound HBO Clinic</t>
  </si>
  <si>
    <t>Electrocardiography</t>
  </si>
  <si>
    <t>31675910 Electrocardiology</t>
  </si>
  <si>
    <t>31675700, Cardiovascular Lab</t>
  </si>
  <si>
    <t>31675930, Cardiac Rehabilitation</t>
  </si>
  <si>
    <t>31676702, Ultrasound Echo</t>
  </si>
  <si>
    <t>31682904, Social Services</t>
  </si>
  <si>
    <t>31684805, Utilization Management</t>
  </si>
  <si>
    <t>31683600, Care Management</t>
  </si>
  <si>
    <t>31690300 Foundation</t>
  </si>
  <si>
    <t>31686700 Volunteer Services</t>
  </si>
  <si>
    <t>31682901 Clinical Education</t>
  </si>
  <si>
    <t>31670100, Emergency Services</t>
  </si>
  <si>
    <t>31684400, Environmental Services</t>
  </si>
  <si>
    <t>31683500, Laundry And Linen</t>
  </si>
  <si>
    <t>31684500, Facility Services</t>
  </si>
  <si>
    <t>31684601, 31684602 Biomed</t>
  </si>
  <si>
    <t>31684503, Facilities Administration</t>
  </si>
  <si>
    <t>31683400, Dietary</t>
  </si>
  <si>
    <t>31678700, Nutritional Therapy</t>
  </si>
  <si>
    <t>31683300, Cafeteria</t>
  </si>
  <si>
    <t>31676300, Diagnostic Imaging</t>
  </si>
  <si>
    <t>31676490, Intervent Radiol</t>
  </si>
  <si>
    <t>31676800, Ct Scan</t>
  </si>
  <si>
    <t>31676608, Mri -</t>
  </si>
  <si>
    <t>31676391 Mammography</t>
  </si>
  <si>
    <t>31676700, Ultrasound</t>
  </si>
  <si>
    <t>31676701 Vascular Ultrasound</t>
  </si>
  <si>
    <t>31676500, Nuclear Medicine</t>
  </si>
  <si>
    <t>31676309 Diagnostic Imaging Millcreek</t>
  </si>
  <si>
    <t>31676709, Ultrasound - Mill Creek</t>
  </si>
  <si>
    <t>03499 Mammography Admin (U,N)</t>
  </si>
  <si>
    <t>31684700 Communications</t>
  </si>
  <si>
    <t>31675000 Clinical Lab Services</t>
  </si>
  <si>
    <t>03399 Laboratory Services - Administration And Support (U,N)</t>
  </si>
  <si>
    <t>31687100 Medical Staff Administration</t>
  </si>
  <si>
    <t>31676200 EEG Neurodiagnostic Services</t>
  </si>
  <si>
    <t>31678748, Sleep Lab</t>
  </si>
  <si>
    <t>31660300, CCU CSSU 6S 7S</t>
  </si>
  <si>
    <t>31661702 Med Renal A5</t>
  </si>
  <si>
    <t>31661703, Nuero/Med/Tele 8N&amp;S</t>
  </si>
  <si>
    <t>31661710, Med Tele Tower S 8</t>
  </si>
  <si>
    <t>31661709, Intermediate Care 6N</t>
  </si>
  <si>
    <t>31661790, Cardiac Tele 7N</t>
  </si>
  <si>
    <t>31661704, Surgical 10S</t>
  </si>
  <si>
    <t>31661707, Medical A6</t>
  </si>
  <si>
    <t>31661708, Close Observation A3</t>
  </si>
  <si>
    <t>31672308 2N-Pacific</t>
  </si>
  <si>
    <t>31661705, Oncology A7</t>
  </si>
  <si>
    <t>31661706 Ortho/Spine 10N</t>
  </si>
  <si>
    <t>31662900, Pediatric Acute</t>
  </si>
  <si>
    <t>31674000, Labor And Delivery</t>
  </si>
  <si>
    <t>31665390, Special Care Nursery</t>
  </si>
  <si>
    <t>31664200, Chemical Dependency</t>
  </si>
  <si>
    <t>31664400, Rehab</t>
  </si>
  <si>
    <t>31675960 Cardiac Evaluation Unit</t>
  </si>
  <si>
    <t>31677150, Iv Therapy</t>
  </si>
  <si>
    <t>31661711, Central Monitoring Unit (U)</t>
  </si>
  <si>
    <t>31687200, Nursing Mgmt Admin</t>
  </si>
  <si>
    <t>31677610, Endoscopy</t>
  </si>
  <si>
    <t>31672320 Infusion Srv</t>
  </si>
  <si>
    <t>31674291 Pre Admit-Phone Triage Clinic</t>
  </si>
  <si>
    <t>31684200, Security &amp; Safety</t>
  </si>
  <si>
    <t>31683700, Patient Transport</t>
  </si>
  <si>
    <t>31677100, Pharmacy</t>
  </si>
  <si>
    <t>31677109, Pharmacy - Mill Creek</t>
  </si>
  <si>
    <t>31695501, MOB Pharmacy</t>
  </si>
  <si>
    <t>31695503, Valley View Pharmacy</t>
  </si>
  <si>
    <t>04490 Pharmacy Administration and Support (U,N)</t>
  </si>
  <si>
    <t>31676428, Radiation Oncology</t>
  </si>
  <si>
    <t>31677700 Therapy InPatient</t>
  </si>
  <si>
    <t>31677708 Therapy Rehab</t>
  </si>
  <si>
    <t>31677709 Therapy OutPatient</t>
  </si>
  <si>
    <t>31677200, Respiratory Therapy</t>
  </si>
  <si>
    <t>31677300 Pulmonary Diagnostics</t>
  </si>
  <si>
    <t>31674200 74208 Surgery And Recovery Services</t>
  </si>
  <si>
    <t>31674270, Recovery Room Services</t>
  </si>
  <si>
    <t>31674270, Pre Op-Post Rec of PACU (U,N)</t>
  </si>
  <si>
    <t>31674500, Anesthesiology</t>
  </si>
  <si>
    <t>31674701, Sterile Processing</t>
  </si>
  <si>
    <t>03099 Surgical Services Administration (U,N)</t>
  </si>
  <si>
    <t>33075910, Electrocardiograph</t>
  </si>
  <si>
    <t>Cardiology and Vascular Administration and Support Services (U,N)</t>
  </si>
  <si>
    <t>33074500, ANESTHESIOLOGY</t>
  </si>
  <si>
    <t>3852</t>
  </si>
  <si>
    <t>34561794, NEURO</t>
  </si>
  <si>
    <t>3849</t>
  </si>
  <si>
    <t>53587200, NURSING SERVICE ADMIN</t>
  </si>
  <si>
    <t>34561706 PCCA MEDICAL &amp; 34563600 PCCA</t>
  </si>
  <si>
    <t>3854</t>
  </si>
  <si>
    <t>Blended Acuity Unit</t>
  </si>
  <si>
    <t>32560100, INTENSIVE CARE UNIT</t>
  </si>
  <si>
    <t>FTE@ 35%</t>
  </si>
  <si>
    <t>Var%</t>
  </si>
  <si>
    <t>Hospital Ranking %</t>
  </si>
  <si>
    <t xml:space="preserve"> FTE @ 35%</t>
  </si>
  <si>
    <t>Hospital %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</si>
</sst>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.00;\(\$#,##0.00\)"/>
    <numFmt numFmtId="165" formatCode="&quot;$&quot;#,##0"/>
    <numFmt numFmtId="166" formatCode="_(&quot;$&quot;* #,##0_);_(&quot;$&quot;* \(#,##0\);_(&quot;$&quot;* &quot;-&quot;??_);_(@_)"/>
    <numFmt numFmtId="167" formatCode="#,##0.000"/>
    <numFmt numFmtId="168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9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1"/>
      <name val="Calibri"/>
      <family val="2"/>
    </font>
    <font>
      <b/>
      <sz val="11"/>
      <color theme="1" tint="4.9989318521683403E-2"/>
      <name val="Calibri"/>
      <family val="2"/>
    </font>
    <font>
      <b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C00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rgb="FFC0C0C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C0C0C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FBD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6" tint="-0.24994659260841701"/>
      </top>
      <bottom style="double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1" fillId="13" borderId="0" applyNumberFormat="0" applyBorder="0" applyAlignment="0" applyProtection="0"/>
    <xf numFmtId="9" fontId="7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63">
    <xf numFmtId="0" fontId="0" fillId="0" borderId="0" xfId="0"/>
    <xf numFmtId="0" fontId="0" fillId="0" borderId="0" xfId="0" applyAlignment="1"/>
    <xf numFmtId="3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horizontal="right" vertical="center"/>
    </xf>
    <xf numFmtId="0" fontId="0" fillId="0" borderId="1" xfId="0" applyFill="1" applyBorder="1" applyAlignment="1"/>
    <xf numFmtId="0" fontId="1" fillId="2" borderId="3" xfId="0" applyFont="1" applyFill="1" applyBorder="1" applyAlignment="1" applyProtection="1">
      <alignment horizontal="center" wrapText="1"/>
    </xf>
    <xf numFmtId="0" fontId="9" fillId="3" borderId="2" xfId="0" applyFont="1" applyFill="1" applyBorder="1" applyAlignment="1" applyProtection="1">
      <alignment horizontal="center" wrapText="1"/>
    </xf>
    <xf numFmtId="0" fontId="9" fillId="5" borderId="2" xfId="0" applyFont="1" applyFill="1" applyBorder="1" applyAlignment="1" applyProtection="1">
      <alignment horizontal="center" wrapText="1"/>
    </xf>
    <xf numFmtId="0" fontId="9" fillId="5" borderId="3" xfId="0" applyFont="1" applyFill="1" applyBorder="1" applyAlignment="1" applyProtection="1">
      <alignment horizontal="center" wrapText="1"/>
    </xf>
    <xf numFmtId="0" fontId="9" fillId="5" borderId="4" xfId="0" applyFont="1" applyFill="1" applyBorder="1" applyAlignment="1" applyProtection="1">
      <alignment horizontal="center" wrapText="1"/>
    </xf>
    <xf numFmtId="0" fontId="9" fillId="8" borderId="2" xfId="0" applyFont="1" applyFill="1" applyBorder="1" applyAlignment="1" applyProtection="1">
      <alignment horizontal="center" wrapText="1"/>
    </xf>
    <xf numFmtId="0" fontId="9" fillId="8" borderId="3" xfId="0" applyFont="1" applyFill="1" applyBorder="1" applyAlignment="1" applyProtection="1">
      <alignment horizontal="center" wrapText="1"/>
    </xf>
    <xf numFmtId="0" fontId="9" fillId="8" borderId="4" xfId="0" applyFont="1" applyFill="1" applyBorder="1" applyAlignment="1" applyProtection="1">
      <alignment horizontal="center" wrapText="1"/>
    </xf>
    <xf numFmtId="166" fontId="9" fillId="10" borderId="2" xfId="2" applyNumberFormat="1" applyFont="1" applyFill="1" applyBorder="1" applyAlignment="1" applyProtection="1">
      <alignment horizontal="center" wrapText="1"/>
    </xf>
    <xf numFmtId="0" fontId="9" fillId="10" borderId="3" xfId="0" applyFont="1" applyFill="1" applyBorder="1" applyAlignment="1" applyProtection="1">
      <alignment horizontal="center" wrapText="1"/>
    </xf>
    <xf numFmtId="0" fontId="9" fillId="10" borderId="4" xfId="0" applyFont="1" applyFill="1" applyBorder="1" applyAlignment="1" applyProtection="1">
      <alignment horizontal="center" wrapText="1"/>
    </xf>
    <xf numFmtId="10" fontId="4" fillId="0" borderId="1" xfId="0" applyNumberFormat="1" applyFont="1" applyFill="1" applyBorder="1" applyAlignment="1" applyProtection="1">
      <alignment horizontal="right" vertical="center"/>
    </xf>
    <xf numFmtId="3" fontId="5" fillId="0" borderId="1" xfId="0" applyNumberFormat="1" applyFont="1" applyFill="1" applyBorder="1" applyAlignment="1" applyProtection="1">
      <alignment horizontal="right" vertical="center"/>
    </xf>
    <xf numFmtId="164" fontId="6" fillId="0" borderId="1" xfId="0" applyNumberFormat="1" applyFont="1" applyFill="1" applyBorder="1" applyAlignment="1" applyProtection="1">
      <alignment horizontal="right" vertical="center"/>
    </xf>
    <xf numFmtId="0" fontId="0" fillId="0" borderId="0" xfId="0" applyFill="1" applyAlignment="1"/>
    <xf numFmtId="43" fontId="0" fillId="0" borderId="0" xfId="1" applyFont="1"/>
    <xf numFmtId="43" fontId="0" fillId="0" borderId="0" xfId="0" applyNumberFormat="1"/>
    <xf numFmtId="0" fontId="2" fillId="11" borderId="1" xfId="0" applyFont="1" applyFill="1" applyBorder="1" applyAlignment="1" applyProtection="1">
      <alignment vertical="center"/>
    </xf>
    <xf numFmtId="4" fontId="10" fillId="12" borderId="1" xfId="0" applyNumberFormat="1" applyFont="1" applyFill="1" applyBorder="1" applyAlignment="1" applyProtection="1">
      <alignment horizontal="right" vertical="center"/>
    </xf>
    <xf numFmtId="164" fontId="10" fillId="12" borderId="1" xfId="0" applyNumberFormat="1" applyFont="1" applyFill="1" applyBorder="1" applyAlignment="1" applyProtection="1">
      <alignment horizontal="right" vertical="center"/>
    </xf>
    <xf numFmtId="0" fontId="11" fillId="13" borderId="0" xfId="3" applyAlignment="1"/>
    <xf numFmtId="0" fontId="2" fillId="0" borderId="1" xfId="0" applyFont="1" applyFill="1" applyBorder="1" applyAlignment="1" applyProtection="1">
      <alignment horizontal="right" vertical="center"/>
    </xf>
    <xf numFmtId="0" fontId="2" fillId="14" borderId="1" xfId="0" applyNumberFormat="1" applyFont="1" applyFill="1" applyBorder="1" applyAlignment="1" applyProtection="1">
      <alignment vertical="center"/>
    </xf>
    <xf numFmtId="0" fontId="2" fillId="14" borderId="1" xfId="0" applyFont="1" applyFill="1" applyBorder="1" applyAlignment="1" applyProtection="1">
      <alignment vertical="center"/>
    </xf>
    <xf numFmtId="43" fontId="2" fillId="14" borderId="1" xfId="1" applyFont="1" applyFill="1" applyBorder="1" applyAlignment="1" applyProtection="1">
      <alignment horizontal="right" vertical="center"/>
    </xf>
    <xf numFmtId="10" fontId="2" fillId="14" borderId="1" xfId="0" applyNumberFormat="1" applyFont="1" applyFill="1" applyBorder="1" applyAlignment="1" applyProtection="1">
      <alignment horizontal="right" vertical="center"/>
    </xf>
    <xf numFmtId="4" fontId="2" fillId="14" borderId="1" xfId="0" applyNumberFormat="1" applyFont="1" applyFill="1" applyBorder="1" applyAlignment="1" applyProtection="1">
      <alignment horizontal="right" vertical="center"/>
    </xf>
    <xf numFmtId="3" fontId="2" fillId="14" borderId="1" xfId="0" applyNumberFormat="1" applyFont="1" applyFill="1" applyBorder="1" applyAlignment="1" applyProtection="1">
      <alignment horizontal="right" vertical="center"/>
    </xf>
    <xf numFmtId="164" fontId="2" fillId="14" borderId="1" xfId="0" applyNumberFormat="1" applyFont="1" applyFill="1" applyBorder="1" applyAlignment="1" applyProtection="1">
      <alignment horizontal="right" vertical="center"/>
    </xf>
    <xf numFmtId="43" fontId="2" fillId="0" borderId="1" xfId="1" applyFont="1" applyFill="1" applyBorder="1" applyAlignment="1" applyProtection="1">
      <alignment horizontal="right" vertical="center"/>
    </xf>
    <xf numFmtId="10" fontId="2" fillId="0" borderId="1" xfId="0" applyNumberFormat="1" applyFont="1" applyFill="1" applyBorder="1" applyAlignment="1" applyProtection="1">
      <alignment horizontal="right" vertical="center"/>
    </xf>
    <xf numFmtId="4" fontId="2" fillId="0" borderId="1" xfId="0" applyNumberFormat="1" applyFont="1" applyFill="1" applyBorder="1" applyAlignment="1" applyProtection="1">
      <alignment horizontal="right" vertical="center"/>
    </xf>
    <xf numFmtId="3" fontId="2" fillId="0" borderId="1" xfId="0" applyNumberFormat="1" applyFont="1" applyFill="1" applyBorder="1" applyAlignment="1" applyProtection="1">
      <alignment horizontal="right" vertical="center"/>
    </xf>
    <xf numFmtId="164" fontId="2" fillId="0" borderId="1" xfId="0" applyNumberFormat="1" applyFont="1" applyFill="1" applyBorder="1" applyAlignment="1" applyProtection="1">
      <alignment horizontal="right" vertical="center"/>
    </xf>
    <xf numFmtId="0" fontId="1" fillId="14" borderId="1" xfId="0" applyNumberFormat="1" applyFont="1" applyFill="1" applyBorder="1" applyAlignment="1" applyProtection="1">
      <alignment vertical="center"/>
    </xf>
    <xf numFmtId="0" fontId="1" fillId="14" borderId="1" xfId="0" applyFont="1" applyFill="1" applyBorder="1" applyAlignment="1" applyProtection="1">
      <alignment vertical="center"/>
    </xf>
    <xf numFmtId="43" fontId="1" fillId="14" borderId="1" xfId="1" applyFont="1" applyFill="1" applyBorder="1" applyAlignment="1" applyProtection="1">
      <alignment horizontal="right" vertical="center"/>
    </xf>
    <xf numFmtId="10" fontId="1" fillId="14" borderId="1" xfId="0" applyNumberFormat="1" applyFont="1" applyFill="1" applyBorder="1" applyAlignment="1" applyProtection="1">
      <alignment horizontal="right" vertical="center"/>
    </xf>
    <xf numFmtId="4" fontId="1" fillId="14" borderId="1" xfId="0" applyNumberFormat="1" applyFont="1" applyFill="1" applyBorder="1" applyAlignment="1" applyProtection="1">
      <alignment horizontal="right" vertical="center"/>
    </xf>
    <xf numFmtId="3" fontId="1" fillId="14" borderId="1" xfId="0" applyNumberFormat="1" applyFont="1" applyFill="1" applyBorder="1" applyAlignment="1" applyProtection="1">
      <alignment horizontal="right" vertical="center"/>
    </xf>
    <xf numFmtId="164" fontId="1" fillId="14" borderId="1" xfId="0" applyNumberFormat="1" applyFont="1" applyFill="1" applyBorder="1" applyAlignment="1" applyProtection="1">
      <alignment horizontal="right" vertical="center"/>
    </xf>
    <xf numFmtId="43" fontId="0" fillId="0" borderId="1" xfId="1" applyFont="1" applyFill="1" applyBorder="1" applyAlignment="1"/>
    <xf numFmtId="0" fontId="0" fillId="0" borderId="0" xfId="0" applyAlignment="1">
      <alignment horizontal="right"/>
    </xf>
    <xf numFmtId="0" fontId="1" fillId="2" borderId="3" xfId="0" applyFont="1" applyFill="1" applyBorder="1" applyAlignment="1" applyProtection="1">
      <alignment horizontal="right" wrapText="1"/>
    </xf>
    <xf numFmtId="10" fontId="2" fillId="0" borderId="1" xfId="4" applyNumberFormat="1" applyFont="1" applyFill="1" applyBorder="1" applyAlignment="1" applyProtection="1">
      <alignment horizontal="right" vertical="center"/>
    </xf>
    <xf numFmtId="4" fontId="2" fillId="11" borderId="1" xfId="0" applyNumberFormat="1" applyFont="1" applyFill="1" applyBorder="1" applyAlignment="1" applyProtection="1">
      <alignment horizontal="right" vertical="center"/>
    </xf>
    <xf numFmtId="10" fontId="2" fillId="11" borderId="1" xfId="0" applyNumberFormat="1" applyFont="1" applyFill="1" applyBorder="1" applyAlignment="1" applyProtection="1">
      <alignment horizontal="right" vertical="center"/>
    </xf>
    <xf numFmtId="3" fontId="2" fillId="11" borderId="1" xfId="0" applyNumberFormat="1" applyFont="1" applyFill="1" applyBorder="1" applyAlignment="1" applyProtection="1">
      <alignment horizontal="right" vertical="center"/>
    </xf>
    <xf numFmtId="164" fontId="2" fillId="11" borderId="1" xfId="0" applyNumberFormat="1" applyFont="1" applyFill="1" applyBorder="1" applyAlignment="1" applyProtection="1">
      <alignment horizontal="right" vertical="center"/>
    </xf>
    <xf numFmtId="164" fontId="2" fillId="15" borderId="1" xfId="0" applyNumberFormat="1" applyFont="1" applyFill="1" applyBorder="1" applyAlignment="1" applyProtection="1">
      <alignment horizontal="right" vertical="center"/>
    </xf>
    <xf numFmtId="0" fontId="0" fillId="11" borderId="1" xfId="0" applyFill="1" applyBorder="1" applyAlignment="1"/>
    <xf numFmtId="4" fontId="1" fillId="0" borderId="1" xfId="0" applyNumberFormat="1" applyFont="1" applyFill="1" applyBorder="1" applyAlignment="1" applyProtection="1">
      <alignment horizontal="right" vertical="center"/>
    </xf>
    <xf numFmtId="0" fontId="2" fillId="15" borderId="1" xfId="0" applyFont="1" applyFill="1" applyBorder="1" applyAlignment="1" applyProtection="1">
      <alignment vertical="center"/>
    </xf>
    <xf numFmtId="0" fontId="2" fillId="15" borderId="1" xfId="0" applyNumberFormat="1" applyFont="1" applyFill="1" applyBorder="1" applyAlignment="1" applyProtection="1">
      <alignment vertical="center"/>
    </xf>
    <xf numFmtId="4" fontId="2" fillId="15" borderId="1" xfId="0" applyNumberFormat="1" applyFont="1" applyFill="1" applyBorder="1" applyAlignment="1" applyProtection="1">
      <alignment horizontal="right" vertical="center"/>
    </xf>
    <xf numFmtId="10" fontId="2" fillId="15" borderId="1" xfId="0" applyNumberFormat="1" applyFont="1" applyFill="1" applyBorder="1" applyAlignment="1" applyProtection="1">
      <alignment horizontal="right" vertical="center"/>
    </xf>
    <xf numFmtId="3" fontId="2" fillId="15" borderId="1" xfId="0" applyNumberFormat="1" applyFont="1" applyFill="1" applyBorder="1" applyAlignment="1" applyProtection="1">
      <alignment horizontal="right" vertical="center"/>
    </xf>
    <xf numFmtId="10" fontId="2" fillId="15" borderId="1" xfId="4" applyNumberFormat="1" applyFont="1" applyFill="1" applyBorder="1" applyAlignment="1" applyProtection="1">
      <alignment horizontal="right" vertical="center"/>
    </xf>
    <xf numFmtId="0" fontId="2" fillId="0" borderId="1" xfId="0" applyNumberFormat="1" applyFont="1" applyFill="1" applyBorder="1" applyAlignment="1" applyProtection="1">
      <alignment horizontal="right" vertical="center"/>
    </xf>
    <xf numFmtId="0" fontId="12" fillId="0" borderId="1" xfId="0" applyFont="1" applyFill="1" applyBorder="1"/>
    <xf numFmtId="2" fontId="0" fillId="0" borderId="1" xfId="0" applyNumberFormat="1" applyFill="1" applyBorder="1" applyAlignment="1"/>
    <xf numFmtId="10" fontId="0" fillId="0" borderId="1" xfId="4" applyNumberFormat="1" applyFont="1" applyFill="1" applyBorder="1" applyAlignment="1"/>
    <xf numFmtId="4" fontId="2" fillId="0" borderId="9" xfId="0" applyNumberFormat="1" applyFont="1" applyFill="1" applyBorder="1" applyAlignment="1" applyProtection="1">
      <alignment horizontal="right" vertical="center"/>
    </xf>
    <xf numFmtId="0" fontId="8" fillId="14" borderId="1" xfId="0" applyFont="1" applyFill="1" applyBorder="1" applyAlignment="1"/>
    <xf numFmtId="43" fontId="0" fillId="15" borderId="1" xfId="1" applyFont="1" applyFill="1" applyBorder="1"/>
    <xf numFmtId="0" fontId="1" fillId="16" borderId="1" xfId="0" applyFont="1" applyFill="1" applyBorder="1" applyAlignment="1" applyProtection="1">
      <alignment vertical="center"/>
    </xf>
    <xf numFmtId="0" fontId="1" fillId="16" borderId="1" xfId="0" applyNumberFormat="1" applyFont="1" applyFill="1" applyBorder="1" applyAlignment="1" applyProtection="1">
      <alignment vertical="center"/>
    </xf>
    <xf numFmtId="4" fontId="1" fillId="16" borderId="1" xfId="0" applyNumberFormat="1" applyFont="1" applyFill="1" applyBorder="1" applyAlignment="1" applyProtection="1">
      <alignment horizontal="right" vertical="center"/>
    </xf>
    <xf numFmtId="10" fontId="1" fillId="16" borderId="1" xfId="0" applyNumberFormat="1" applyFont="1" applyFill="1" applyBorder="1" applyAlignment="1" applyProtection="1">
      <alignment horizontal="right" vertical="center"/>
    </xf>
    <xf numFmtId="3" fontId="1" fillId="16" borderId="1" xfId="0" applyNumberFormat="1" applyFont="1" applyFill="1" applyBorder="1" applyAlignment="1" applyProtection="1">
      <alignment horizontal="right" vertical="center"/>
    </xf>
    <xf numFmtId="164" fontId="1" fillId="16" borderId="1" xfId="0" applyNumberFormat="1" applyFont="1" applyFill="1" applyBorder="1" applyAlignment="1" applyProtection="1">
      <alignment horizontal="right" vertical="center"/>
    </xf>
    <xf numFmtId="0" fontId="2" fillId="16" borderId="1" xfId="0" applyFont="1" applyFill="1" applyBorder="1" applyAlignment="1" applyProtection="1">
      <alignment vertical="center"/>
    </xf>
    <xf numFmtId="4" fontId="2" fillId="16" borderId="1" xfId="0" applyNumberFormat="1" applyFont="1" applyFill="1" applyBorder="1" applyAlignment="1" applyProtection="1">
      <alignment horizontal="right" vertical="center"/>
    </xf>
    <xf numFmtId="10" fontId="2" fillId="16" borderId="1" xfId="0" applyNumberFormat="1" applyFont="1" applyFill="1" applyBorder="1" applyAlignment="1" applyProtection="1">
      <alignment horizontal="right" vertical="center"/>
    </xf>
    <xf numFmtId="0" fontId="0" fillId="16" borderId="1" xfId="0" applyFill="1" applyBorder="1" applyAlignment="1"/>
    <xf numFmtId="3" fontId="2" fillId="16" borderId="1" xfId="0" applyNumberFormat="1" applyFont="1" applyFill="1" applyBorder="1" applyAlignment="1" applyProtection="1">
      <alignment horizontal="right" vertical="center"/>
    </xf>
    <xf numFmtId="0" fontId="8" fillId="16" borderId="1" xfId="0" applyFont="1" applyFill="1" applyBorder="1" applyAlignment="1"/>
    <xf numFmtId="167" fontId="1" fillId="14" borderId="1" xfId="0" applyNumberFormat="1" applyFont="1" applyFill="1" applyBorder="1" applyAlignment="1" applyProtection="1">
      <alignment horizontal="right" vertical="center"/>
    </xf>
    <xf numFmtId="0" fontId="2" fillId="16" borderId="1" xfId="0" applyNumberFormat="1" applyFont="1" applyFill="1" applyBorder="1" applyAlignment="1" applyProtection="1">
      <alignment vertical="center"/>
    </xf>
    <xf numFmtId="0" fontId="1" fillId="2" borderId="2" xfId="0" applyFont="1" applyFill="1" applyBorder="1" applyAlignment="1" applyProtection="1">
      <alignment horizontal="right" wrapText="1"/>
    </xf>
    <xf numFmtId="0" fontId="1" fillId="16" borderId="1" xfId="0" applyFont="1" applyFill="1" applyBorder="1" applyAlignment="1" applyProtection="1">
      <alignment horizontal="right" vertical="center"/>
    </xf>
    <xf numFmtId="0" fontId="1" fillId="14" borderId="1" xfId="0" applyFont="1" applyFill="1" applyBorder="1" applyAlignment="1" applyProtection="1">
      <alignment horizontal="right" vertical="center"/>
    </xf>
    <xf numFmtId="0" fontId="15" fillId="0" borderId="0" xfId="0" applyFont="1" applyAlignment="1">
      <alignment wrapText="1"/>
    </xf>
    <xf numFmtId="43" fontId="15" fillId="0" borderId="0" xfId="1" applyFont="1" applyAlignment="1">
      <alignment wrapText="1"/>
    </xf>
    <xf numFmtId="4" fontId="3" fillId="0" borderId="9" xfId="0" applyNumberFormat="1" applyFont="1" applyFill="1" applyBorder="1" applyAlignment="1" applyProtection="1">
      <alignment horizontal="right" vertical="center"/>
    </xf>
    <xf numFmtId="4" fontId="2" fillId="0" borderId="0" xfId="0" applyNumberFormat="1" applyFont="1" applyFill="1" applyBorder="1" applyAlignment="1" applyProtection="1">
      <alignment horizontal="right" vertical="center"/>
    </xf>
    <xf numFmtId="4" fontId="3" fillId="0" borderId="8" xfId="0" applyNumberFormat="1" applyFont="1" applyFill="1" applyBorder="1" applyAlignment="1" applyProtection="1">
      <alignment horizontal="right" vertical="center"/>
    </xf>
    <xf numFmtId="4" fontId="0" fillId="0" borderId="0" xfId="0" applyNumberFormat="1" applyAlignment="1"/>
    <xf numFmtId="4" fontId="2" fillId="17" borderId="1" xfId="0" applyNumberFormat="1" applyFont="1" applyFill="1" applyBorder="1" applyAlignment="1" applyProtection="1">
      <alignment horizontal="right" vertical="center"/>
    </xf>
    <xf numFmtId="4" fontId="3" fillId="17" borderId="1" xfId="0" applyNumberFormat="1" applyFont="1" applyFill="1" applyBorder="1" applyAlignment="1" applyProtection="1">
      <alignment horizontal="right" vertical="center"/>
    </xf>
    <xf numFmtId="43" fontId="0" fillId="0" borderId="0" xfId="1" applyFont="1" applyAlignment="1"/>
    <xf numFmtId="0" fontId="16" fillId="0" borderId="1" xfId="0" applyFont="1" applyFill="1" applyBorder="1" applyAlignment="1" applyProtection="1">
      <alignment vertical="center"/>
    </xf>
    <xf numFmtId="0" fontId="16" fillId="0" borderId="1" xfId="0" applyNumberFormat="1" applyFont="1" applyFill="1" applyBorder="1" applyAlignment="1" applyProtection="1">
      <alignment vertical="center"/>
    </xf>
    <xf numFmtId="4" fontId="16" fillId="0" borderId="1" xfId="0" applyNumberFormat="1" applyFont="1" applyFill="1" applyBorder="1" applyAlignment="1" applyProtection="1">
      <alignment horizontal="right" vertical="center"/>
    </xf>
    <xf numFmtId="10" fontId="16" fillId="0" borderId="1" xfId="0" applyNumberFormat="1" applyFont="1" applyFill="1" applyBorder="1" applyAlignment="1" applyProtection="1">
      <alignment horizontal="right" vertical="center"/>
    </xf>
    <xf numFmtId="3" fontId="16" fillId="0" borderId="1" xfId="0" applyNumberFormat="1" applyFont="1" applyFill="1" applyBorder="1" applyAlignment="1" applyProtection="1">
      <alignment horizontal="right" vertical="center"/>
    </xf>
    <xf numFmtId="164" fontId="16" fillId="0" borderId="1" xfId="0" applyNumberFormat="1" applyFont="1" applyFill="1" applyBorder="1" applyAlignment="1" applyProtection="1">
      <alignment horizontal="right" vertical="center"/>
    </xf>
    <xf numFmtId="0" fontId="16" fillId="0" borderId="1" xfId="0" applyFont="1" applyFill="1" applyBorder="1" applyAlignment="1" applyProtection="1">
      <alignment horizontal="right" vertical="center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 wrapText="1"/>
    </xf>
    <xf numFmtId="0" fontId="17" fillId="0" borderId="0" xfId="5" applyAlignment="1">
      <alignment horizontal="center" wrapText="1"/>
    </xf>
    <xf numFmtId="168" fontId="0" fillId="0" borderId="0" xfId="4" applyNumberFormat="1" applyFont="1"/>
    <xf numFmtId="0" fontId="8" fillId="0" borderId="10" xfId="0" applyFont="1" applyBorder="1"/>
    <xf numFmtId="3" fontId="8" fillId="0" borderId="10" xfId="0" applyNumberFormat="1" applyFont="1" applyBorder="1"/>
    <xf numFmtId="165" fontId="8" fillId="0" borderId="10" xfId="0" applyNumberFormat="1" applyFont="1" applyBorder="1"/>
    <xf numFmtId="168" fontId="8" fillId="0" borderId="10" xfId="4" applyNumberFormat="1" applyFont="1" applyBorder="1"/>
    <xf numFmtId="0" fontId="8" fillId="18" borderId="0" xfId="0" applyFont="1" applyFill="1"/>
    <xf numFmtId="3" fontId="8" fillId="18" borderId="0" xfId="0" applyNumberFormat="1" applyFont="1" applyFill="1"/>
    <xf numFmtId="165" fontId="8" fillId="18" borderId="0" xfId="0" applyNumberFormat="1" applyFont="1" applyFill="1"/>
    <xf numFmtId="168" fontId="8" fillId="18" borderId="0" xfId="4" applyNumberFormat="1" applyFont="1" applyFill="1"/>
    <xf numFmtId="0" fontId="18" fillId="19" borderId="11" xfId="0" applyFont="1" applyFill="1" applyBorder="1" applyAlignment="1">
      <alignment horizontal="center"/>
    </xf>
    <xf numFmtId="0" fontId="18" fillId="19" borderId="11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17" borderId="6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6" borderId="5" xfId="0" applyFont="1" applyFill="1" applyBorder="1" applyAlignment="1">
      <alignment horizontal="center" wrapText="1"/>
    </xf>
    <xf numFmtId="0" fontId="8" fillId="6" borderId="6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 wrapText="1"/>
    </xf>
    <xf numFmtId="0" fontId="8" fillId="7" borderId="3" xfId="0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 wrapText="1"/>
    </xf>
    <xf numFmtId="0" fontId="8" fillId="9" borderId="5" xfId="0" applyFont="1" applyFill="1" applyBorder="1" applyAlignment="1">
      <alignment horizontal="center" wrapText="1"/>
    </xf>
    <xf numFmtId="0" fontId="8" fillId="9" borderId="6" xfId="0" applyFont="1" applyFill="1" applyBorder="1" applyAlignment="1">
      <alignment horizontal="center" wrapText="1"/>
    </xf>
    <xf numFmtId="0" fontId="8" fillId="9" borderId="7" xfId="0" applyFont="1" applyFill="1" applyBorder="1" applyAlignment="1">
      <alignment horizontal="center" wrapText="1"/>
    </xf>
    <xf numFmtId="0" fontId="9" fillId="3" borderId="7" xfId="0" applyFont="1" applyFill="1" applyBorder="1" applyAlignment="1" applyProtection="1">
      <alignment horizontal="center" wrapText="1"/>
    </xf>
    <xf numFmtId="0" fontId="9" fillId="3" borderId="3" xfId="0" applyFont="1" applyFill="1" applyBorder="1" applyAlignment="1" applyProtection="1">
      <alignment horizontal="center" wrapText="1"/>
    </xf>
    <xf numFmtId="43" fontId="8" fillId="14" borderId="1" xfId="1" applyFont="1" applyFill="1" applyBorder="1" applyAlignment="1"/>
    <xf numFmtId="168" fontId="8" fillId="14" borderId="1" xfId="4" applyNumberFormat="1" applyFont="1" applyFill="1" applyBorder="1" applyAlignment="1"/>
    <xf numFmtId="164" fontId="10" fillId="14" borderId="1" xfId="0" applyNumberFormat="1" applyFont="1" applyFill="1" applyBorder="1" applyAlignment="1" applyProtection="1">
      <alignment horizontal="right" vertical="center"/>
    </xf>
    <xf numFmtId="4" fontId="10" fillId="14" borderId="1" xfId="0" applyNumberFormat="1" applyFont="1" applyFill="1" applyBorder="1" applyAlignment="1" applyProtection="1">
      <alignment horizontal="right" vertical="center"/>
    </xf>
    <xf numFmtId="10" fontId="1" fillId="14" borderId="1" xfId="4" applyNumberFormat="1" applyFont="1" applyFill="1" applyBorder="1" applyAlignment="1" applyProtection="1">
      <alignment horizontal="right" vertical="center"/>
    </xf>
    <xf numFmtId="2" fontId="8" fillId="14" borderId="1" xfId="1" applyNumberFormat="1" applyFont="1" applyFill="1" applyBorder="1" applyAlignment="1"/>
    <xf numFmtId="4" fontId="19" fillId="14" borderId="1" xfId="0" applyNumberFormat="1" applyFont="1" applyFill="1" applyBorder="1" applyAlignment="1" applyProtection="1">
      <alignment horizontal="right" vertical="center"/>
    </xf>
    <xf numFmtId="3" fontId="19" fillId="14" borderId="1" xfId="0" applyNumberFormat="1" applyFont="1" applyFill="1" applyBorder="1" applyAlignment="1" applyProtection="1">
      <alignment horizontal="right" vertical="center"/>
    </xf>
    <xf numFmtId="10" fontId="19" fillId="14" borderId="1" xfId="4" applyNumberFormat="1" applyFont="1" applyFill="1" applyBorder="1" applyAlignment="1" applyProtection="1">
      <alignment horizontal="right" vertical="center"/>
    </xf>
    <xf numFmtId="164" fontId="19" fillId="14" borderId="1" xfId="0" applyNumberFormat="1" applyFont="1" applyFill="1" applyBorder="1" applyAlignment="1" applyProtection="1">
      <alignment horizontal="right" vertical="center"/>
    </xf>
    <xf numFmtId="4" fontId="20" fillId="14" borderId="1" xfId="0" applyNumberFormat="1" applyFont="1" applyFill="1" applyBorder="1" applyAlignment="1" applyProtection="1">
      <alignment horizontal="right" vertical="center"/>
    </xf>
    <xf numFmtId="9" fontId="8" fillId="14" borderId="1" xfId="4" applyFont="1" applyFill="1" applyBorder="1" applyAlignment="1"/>
    <xf numFmtId="0" fontId="1" fillId="14" borderId="1" xfId="0" applyNumberFormat="1" applyFont="1" applyFill="1" applyBorder="1" applyAlignment="1" applyProtection="1">
      <alignment horizontal="right" vertical="center"/>
    </xf>
    <xf numFmtId="43" fontId="8" fillId="14" borderId="1" xfId="1" applyFont="1" applyFill="1" applyBorder="1"/>
    <xf numFmtId="0" fontId="1" fillId="0" borderId="1" xfId="0" applyFont="1" applyFill="1" applyBorder="1" applyAlignment="1" applyProtection="1">
      <alignment horizontal="right" vertical="center"/>
    </xf>
    <xf numFmtId="0" fontId="10" fillId="14" borderId="1" xfId="0" applyFont="1" applyFill="1" applyBorder="1" applyAlignment="1" applyProtection="1">
      <alignment vertical="center"/>
    </xf>
    <xf numFmtId="0" fontId="10" fillId="14" borderId="1" xfId="0" applyNumberFormat="1" applyFont="1" applyFill="1" applyBorder="1" applyAlignment="1" applyProtection="1">
      <alignment vertical="center"/>
    </xf>
    <xf numFmtId="10" fontId="10" fillId="14" borderId="1" xfId="0" applyNumberFormat="1" applyFont="1" applyFill="1" applyBorder="1" applyAlignment="1" applyProtection="1">
      <alignment horizontal="right" vertical="center"/>
    </xf>
    <xf numFmtId="3" fontId="10" fillId="14" borderId="1" xfId="0" applyNumberFormat="1" applyFont="1" applyFill="1" applyBorder="1" applyAlignment="1" applyProtection="1">
      <alignment horizontal="right" vertical="center"/>
    </xf>
    <xf numFmtId="0" fontId="21" fillId="14" borderId="1" xfId="3" applyFont="1" applyFill="1" applyBorder="1" applyAlignment="1" applyProtection="1">
      <alignment vertical="center"/>
    </xf>
    <xf numFmtId="0" fontId="21" fillId="14" borderId="1" xfId="3" applyNumberFormat="1" applyFont="1" applyFill="1" applyBorder="1" applyAlignment="1" applyProtection="1">
      <alignment vertical="center"/>
    </xf>
    <xf numFmtId="4" fontId="21" fillId="14" borderId="1" xfId="3" applyNumberFormat="1" applyFont="1" applyFill="1" applyBorder="1" applyAlignment="1" applyProtection="1">
      <alignment horizontal="right" vertical="center"/>
    </xf>
    <xf numFmtId="10" fontId="21" fillId="14" borderId="1" xfId="3" applyNumberFormat="1" applyFont="1" applyFill="1" applyBorder="1" applyAlignment="1" applyProtection="1">
      <alignment horizontal="right" vertical="center"/>
    </xf>
    <xf numFmtId="3" fontId="21" fillId="14" borderId="1" xfId="3" applyNumberFormat="1" applyFont="1" applyFill="1" applyBorder="1" applyAlignment="1" applyProtection="1">
      <alignment horizontal="right" vertical="center"/>
    </xf>
    <xf numFmtId="164" fontId="21" fillId="14" borderId="1" xfId="3" applyNumberFormat="1" applyFont="1" applyFill="1" applyBorder="1" applyAlignment="1" applyProtection="1">
      <alignment horizontal="right" vertical="center"/>
    </xf>
    <xf numFmtId="0" fontId="19" fillId="14" borderId="1" xfId="0" applyFont="1" applyFill="1" applyBorder="1" applyAlignment="1" applyProtection="1">
      <alignment vertical="center"/>
    </xf>
    <xf numFmtId="0" fontId="19" fillId="14" borderId="1" xfId="0" applyNumberFormat="1" applyFont="1" applyFill="1" applyBorder="1" applyAlignment="1" applyProtection="1">
      <alignment horizontal="right" vertical="center"/>
    </xf>
    <xf numFmtId="0" fontId="21" fillId="14" borderId="1" xfId="0" applyFont="1" applyFill="1" applyBorder="1" applyAlignment="1"/>
    <xf numFmtId="10" fontId="19" fillId="14" borderId="1" xfId="0" applyNumberFormat="1" applyFont="1" applyFill="1" applyBorder="1" applyAlignment="1" applyProtection="1">
      <alignment horizontal="right" vertical="center"/>
    </xf>
  </cellXfs>
  <cellStyles count="6">
    <cellStyle name="Comma" xfId="1" builtinId="3"/>
    <cellStyle name="Currency" xfId="2" builtinId="4"/>
    <cellStyle name="Good" xfId="3" builtinId="26"/>
    <cellStyle name="Hyperlink" xfId="5" builtinId="8"/>
    <cellStyle name="Normal" xfId="0" builtinId="0"/>
    <cellStyle name="Percent" xfId="4" builtinId="5"/>
  </cellStyles>
  <dxfs count="47">
    <dxf>
      <fill>
        <patternFill>
          <bgColor rgb="FFFFEFBD"/>
        </patternFill>
      </fill>
    </dxf>
    <dxf>
      <border>
        <top style="thin">
          <color theme="6" tint="-0.24994659260841701"/>
        </top>
        <bottom style="thin">
          <color theme="6" tint="-0.24994659260841701"/>
        </bottom>
      </border>
    </dxf>
    <dxf>
      <fill>
        <patternFill>
          <bgColor theme="8" tint="0.79998168889431442"/>
        </patternFill>
      </fill>
    </dxf>
    <dxf>
      <alignment horizontal="center" readingOrder="0"/>
    </dxf>
    <dxf>
      <font>
        <sz val="12"/>
      </font>
    </dxf>
    <dxf>
      <font>
        <b/>
      </font>
    </dxf>
    <dxf>
      <font>
        <color theme="1" tint="4.9989318521683403E-2"/>
      </font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b/>
      </font>
    </dxf>
    <dxf>
      <font>
        <b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b/>
      </font>
    </dxf>
    <dxf>
      <font>
        <b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b/>
      </font>
    </dxf>
    <dxf>
      <font>
        <b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border>
        <top style="thin">
          <color theme="6" tint="-0.24994659260841701"/>
        </top>
        <bottom style="double">
          <color theme="6" tint="-0.24994659260841701"/>
        </bottom>
      </border>
    </dxf>
    <dxf>
      <border>
        <top style="thin">
          <color theme="6" tint="-0.24994659260841701"/>
        </top>
        <bottom style="double">
          <color theme="6" tint="-0.24994659260841701"/>
        </bottom>
      </border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wrapText="1" readingOrder="0"/>
    </dxf>
    <dxf>
      <font>
        <color theme="1" tint="4.9989318521683403E-2"/>
      </font>
    </dxf>
    <dxf>
      <fill>
        <patternFill patternType="solid">
          <fgColor rgb="FFE2EFDA"/>
          <bgColor rgb="FFE2EFDA"/>
        </patternFill>
      </fill>
      <border>
        <bottom style="thin">
          <color rgb="FFA9D08E"/>
        </bottom>
      </border>
    </dxf>
    <dxf>
      <fill>
        <patternFill patternType="solid">
          <fgColor rgb="FFE2EFDA"/>
          <bgColor rgb="FFE2EFDA"/>
        </patternFill>
      </fill>
      <border>
        <bottom style="thin">
          <color rgb="FFA9D08E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A9D08E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70AD47"/>
        </top>
        <bottom style="thin">
          <color rgb="FF70AD47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E2EFDA"/>
          <bgColor rgb="FFE2EFDA"/>
        </patternFill>
      </fill>
      <border>
        <top style="thin">
          <color rgb="FFA9D08E"/>
        </top>
      </border>
    </dxf>
    <dxf>
      <font>
        <b/>
        <color rgb="FF000000"/>
      </font>
      <fill>
        <patternFill patternType="solid">
          <fgColor rgb="FFE2EFDA"/>
          <bgColor rgb="FFE2EFDA"/>
        </patternFill>
      </fill>
      <border>
        <bottom style="thin">
          <color rgb="FFA9D08E"/>
        </bottom>
      </border>
    </dxf>
  </dxfs>
  <tableStyles count="1" defaultTableStyle="TableStyleMedium9" defaultPivotStyle="PivotStyleLight16">
    <tableStyle name="PivotStyleLight21 2" table="0" count="11">
      <tableStyleElement type="headerRow" dxfId="46"/>
      <tableStyleElement type="totalRow" dxfId="45"/>
      <tableStyleElement type="firstRowStripe" dxfId="44"/>
      <tableStyleElement type="firstColumnStripe" dxfId="43"/>
      <tableStyleElement type="firstSubtotalColumn" dxfId="42"/>
      <tableStyleElement type="firstSubtotalRow" dxfId="41"/>
      <tableStyleElement type="secondSubtotalRow" dxfId="40"/>
      <tableStyleElement type="firstRowSubheading" dxfId="39"/>
      <tableStyleElement type="secondRowSubheading" dxfId="38"/>
      <tableStyleElement type="pageFieldLabels" dxfId="37"/>
      <tableStyleElement type="pageFieldValues" dxfId="36"/>
    </tableStyle>
  </tableStyles>
  <colors>
    <mruColors>
      <color rgb="FFFFEFBD"/>
      <color rgb="FFFFE0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rnandez, Shannon L" refreshedDate="42615.992282754632" createdVersion="5" refreshedVersion="5" minRefreshableVersion="3" recordCount="1460">
  <cacheSource type="worksheet">
    <worksheetSource ref="A2:AA1462" sheet="CustomCompareVolumesExport_0813"/>
  </cacheSource>
  <cacheFields count="27">
    <cacheField name="Key" numFmtId="0">
      <sharedItems/>
    </cacheField>
    <cacheField name="Exclude" numFmtId="0">
      <sharedItems containsNonDate="0" containsString="0" containsBlank="1"/>
    </cacheField>
    <cacheField name="Market" numFmtId="0">
      <sharedItems count="5">
        <s v="AK"/>
        <s v="WWA"/>
        <s v="CA"/>
        <s v="OR"/>
        <s v="EWA/MT"/>
      </sharedItems>
    </cacheField>
    <cacheField name="Region" numFmtId="0">
      <sharedItems/>
    </cacheField>
    <cacheField name="Facility State" numFmtId="0">
      <sharedItems/>
    </cacheField>
    <cacheField name="Facility ID" numFmtId="0">
      <sharedItems containsMixedTypes="1" containsNumber="1" containsInteger="1" minValue="2687" maxValue="4283"/>
    </cacheField>
    <cacheField name="Facility" numFmtId="0">
      <sharedItems count="34">
        <s v="Providence Alaska Medical Center"/>
        <s v="Providence Everett Medical Center"/>
        <s v="Providence St Peter Hospital"/>
        <s v="Providence Tarzana Medical Center"/>
        <s v="Providence Holy Cross Medical Center"/>
        <s v="Providence Kodiak Hospital"/>
        <s v="Providence St Joseph Medical Center"/>
        <s v="Providence Willamette Falls Medical Center"/>
        <s v="Providence Saint Mary Medical Center"/>
        <s v="Providence Sacred Heart Medical Center"/>
        <s v="Providence Centralia Hospital"/>
        <s v="Providence Holy Family Hospital"/>
        <s v="Providence Hood River Memorial Hospital"/>
        <s v="Providence Little Company of Mary Hospital"/>
        <s v="Providence San Pedro Peninsula Hospital"/>
        <s v="Providence Milwaukie Hospital"/>
        <s v="Providence Mount Carmel Hospital"/>
        <s v="Providence Newberg Hospital"/>
        <s v="Providence Portland Medical Center"/>
        <s v="Providence Seaside Hospital"/>
        <s v="Providence St Joseph's Hospital Chewelah"/>
        <s v="Providence St Patrick Hospital &amp; Health Science Ce"/>
        <s v="Providence St Vincent Medical Center"/>
        <s v="Providence St. John's Health Center"/>
        <s v="Swedish Ballard"/>
        <s v="Swedish Cherry Hill"/>
        <s v="Swedish First Hill"/>
        <s v="Swedish Health Services Corp (S)"/>
        <s v="Swedish Issaquah"/>
        <s v="Providence Medford Medical Center"/>
        <s v="Providence St Joseph Medical Center Polson"/>
        <s v="Swedish Edmonds"/>
        <s v="Swedish Redmond Campus"/>
        <s v="Swedish Mill Creek"/>
      </sharedItems>
    </cacheField>
    <cacheField name="Truven Standard Dept Number" numFmtId="0">
      <sharedItems containsSemiMixedTypes="0" containsString="0" containsNumber="1" containsInteger="1" minValue="1010" maxValue="6610"/>
    </cacheField>
    <cacheField name="Truven Department Name" numFmtId="0">
      <sharedItems/>
    </cacheField>
    <cacheField name="Truven Department Series" numFmtId="0">
      <sharedItems/>
    </cacheField>
    <cacheField name="Hospital Department" numFmtId="0">
      <sharedItems/>
    </cacheField>
    <cacheField name="Measure" numFmtId="0">
      <sharedItems/>
    </cacheField>
    <cacheField name="FYE 4Q 2014" numFmtId="0">
      <sharedItems containsBlank="1" containsMixedTypes="1" containsNumber="1" minValue="0" maxValue="1886373.34"/>
    </cacheField>
    <cacheField name="FYE 4Q 2015" numFmtId="0">
      <sharedItems containsSemiMixedTypes="0" containsString="0" containsNumber="1" minValue="0.73" maxValue="2000825.45"/>
    </cacheField>
    <cacheField name="Host Percent Rank FYE 4Q 2015" numFmtId="0">
      <sharedItems containsBlank="1" containsMixedTypes="1" containsNumber="1" minValue="0" maxValue="1"/>
    </cacheField>
    <cacheField name="FYE 4Q 20142" numFmtId="0">
      <sharedItems containsBlank="1" containsMixedTypes="1" containsNumber="1" minValue="0" maxValue="65388.03"/>
    </cacheField>
    <cacheField name="FYE 4Q 20152" numFmtId="0">
      <sharedItems containsSemiMixedTypes="0" containsString="0" containsNumber="1" minValue="0.01" maxValue="5604.69"/>
    </cacheField>
    <cacheField name="Host Percent Rank FYE 4Q 20152" numFmtId="0">
      <sharedItems containsBlank="1" containsMixedTypes="1" containsNumber="1" minValue="0" maxValue="90.91"/>
    </cacheField>
    <cacheField name="Sample Size" numFmtId="3">
      <sharedItems containsSemiMixedTypes="0" containsString="0" containsNumber="1" containsInteger="1" minValue="5" maxValue="218"/>
    </cacheField>
    <cacheField name="25th" numFmtId="4">
      <sharedItems containsSemiMixedTypes="0" containsString="0" containsNumber="1" minValue="0.02" maxValue="791.22"/>
    </cacheField>
    <cacheField name="35th" numFmtId="4">
      <sharedItems containsSemiMixedTypes="0" containsString="0" containsNumber="1" minValue="0.02" maxValue="931.41"/>
    </cacheField>
    <cacheField name="50th" numFmtId="4">
      <sharedItems containsSemiMixedTypes="0" containsString="0" containsNumber="1" minValue="0.02" maxValue="1020.02"/>
    </cacheField>
    <cacheField name="Hours Worked as % Hours Paid" numFmtId="10">
      <sharedItems containsSemiMixedTypes="0" containsString="0" containsNumber="1" minValue="0.62039999999999995" maxValue="1"/>
    </cacheField>
    <cacheField name="Total Paid Benchmarked FTEs" numFmtId="0">
      <sharedItems containsString="0" containsBlank="1" containsNumber="1" minValue="0.91" maxValue="177.98"/>
    </cacheField>
    <cacheField name="Opportunity $" numFmtId="164">
      <sharedItems containsSemiMixedTypes="0" containsString="0" containsNumber="1" minValue="-3804228.6563216001" maxValue="4026053.8338816599"/>
    </cacheField>
    <cacheField name="Opportunity Hours" numFmtId="0">
      <sharedItems containsSemiMixedTypes="0" containsString="0" containsNumber="1" minValue="-124016" maxValue="133407"/>
    </cacheField>
    <cacheField name="Paid FTE Opportunity" numFmtId="4">
      <sharedItems containsSemiMixedTypes="0" containsString="0" containsNumber="1" minValue="-59.459707502599599" maxValue="63.962162683173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0">
  <r>
    <s v="2947Providence Alaska Medical Center1014CARDIOVASCULAR CARE UNIT"/>
    <m/>
    <x v="0"/>
    <s v="AK"/>
    <s v="AK"/>
    <n v="2947"/>
    <x v="0"/>
    <n v="1014"/>
    <s v="Medical/Cardiac Intensive Care Unit"/>
    <s v="Nursing Services"/>
    <s v="CARDIOVASCULAR CARE UNIT"/>
    <s v="Equivalent Patient Day"/>
    <n v="2761"/>
    <n v="2612"/>
    <n v="0"/>
    <n v="13.57"/>
    <n v="14.86"/>
    <n v="0.16669999999999999"/>
    <n v="5"/>
    <n v="16.78"/>
    <n v="18.95"/>
    <n v="21.26"/>
    <n v="0.87729999999999997"/>
    <n v="21.27"/>
    <n v="-559010.83042331296"/>
    <n v="-12057"/>
    <n v="-5.7809434441029701"/>
  </r>
  <r>
    <s v="3523Providence Everett Medical Center221731670775, Autism"/>
    <m/>
    <x v="1"/>
    <s v="NWR"/>
    <s v="WA"/>
    <n v="3523"/>
    <x v="1"/>
    <n v="2217"/>
    <s v="Autism Clinic"/>
    <s v="Ambulatory Care Clinics"/>
    <s v="31670775, Autism"/>
    <s v="Patient Visits"/>
    <n v="967"/>
    <n v="1496"/>
    <n v="0.25"/>
    <n v="3.5"/>
    <n v="4.7300000000000004"/>
    <n v="1"/>
    <n v="5"/>
    <n v="1.71"/>
    <n v="1.82"/>
    <n v="2.44"/>
    <n v="0.92449999999999999"/>
    <n v="3.68"/>
    <n v="157243.12400134699"/>
    <n v="4730"/>
    <n v="2.2679690212210999"/>
  </r>
  <r>
    <s v="3524Providence St Peter Hospital4299Cardiology and Vascular Administration and Support Services (U,N)"/>
    <m/>
    <x v="1"/>
    <s v="SWR"/>
    <s v="WA"/>
    <n v="3524"/>
    <x v="2"/>
    <n v="4299"/>
    <s v="Cardiology and Vascular Administration and Support Services"/>
    <s v="Cardiology and Vascular Services Series"/>
    <s v="Cardiology and Vascular Administration and Support Services (U,N)"/>
    <s v="APC Relative Weight Supported"/>
    <m/>
    <n v="362354.5"/>
    <n v="0.85109999999999997"/>
    <m/>
    <n v="0.02"/>
    <n v="0.38550000000000001"/>
    <n v="5"/>
    <n v="0.02"/>
    <n v="0.02"/>
    <n v="0.02"/>
    <n v="0.91639999999999999"/>
    <n v="3.81"/>
    <n v="1569.5700462704799"/>
    <n v="38"/>
    <n v="1.8363170237387601E-2"/>
  </r>
  <r>
    <s v="3524Providence St Peter Hospital306033074500, ANESTHESIOLOGY"/>
    <m/>
    <x v="1"/>
    <s v="SWR"/>
    <s v="WA"/>
    <n v="3524"/>
    <x v="2"/>
    <n v="3060"/>
    <s v="Anesthesia"/>
    <s v="Surgical Services"/>
    <s v="33074500, ANESTHESIOLOGY"/>
    <s v="100 Minutes Patient Enter To Leave"/>
    <n v="9399.92"/>
    <n v="9443.92"/>
    <n v="0.25"/>
    <n v="0.93"/>
    <n v="0.94"/>
    <n v="0.4"/>
    <n v="5"/>
    <n v="0.85"/>
    <n v="0.91"/>
    <n v="1.1499999999999999"/>
    <n v="0.82520000000000004"/>
    <n v="5.16"/>
    <n v="10617.1094415975"/>
    <n v="348"/>
    <n v="0.16675781028214801"/>
  </r>
  <r>
    <s v="3755Providence Tarzana Medical Center463072577600, ENDOSCOPY"/>
    <m/>
    <x v="2"/>
    <s v="CA"/>
    <s v="CA"/>
    <n v="3755"/>
    <x v="3"/>
    <n v="4630"/>
    <s v="Endoscopy (GI) Laboratory"/>
    <s v="Other Clinical Support Services"/>
    <s v="72577600, ENDOSCOPY"/>
    <s v="APC Relative Weight"/>
    <m/>
    <n v="57.68"/>
    <n v="1"/>
    <m/>
    <n v="467.14"/>
    <n v="0"/>
    <n v="5"/>
    <n v="791.22"/>
    <n v="864.14"/>
    <n v="973.51"/>
    <n v="0.89170000000000005"/>
    <n v="14.53"/>
    <n v="-1464287.9510832201"/>
    <n v="-25592"/>
    <n v="-12.270244275424499"/>
  </r>
  <r>
    <s v="2687Providence Holy Cross Medical Center111072061744, 4S TELEMTRY"/>
    <m/>
    <x v="2"/>
    <s v="CA"/>
    <s v="CA"/>
    <n v="2687"/>
    <x v="4"/>
    <n v="1110"/>
    <s v="Medical/Surgical Intermediate Care Unit"/>
    <s v="Nursing Services"/>
    <s v="72061744, 4S TELEMTRY"/>
    <s v="Equivalent Patient Day"/>
    <n v="8741"/>
    <n v="8043"/>
    <n v="0.66669999999999996"/>
    <n v="11.83"/>
    <n v="12.28"/>
    <n v="0.2"/>
    <n v="6"/>
    <n v="12.33"/>
    <n v="12.44"/>
    <n v="12.65"/>
    <n v="0.92430000000000001"/>
    <n v="51.38"/>
    <n v="-58767.937682570657"/>
    <n v="-1392.2752353132114"/>
    <n v="-0.66753379455972173"/>
  </r>
  <r>
    <s v="2687Providence Holy Cross Medical Center153572065600 Subacute Nursing Inpatient Unit"/>
    <m/>
    <x v="2"/>
    <s v="CA"/>
    <s v="CA"/>
    <n v="2687"/>
    <x v="4"/>
    <n v="1535"/>
    <s v="Subacute Nursing Unit"/>
    <s v="Nursing Services"/>
    <s v="72065600 Subacute Nursing Inpatient Unit"/>
    <s v="Patient Days"/>
    <n v="15564"/>
    <n v="16784"/>
    <n v="1"/>
    <n v="8.98"/>
    <n v="8.65"/>
    <n v="0.8"/>
    <n v="6"/>
    <n v="7.25"/>
    <n v="7.76"/>
    <n v="8.2100000000000009"/>
    <n v="0.90769999999999995"/>
    <n v="76.92"/>
    <n v="560389.94129641505"/>
    <n v="16944"/>
    <n v="8.1240272938495206"/>
  </r>
  <r>
    <s v="4282Providence Kodiak Hospital522018983500, LAUNDRY"/>
    <m/>
    <x v="0"/>
    <s v="AK"/>
    <s v="AK"/>
    <n v="4282"/>
    <x v="5"/>
    <n v="5220"/>
    <s v="Laundry and Linen In-house Reprocessing"/>
    <s v="Environmental Services"/>
    <s v="18983500, LAUNDRY"/>
    <s v="100 Lbs Laundry Processed"/>
    <n v="1387.86"/>
    <n v="1343.66"/>
    <n v="0"/>
    <n v="3.44"/>
    <n v="3.86"/>
    <n v="1"/>
    <n v="6"/>
    <n v="2.33"/>
    <n v="2.38"/>
    <n v="2.4700000000000002"/>
    <n v="0.86970000000000003"/>
    <n v="2.86"/>
    <n v="47995.959284593599"/>
    <n v="2288"/>
    <n v="1.09702954368294"/>
  </r>
  <r>
    <s v="2719Providence St Joseph Medical Center463071077600 - 04630 - PSJMC GASTROENTEROLOGY LAB"/>
    <m/>
    <x v="2"/>
    <s v="CA"/>
    <s v="CA"/>
    <n v="2719"/>
    <x v="6"/>
    <n v="4630"/>
    <s v="Endoscopy (GI) Laboratory"/>
    <s v="Other Clinical Support Services"/>
    <s v="71077600 - 04630 - PSJMC GASTROENTEROLOGY LAB"/>
    <s v="APC Relative Weight"/>
    <m/>
    <n v="1377.56"/>
    <n v="1"/>
    <m/>
    <n v="24.14"/>
    <n v="0.33329999999999999"/>
    <n v="6"/>
    <n v="20.61"/>
    <n v="26.97"/>
    <n v="52.44"/>
    <n v="0.87360000000000004"/>
    <n v="18.3"/>
    <n v="-198318.23820234399"/>
    <n v="-4360"/>
    <n v="-2.0904590758524701"/>
  </r>
  <r>
    <s v="3849Providence Willamette Falls Medical Center191053587200, NURSING SERVICE ADMIN"/>
    <m/>
    <x v="3"/>
    <s v="OR"/>
    <s v="OR"/>
    <s v="3849"/>
    <x v="7"/>
    <n v="1910"/>
    <s v="Nursing Administration"/>
    <s v="Nursing Services"/>
    <s v="53587200, NURSING SERVICE ADMIN"/>
    <s v="Nursing Division Employees"/>
    <n v="268"/>
    <n v="254"/>
    <n v="0.8"/>
    <n v="59.69"/>
    <n v="55.54"/>
    <n v="5.8799999999999998E-2"/>
    <n v="6"/>
    <n v="81.349999999999994"/>
    <n v="87.7"/>
    <n v="93.48"/>
    <n v="0.89970000000000006"/>
    <n v="5.69"/>
    <n v="-675251.48458104802"/>
    <n v="-12892"/>
    <n v="-6.1809027838140498"/>
  </r>
  <r>
    <s v="3854Providence Saint Mary Medical Center163032560100, INTENSIVE CARE UNIT"/>
    <m/>
    <x v="4"/>
    <s v="SER"/>
    <s v="WA"/>
    <s v="3854"/>
    <x v="8"/>
    <n v="1630"/>
    <s v="Blended Acuity Unit"/>
    <s v="Nursing Services"/>
    <s v="32560100, INTENSIVE CARE UNIT"/>
    <s v="Equivalent Patient Day"/>
    <n v="3000"/>
    <n v="3251"/>
    <n v="0.6"/>
    <n v="19.39"/>
    <n v="19.12"/>
    <n v="0.8"/>
    <n v="6"/>
    <n v="12.78"/>
    <n v="13.53"/>
    <n v="15.92"/>
    <n v="0.90210000000000001"/>
    <n v="33.130000000000003"/>
    <n v="790131.60249149101"/>
    <n v="20340"/>
    <n v="9.7519522078854592"/>
  </r>
  <r>
    <s v="3852Providence Sacred Heart Medical Center135034561706 PCCA MEDICAL &amp; 34563600 PCCA"/>
    <m/>
    <x v="4"/>
    <s v="PHC"/>
    <s v="WA"/>
    <s v="3852"/>
    <x v="9"/>
    <n v="1350"/>
    <s v="Peds/Adolescent Behavioral Health Unit"/>
    <s v="Nursing Services"/>
    <s v="34561706 PCCA MEDICAL &amp; 34563600 PCCA"/>
    <s v="Patient Days"/>
    <m/>
    <n v="6130"/>
    <n v="0.8"/>
    <m/>
    <n v="9.7100000000000009"/>
    <n v="0.5"/>
    <n v="6"/>
    <n v="9.58"/>
    <n v="9.61"/>
    <n v="9.7100000000000009"/>
    <n v="0.8952"/>
    <n v="31.98"/>
    <n v="32684.6318347333"/>
    <n v="895"/>
    <n v="0.42908580635240101"/>
  </r>
  <r>
    <s v="3525Providence Centralia Hospital582034087510 UTILIZATION REVIEW"/>
    <m/>
    <x v="1"/>
    <s v="SWR"/>
    <s v="WA"/>
    <n v="3525"/>
    <x v="10"/>
    <n v="5820"/>
    <s v="Utilization Management"/>
    <s v="Clinical Resource Management Services"/>
    <s v="34087510 UTILIZATION REVIEW"/>
    <s v="Cases Tracked by Utilization Review"/>
    <n v="8359"/>
    <n v="5604"/>
    <n v="0"/>
    <n v="0.57999999999999996"/>
    <n v="1.17"/>
    <n v="0.8"/>
    <n v="7"/>
    <n v="0.41"/>
    <n v="0.47"/>
    <n v="0.62"/>
    <n v="0.91859999999999997"/>
    <n v="3.43"/>
    <n v="211928.675207258"/>
    <n v="4287"/>
    <n v="2.0552690751275202"/>
  </r>
  <r>
    <s v="3523Providence Everett Medical Center422231675910 Electrocardiology"/>
    <m/>
    <x v="1"/>
    <s v="NWR"/>
    <s v="WA"/>
    <n v="3523"/>
    <x v="1"/>
    <n v="4222"/>
    <s v="Electrocardiography"/>
    <s v="Cardiology and Vascular Services Series"/>
    <s v="31675910 Electrocardiology"/>
    <s v="APC Relative Weight"/>
    <m/>
    <n v="50317"/>
    <n v="1"/>
    <m/>
    <n v="0.14000000000000001"/>
    <n v="0"/>
    <n v="7"/>
    <n v="0.18"/>
    <n v="0.19"/>
    <n v="0.26"/>
    <n v="0.9415"/>
    <n v="3.52"/>
    <n v="-78709.730457259197"/>
    <n v="-2813"/>
    <n v="-1.3485112193695099"/>
  </r>
  <r>
    <s v="3523Providence Everett Medical Center121231672308 2N-Pacific"/>
    <m/>
    <x v="1"/>
    <s v="NWR"/>
    <s v="WA"/>
    <n v="3523"/>
    <x v="1"/>
    <n v="1212"/>
    <s v="General Surgical Acute Care Unit"/>
    <s v="Nursing Services"/>
    <s v="31672308 2N-Pacific"/>
    <s v="Equivalent Patient Day"/>
    <n v="963.58"/>
    <n v="1331"/>
    <m/>
    <n v="16.260000000000002"/>
    <n v="16.43"/>
    <n v="1"/>
    <n v="7"/>
    <n v="11.1"/>
    <n v="11.94"/>
    <n v="13.08"/>
    <n v="0.91910000000000003"/>
    <n v="11.44"/>
    <n v="281369.27514017501"/>
    <n v="6569"/>
    <n v="3.1497471799290899"/>
  </r>
  <r>
    <s v="2687Providence Holy Cross Medical Center411072077200 Respiratory Therapy"/>
    <m/>
    <x v="2"/>
    <s v="CA"/>
    <s v="CA"/>
    <n v="2687"/>
    <x v="4"/>
    <n v="4110"/>
    <s v="Respiratory Care"/>
    <s v="Respiratory and Pulmonary Care Services"/>
    <s v="72077200 Respiratory Therapy"/>
    <s v="APC Relative Weight"/>
    <n v="227385.62"/>
    <n v="422442.13"/>
    <n v="0.57140000000000002"/>
    <n v="0.53"/>
    <n v="0.30494188635967723"/>
    <s v="83,33%"/>
    <n v="7"/>
    <n v="0.25"/>
    <n v="0.26"/>
    <n v="0.28999999999999998"/>
    <n v="0.89270000000000005"/>
    <n v="69.37"/>
    <n v="851756.59830850165"/>
    <n v="21267.330794219768"/>
    <n v="10.196735289936122"/>
  </r>
  <r>
    <s v="4282Providence Kodiak Hospital661018986100, FINANCE ADMIN CFO"/>
    <m/>
    <x v="0"/>
    <s v="AK"/>
    <s v="AK"/>
    <n v="4282"/>
    <x v="5"/>
    <n v="6610"/>
    <s v="Administration"/>
    <s v="Administration"/>
    <s v="18986100, FINANCE ADMIN CFO"/>
    <s v="100 Adjusted Discharges"/>
    <n v="25.12"/>
    <n v="19.59"/>
    <n v="0.5"/>
    <n v="322.69"/>
    <n v="368.36"/>
    <n v="0.16669999999999999"/>
    <n v="7"/>
    <n v="375.73"/>
    <n v="387.58"/>
    <n v="427.89"/>
    <n v="0.83840000000000003"/>
    <n v="4.1399999999999997"/>
    <n v="-18844.687304430601"/>
    <n v="-421"/>
    <n v="-0.20202863867257501"/>
  </r>
  <r>
    <s v="3524Providence St Peter Hospital422233075910, Electrocardiograph"/>
    <m/>
    <x v="1"/>
    <s v="SWR"/>
    <s v="WA"/>
    <n v="3524"/>
    <x v="2"/>
    <n v="4222"/>
    <s v="Electrocardiography"/>
    <s v="Cardiology and Vascular Services Series"/>
    <s v="33075910, Electrocardiograph"/>
    <s v="APC Relative Weight"/>
    <m/>
    <n v="29289.02"/>
    <n v="0.83330000000000004"/>
    <m/>
    <n v="0.17"/>
    <n v="0.16669999999999999"/>
    <n v="7"/>
    <n v="0.18"/>
    <n v="0.19"/>
    <n v="0.26"/>
    <n v="0.89810000000000001"/>
    <n v="2.72"/>
    <n v="-20165.142804236199"/>
    <n v="-523"/>
    <n v="-0.25085806815629802"/>
  </r>
  <r>
    <s v="3852Providence Sacred Heart Medical Center123534561794, NEURO"/>
    <m/>
    <x v="4"/>
    <s v="PHC"/>
    <s v="WA"/>
    <s v="3852"/>
    <x v="9"/>
    <n v="1235"/>
    <s v="Neurology/Neurosurgical Acute Care Unit"/>
    <s v="Nursing Services"/>
    <s v="34561794, NEURO"/>
    <s v="Equivalent Patient Day"/>
    <n v="12142.13"/>
    <n v="14164"/>
    <n v="0.83330000000000004"/>
    <n v="11.56"/>
    <n v="11.43"/>
    <n v="0.4"/>
    <n v="7"/>
    <n v="11.24"/>
    <n v="11.37"/>
    <n v="11.54"/>
    <n v="0.90049999999999997"/>
    <n v="86.43"/>
    <n v="54738.060655946101"/>
    <n v="1428"/>
    <n v="0.68460122054261796"/>
  </r>
  <r>
    <s v="2947Providence Alaska Medical Center5850Case Mgmt and Social Services"/>
    <m/>
    <x v="0"/>
    <s v="AK"/>
    <s v="AK"/>
    <n v="2947"/>
    <x v="0"/>
    <n v="5850"/>
    <s v="Clinical Resource Management"/>
    <s v="Clinical Resource Management Services"/>
    <s v="Case Mgmt and Social Services"/>
    <s v="Adjusted Patient Days"/>
    <n v="149223.06"/>
    <n v="148928.01"/>
    <n v="0.6"/>
    <n v="0.53"/>
    <n v="0.51"/>
    <n v="1"/>
    <n v="8"/>
    <n v="0.36"/>
    <n v="0.38"/>
    <n v="0.4"/>
    <n v="0.89939999999999998"/>
    <n v="40.770000000000003"/>
    <n v="0"/>
    <n v="0"/>
    <n v="0"/>
  </r>
  <r>
    <s v="2947Providence Alaska Medical Center2222Outpatient Chemical Dependency"/>
    <m/>
    <x v="0"/>
    <s v="AK"/>
    <s v="AK"/>
    <n v="2947"/>
    <x v="0"/>
    <n v="2222"/>
    <s v="Chemical Dependency Clinic"/>
    <s v="Ambulatory Care Clinics"/>
    <s v="Outpatient Chemical Dependency"/>
    <s v="Patient Visits"/>
    <n v="13721"/>
    <n v="11607"/>
    <n v="0.71430000000000005"/>
    <n v="1.38"/>
    <n v="1.22"/>
    <n v="0.42859999999999998"/>
    <n v="8"/>
    <n v="1.06"/>
    <n v="1.19"/>
    <n v="1.33"/>
    <n v="0.8881"/>
    <n v="7.66"/>
    <n v="12350.950644853099"/>
    <n v="424"/>
    <n v="0.203187299997386"/>
  </r>
  <r>
    <s v="2947Providence Alaska Medical Center2230Diabetes Clinic"/>
    <m/>
    <x v="0"/>
    <s v="AK"/>
    <s v="AK"/>
    <n v="2947"/>
    <x v="0"/>
    <n v="2230"/>
    <s v="Endocrinology Clinic"/>
    <s v="Ambulatory Care Clinics"/>
    <s v="Diabetes Clinic"/>
    <s v="Patient Visits"/>
    <n v="1257"/>
    <n v="1915"/>
    <n v="0"/>
    <n v="3.5"/>
    <n v="2.58"/>
    <n v="0.875"/>
    <n v="8"/>
    <n v="1.41"/>
    <n v="1.48"/>
    <n v="1.73"/>
    <n v="0.88980000000000004"/>
    <n v="2.67"/>
    <n v="84115.615938322095"/>
    <n v="2384"/>
    <n v="1.1428339839927"/>
  </r>
  <r>
    <s v="2947Providence Alaska Medical Center5220Laundry"/>
    <m/>
    <x v="0"/>
    <s v="AK"/>
    <s v="AK"/>
    <n v="2947"/>
    <x v="0"/>
    <n v="5220"/>
    <s v="Laundry and Linen In-house Reprocessing"/>
    <s v="Environmental Services"/>
    <s v="Laundry"/>
    <s v="100 Lbs Laundry Processed"/>
    <n v="33630"/>
    <n v="36327.699999999997"/>
    <m/>
    <n v="1.33"/>
    <n v="1.2758418507089633"/>
    <m/>
    <n v="8"/>
    <n v="1.18"/>
    <n v="1.2"/>
    <n v="1.31"/>
    <n v="0.90349999999999997"/>
    <n v="24.66"/>
    <n v="38910.726729385817"/>
    <n v="3049.4299944659733"/>
    <n v="1.4620584810285098"/>
  </r>
  <r>
    <s v="3523Providence Everett Medical Center181031677150, Iv Therapy"/>
    <m/>
    <x v="1"/>
    <s v="NWR"/>
    <s v="WA"/>
    <n v="3523"/>
    <x v="1"/>
    <n v="1810"/>
    <s v="IV Team (Vascular Access)"/>
    <s v="Nursing Services"/>
    <s v="31677150, Iv Therapy"/>
    <s v="100 Procedures"/>
    <n v="808.39"/>
    <n v="861.36"/>
    <n v="0.28570000000000001"/>
    <n v="26.56"/>
    <n v="30.59"/>
    <n v="0.28570000000000001"/>
    <n v="8"/>
    <n v="28.83"/>
    <n v="33.17"/>
    <n v="36.33"/>
    <n v="0.90249999999999997"/>
    <n v="14.04"/>
    <n v="-121121.17736120299"/>
    <n v="-2375"/>
    <n v="-1.13857915734596"/>
  </r>
  <r>
    <s v="3523Providence Everett Medical Center509931684503, Facilities Administration"/>
    <m/>
    <x v="1"/>
    <s v="NWR"/>
    <s v="WA"/>
    <n v="3523"/>
    <x v="1"/>
    <n v="5099"/>
    <s v="Facility Services Administration"/>
    <s v="Facility Services"/>
    <s v="31684503, Facilities Administration"/>
    <s v="1000 Gross Square Feet Maintained"/>
    <n v="3169.45"/>
    <n v="3183"/>
    <n v="0.71430000000000005"/>
    <n v="1.86"/>
    <n v="2.52"/>
    <n v="0.16669999999999999"/>
    <n v="8"/>
    <n v="2.77"/>
    <n v="3.13"/>
    <n v="4.13"/>
    <n v="0.95589999999999997"/>
    <n v="4.04"/>
    <n v="-62197.613803153501"/>
    <n v="-1996"/>
    <n v="-0.95708427052791201"/>
  </r>
  <r>
    <s v="3523Providence Everett Medical Center584031683600, Care Management"/>
    <m/>
    <x v="1"/>
    <s v="NWR"/>
    <s v="WA"/>
    <n v="3523"/>
    <x v="1"/>
    <n v="5840"/>
    <s v="Case Management"/>
    <s v="Clinical Resource Management Services"/>
    <s v="31683600, Care Management"/>
    <s v="Cases Managed"/>
    <m/>
    <n v="48903"/>
    <n v="0.85709999999999997"/>
    <m/>
    <n v="1.28"/>
    <n v="0.33329999999999999"/>
    <n v="8"/>
    <n v="1.22"/>
    <n v="1.3"/>
    <n v="1.49"/>
    <n v="0.91059999999999997"/>
    <n v="32.99"/>
    <n v="-42037.880410560698"/>
    <n v="-1008"/>
    <n v="-0.48336454998630501"/>
  </r>
  <r>
    <s v="3523Providence Everett Medical Center504031684601, 31684602 Biomed"/>
    <m/>
    <x v="1"/>
    <s v="NWR"/>
    <s v="WA"/>
    <n v="3523"/>
    <x v="1"/>
    <n v="5040"/>
    <s v="Biomedical Engineering"/>
    <s v="Facility Services"/>
    <s v="31684601, 31684602 Biomed"/>
    <s v="100 Equipment and Devices Maintained"/>
    <n v="132.5"/>
    <n v="136.72999999999999"/>
    <n v="0.85709999999999997"/>
    <n v="158.71"/>
    <n v="171.09"/>
    <n v="0.57140000000000002"/>
    <n v="8"/>
    <n v="134.87"/>
    <n v="140.47"/>
    <n v="156.61000000000001"/>
    <n v="0.89510000000000001"/>
    <n v="12.56"/>
    <n v="209130.23436062"/>
    <n v="4739"/>
    <n v="2.2721648178800602"/>
  </r>
  <r>
    <s v="3523Providence Everett Medical Center449004490 Pharmacy Administration and Support (U,N)"/>
    <m/>
    <x v="1"/>
    <s v="NWR"/>
    <s v="WA"/>
    <n v="3523"/>
    <x v="1"/>
    <n v="4490"/>
    <s v="Pharmacy Administration and Support"/>
    <s v="Pharmacy Services"/>
    <s v="04490 Pharmacy Administration and Support (U,N)"/>
    <s v="CMI Weighted Adjusted Discharges"/>
    <m/>
    <n v="74183.05"/>
    <n v="0.75470000000000004"/>
    <m/>
    <n v="0.28999999999999998"/>
    <n v="0.60929999999999995"/>
    <n v="8"/>
    <n v="0.16"/>
    <n v="0.2"/>
    <n v="0.25"/>
    <n v="0.89070000000000005"/>
    <n v="11.78"/>
    <n v="372430.33074729401"/>
    <n v="7912"/>
    <n v="3.7935939449511502"/>
  </r>
  <r>
    <s v="3523Providence Everett Medical Center224131687718 Sexual Assault Center"/>
    <m/>
    <x v="1"/>
    <s v="NWR"/>
    <s v="WA"/>
    <n v="3523"/>
    <x v="1"/>
    <n v="2241"/>
    <s v="General Medicine Clinic"/>
    <s v="Ambulatory Care Clinics"/>
    <s v="31687718 Sexual Assault Center"/>
    <s v="Patient Visits"/>
    <n v="1267"/>
    <n v="1587"/>
    <n v="0.1429"/>
    <n v="9.7799999999999994"/>
    <n v="8.25"/>
    <n v="1"/>
    <n v="8"/>
    <n v="0.84"/>
    <n v="1.18"/>
    <n v="1.3"/>
    <n v="0.92349999999999999"/>
    <n v="6.82"/>
    <n v="656728.24110685301"/>
    <n v="12197"/>
    <n v="5.8477673691003202"/>
  </r>
  <r>
    <s v="3523Providence Everett Medical Center511131678700, Nutritional Therapy"/>
    <m/>
    <x v="1"/>
    <s v="NWR"/>
    <s v="WA"/>
    <n v="3523"/>
    <x v="1"/>
    <n v="5111"/>
    <s v="Clinical Nutrition Services"/>
    <s v="Food and Nutrition Services"/>
    <s v="31678700, Nutritional Therapy"/>
    <s v="Total Medical Nutritional Therapy Interventions"/>
    <m/>
    <n v="64957"/>
    <n v="0.85709999999999997"/>
    <m/>
    <n v="0.36"/>
    <n v="0.33329999999999999"/>
    <n v="8"/>
    <n v="0.35"/>
    <n v="0.37"/>
    <n v="0.44"/>
    <n v="0.92179999999999995"/>
    <n v="12.2"/>
    <n v="-21065.314065112801"/>
    <n v="-627"/>
    <n v="-0.30083831866153998"/>
  </r>
  <r>
    <s v="3523Providence Everett Medical Center349903499 Mammography Admin (U,N)"/>
    <m/>
    <x v="1"/>
    <s v="NWR"/>
    <s v="WA"/>
    <n v="3523"/>
    <x v="1"/>
    <n v="3499"/>
    <s v="Imaging Services Administration"/>
    <s v="Imaging Services"/>
    <s v="03499 Mammography Admin (U,N)"/>
    <s v="APC Relative Weight Supported"/>
    <n v="40550.29"/>
    <n v="52190.14"/>
    <n v="0.3725"/>
    <n v="0.3"/>
    <n v="0.37"/>
    <m/>
    <n v="8"/>
    <n v="0.05"/>
    <n v="0.05"/>
    <n v="7.0000000000000007E-2"/>
    <n v="0.87080000000000002"/>
    <n v="10.78"/>
    <n v="406115.06422442599"/>
    <n v="19487"/>
    <n v="9.3432268458694701"/>
  </r>
  <r>
    <s v="3523Providence Everett Medical Center463031677610, Endoscopy"/>
    <m/>
    <x v="1"/>
    <s v="NWR"/>
    <s v="WA"/>
    <n v="3523"/>
    <x v="1"/>
    <n v="4630"/>
    <s v="Endoscopy (GI) Laboratory"/>
    <s v="Other Clinical Support Services"/>
    <s v="31677610, Endoscopy"/>
    <s v="APC Relative Weight"/>
    <m/>
    <n v="1090.69"/>
    <n v="0.28570000000000001"/>
    <m/>
    <n v="16.489999999999998"/>
    <n v="0.71430000000000005"/>
    <n v="8"/>
    <n v="0.45"/>
    <n v="0.51"/>
    <n v="2.4900000000000002"/>
    <n v="0.89129999999999998"/>
    <n v="9.6999999999999993"/>
    <n v="820194.75765514898"/>
    <n v="19607"/>
    <n v="9.4007764578294708"/>
  </r>
  <r>
    <s v="2687Providence Holy Cross Medical Center581072083600 Social Work Services"/>
    <m/>
    <x v="2"/>
    <s v="CA"/>
    <s v="CA"/>
    <n v="2687"/>
    <x v="4"/>
    <n v="5810"/>
    <s v="Social Work"/>
    <s v="Clinical Resource Management Services"/>
    <s v="72083600 Social Work Services"/>
    <s v="Social Work Cases"/>
    <n v="4800"/>
    <n v="36772"/>
    <n v="0"/>
    <n v="5.79"/>
    <n v="0.43582807570977922"/>
    <n v="1"/>
    <n v="8"/>
    <n v="0.92"/>
    <n v="0.94"/>
    <n v="0.98"/>
    <n v="0.88700000000000001"/>
    <n v="8.69"/>
    <n v="-790276.3157835399"/>
    <n v="-20901.25140924464"/>
    <n v="-10.0212165744089"/>
  </r>
  <r>
    <s v="2687Providence Holy Cross Medical Center641072087530 Epidemiology"/>
    <m/>
    <x v="2"/>
    <s v="CA"/>
    <s v="CA"/>
    <n v="2687"/>
    <x v="4"/>
    <n v="6410"/>
    <s v="Infection Prevention and Control and Healthcare Epidemiology"/>
    <s v="Quality Management and Patient Safety Services"/>
    <s v="72087530 Epidemiology"/>
    <s v="Total Healthcare-associated Infections (HAIs)"/>
    <m/>
    <n v="152"/>
    <m/>
    <m/>
    <n v="41.38"/>
    <m/>
    <n v="8"/>
    <n v="35.909999999999997"/>
    <n v="52.48"/>
    <n v="83.39"/>
    <n v="0.89549999999999996"/>
    <n v="3.38"/>
    <n v="-89243.376648851801"/>
    <n v="-1858"/>
    <n v="-0.89090570505540601"/>
  </r>
  <r>
    <s v="2687Providence Holy Cross Medical Center121472061731, 2D ONCOLOGY"/>
    <m/>
    <x v="2"/>
    <s v="CA"/>
    <s v="CA"/>
    <n v="2687"/>
    <x v="4"/>
    <n v="1214"/>
    <s v="Medical/Surgical/Oncology Acute Care Unit"/>
    <s v="Nursing Services"/>
    <s v="72061731, 2D ONCOLOGY"/>
    <s v="Equivalent Patient Day"/>
    <n v="0"/>
    <n v="2927"/>
    <n v="0"/>
    <m/>
    <n v="12.68"/>
    <n v="0.85709999999999997"/>
    <n v="8"/>
    <n v="10.69"/>
    <n v="11.05"/>
    <n v="11.19"/>
    <n v="0.92420000000000002"/>
    <n v="19.309999999999999"/>
    <n v="242848.31001094499"/>
    <n v="5279"/>
    <n v="2.5309566867766402"/>
  </r>
  <r>
    <s v="2687Providence Holy Cross Medical Center463072077600 Endoscopy (GI) Laboratory"/>
    <m/>
    <x v="2"/>
    <s v="CA"/>
    <s v="CA"/>
    <n v="2687"/>
    <x v="4"/>
    <n v="4630"/>
    <s v="Endoscopy (GI) Laboratory"/>
    <s v="Other Clinical Support Services"/>
    <s v="72077600 Endoscopy (GI) Laboratory"/>
    <s v="APC Relative Weight"/>
    <n v="14191.25"/>
    <n v="33.25"/>
    <n v="0.42859999999999998"/>
    <n v="1.81"/>
    <n v="791.22"/>
    <n v="0.57140000000000002"/>
    <n v="8"/>
    <n v="88.93"/>
    <n v="266.36"/>
    <n v="629.13"/>
    <n v="0.8921"/>
    <n v="14.18"/>
    <n v="846612.43873743794"/>
    <n v="19648"/>
    <n v="9.4201279858221003"/>
  </r>
  <r>
    <s v="3852Providence Sacred Heart Medical Center413034577200, RESPIRATORY THERAPY"/>
    <m/>
    <x v="4"/>
    <s v="PHC"/>
    <s v="WA"/>
    <n v="3852"/>
    <x v="9"/>
    <n v="4130"/>
    <s v="Respiratory Care and Pulmonary Diagnostics Combined"/>
    <s v="Respiratory and Pulmonary Care Services"/>
    <s v="34577200, RESPIRATORY THERAPY"/>
    <s v="CMI Weighted Discharges"/>
    <n v="53560.54"/>
    <n v="57519.79"/>
    <n v="0.85709999999999997"/>
    <n v="3.1"/>
    <n v="3"/>
    <n v="0.1429"/>
    <n v="8"/>
    <n v="3.19"/>
    <n v="3.61"/>
    <n v="4.1900000000000004"/>
    <n v="0.86319999999999997"/>
    <n v="96.01"/>
    <n v="-1426518.58127834"/>
    <n v="-40306"/>
    <n v="-19.325026805286001"/>
  </r>
  <r>
    <s v="2687Providence Holy Cross Medical Center511072083400 Dietary Patient Services"/>
    <m/>
    <x v="2"/>
    <s v="CA"/>
    <s v="CA"/>
    <n v="2687"/>
    <x v="4"/>
    <n v="5110"/>
    <s v="Patient Food Services"/>
    <s v="Food and Nutrition Services"/>
    <s v="72083400 Dietary Patient Services"/>
    <s v="ART: Total Patient Meal Equivalents"/>
    <m/>
    <n v="341221.45"/>
    <m/>
    <m/>
    <n v="0.23802800204969526"/>
    <m/>
    <n v="8"/>
    <n v="0.32"/>
    <n v="0.33"/>
    <n v="0.35"/>
    <n v="0.91820000000000002"/>
    <n v="42.53"/>
    <n v="-616924.28003158385"/>
    <n v="-34178.630472663921"/>
    <n v="-16.387126850776202"/>
  </r>
  <r>
    <s v="3851Providence Holy Family Hospital221636572220, ANTICOAGULATION OP CLINIC"/>
    <m/>
    <x v="4"/>
    <s v="PHC"/>
    <s v="WA"/>
    <n v="3851"/>
    <x v="11"/>
    <n v="2216"/>
    <s v="Anticoagulant Clinic"/>
    <s v="Ambulatory Care Clinics"/>
    <s v="36572220, ANTICOAGULATION OP CLINIC"/>
    <s v="Patient Visits"/>
    <n v="29748"/>
    <n v="50385"/>
    <m/>
    <n v="0.88"/>
    <n v="0.6"/>
    <n v="0.625"/>
    <n v="8"/>
    <n v="0.47"/>
    <n v="0.56000000000000005"/>
    <n v="0.59"/>
    <n v="0.91859999999999997"/>
    <n v="15.73"/>
    <n v="103757.49461325"/>
    <n v="2092"/>
    <n v="1.0031111957143199"/>
  </r>
  <r>
    <s v="3851Providence Holy Family Hospital227036570708, PAIN CLINIC"/>
    <m/>
    <x v="4"/>
    <s v="PHC"/>
    <s v="WA"/>
    <n v="3851"/>
    <x v="11"/>
    <n v="2270"/>
    <s v="Pain Management"/>
    <s v="Ambulatory Care Clinics"/>
    <s v="36570708, PAIN CLINIC"/>
    <s v="Patient Visits"/>
    <n v="1776"/>
    <n v="2182"/>
    <n v="0.57140000000000002"/>
    <n v="2.0499999999999998"/>
    <n v="1.91"/>
    <n v="0.16669999999999999"/>
    <n v="8"/>
    <n v="1.92"/>
    <n v="1.95"/>
    <n v="2.14"/>
    <n v="0.83679999999999999"/>
    <n v="2.4"/>
    <n v="-2962.7311411917099"/>
    <n v="-79"/>
    <n v="-3.7899761931630999E-2"/>
  </r>
  <r>
    <s v="3528Providence Hood River Memorial Hospital127056074000, MATERNITY SERVICES"/>
    <m/>
    <x v="3"/>
    <s v="OR"/>
    <s v="OR"/>
    <n v="3528"/>
    <x v="12"/>
    <n v="1270"/>
    <s v="Labor/Delivery/Recovery/Postpartum/Nursery"/>
    <s v="Nursing Services"/>
    <s v="56074000, MATERNITY SERVICES"/>
    <s v="Neonate Deliveries"/>
    <n v="461"/>
    <n v="413"/>
    <n v="0.42859999999999998"/>
    <n v="59.91"/>
    <n v="60.49"/>
    <n v="0"/>
    <n v="8"/>
    <n v="69.83"/>
    <n v="70.89"/>
    <n v="71.89"/>
    <n v="0.8548"/>
    <n v="14.05"/>
    <n v="-221964.36243742899"/>
    <n v="-4947"/>
    <n v="-2.3717211531275599"/>
  </r>
  <r>
    <s v="3528Providence Hood River Memorial Hospital560856005608, CENTRALIZED SCHEDULING (U,N)"/>
    <m/>
    <x v="3"/>
    <s v="OR"/>
    <s v="OR"/>
    <n v="3528"/>
    <x v="12"/>
    <n v="5608"/>
    <s v="Centralized Scheduling"/>
    <s v="Revenue Cycle Management"/>
    <s v="56005608, CENTRALIZED SCHEDULING (U,N)"/>
    <s v="Adjusted Discharges"/>
    <n v="7842.47"/>
    <n v="8612.32"/>
    <m/>
    <n v="1.01"/>
    <n v="0.69"/>
    <n v="0.17730000000000001"/>
    <n v="8"/>
    <n v="0.91"/>
    <n v="1.19"/>
    <n v="1.26"/>
    <n v="0.86890000000000001"/>
    <n v="3.3"/>
    <n v="-85129.966899919993"/>
    <n v="-4912"/>
    <n v="-2.3551676089839302"/>
  </r>
  <r>
    <s v="3528Providence Hood River Memorial Hospital302056074270, PACU"/>
    <m/>
    <x v="3"/>
    <s v="OR"/>
    <s v="OR"/>
    <n v="3528"/>
    <x v="12"/>
    <n v="3020"/>
    <s v="Post Anesthesia Care Unit (PACU)"/>
    <s v="Surgical Services"/>
    <s v="56074270, PACU"/>
    <s v="100 PACU Minutes"/>
    <n v="1143"/>
    <n v="1104"/>
    <n v="0.57140000000000002"/>
    <n v="4.33"/>
    <n v="4.68"/>
    <n v="0.57140000000000002"/>
    <n v="8"/>
    <n v="4.09"/>
    <n v="4.37"/>
    <n v="4.68"/>
    <n v="0.89090000000000003"/>
    <n v="2.79"/>
    <n v="21240.5607153368"/>
    <n v="404"/>
    <n v="0.19361130023438899"/>
  </r>
  <r>
    <s v="3528Providence Hood River Memorial Hospital349956076395, DIAGNOSTIC IMAGING ADM SUPPORT"/>
    <m/>
    <x v="3"/>
    <s v="OR"/>
    <s v="OR"/>
    <n v="3528"/>
    <x v="12"/>
    <n v="3499"/>
    <s v="Imaging Services Administration"/>
    <s v="Imaging Services"/>
    <s v="56076395, DIAGNOSTIC IMAGING ADM SUPPORT"/>
    <s v="APC Relative Weight Supported"/>
    <n v="43254.29"/>
    <n v="44940.17"/>
    <n v="0.42859999999999998"/>
    <n v="7.0000000000000007E-2"/>
    <n v="0.09"/>
    <n v="0.57140000000000002"/>
    <n v="8"/>
    <n v="0.05"/>
    <n v="0.05"/>
    <n v="7.0000000000000007E-2"/>
    <n v="0.90169999999999995"/>
    <n v="2.06"/>
    <n v="69492.204536245205"/>
    <n v="1805"/>
    <n v="0.86521213096554705"/>
  </r>
  <r>
    <s v="4282Providence Kodiak Hospital3001Surgical Services Combined Without Anesthesia"/>
    <m/>
    <x v="0"/>
    <s v="AK"/>
    <s v="AK"/>
    <n v="4282"/>
    <x v="5"/>
    <n v="3001"/>
    <s v="Surgical Services Combined Without Anesthesia"/>
    <s v="Surgical Services"/>
    <s v="Surgical Services Combined Without Anesthesia"/>
    <s v="100 Operating Room Minutes"/>
    <n v="527.83000000000004"/>
    <n v="504.12"/>
    <n v="0.42859999999999998"/>
    <n v="19.73"/>
    <n v="19.87"/>
    <n v="0.1429"/>
    <n v="8"/>
    <n v="21.99"/>
    <n v="23.02"/>
    <n v="26.58"/>
    <n v="0.86519999999999997"/>
    <n v="5.57"/>
    <n v="-88759.301772147795"/>
    <n v="-1796"/>
    <n v="-0.86088724440658104"/>
  </r>
  <r>
    <s v="4282Providence Kodiak Hospital582518987520, QUALITY IMPROVEMENT"/>
    <m/>
    <x v="0"/>
    <s v="AK"/>
    <s v="AK"/>
    <n v="4282"/>
    <x v="5"/>
    <n v="5825"/>
    <s v="Quality Management"/>
    <s v="Clinical Resource Management Services"/>
    <s v="18987520, QUALITY IMPROVEMENT"/>
    <s v="Total Admissions And Registrations"/>
    <n v="27647"/>
    <n v="23804"/>
    <n v="0.71430000000000005"/>
    <n v="0.16"/>
    <n v="0.2"/>
    <n v="0.42859999999999998"/>
    <n v="8"/>
    <n v="0.08"/>
    <n v="0.14000000000000001"/>
    <n v="0.53"/>
    <n v="0.90339999999999998"/>
    <n v="2.58"/>
    <n v="86803.131387631598"/>
    <n v="1692"/>
    <n v="0.81133309314216495"/>
  </r>
  <r>
    <s v="4282Providence Kodiak Hospital335018975000, 75090, LABORATORY / REF LAB"/>
    <m/>
    <x v="0"/>
    <s v="AK"/>
    <s v="AK"/>
    <n v="4282"/>
    <x v="5"/>
    <n v="3350"/>
    <s v="Laboratory Services: Clinical Operations and Blood Bank Combined"/>
    <s v="Laboratory Services"/>
    <s v="18975000, 75090, LABORATORY / REF LAB"/>
    <s v="100 Billed Tests"/>
    <n v="347.67"/>
    <n v="302.60000000000002"/>
    <n v="0.28570000000000001"/>
    <n v="38.950000000000003"/>
    <n v="49.53"/>
    <n v="1"/>
    <n v="8"/>
    <n v="28.35"/>
    <n v="30.31"/>
    <n v="32.81"/>
    <n v="0.9274"/>
    <n v="7.77"/>
    <n v="274501.37677945202"/>
    <n v="6316"/>
    <n v="3.0282797578784599"/>
  </r>
  <r>
    <s v="4282Providence Kodiak Hospital1620Medical/Surgical Unit with Swing Beds"/>
    <m/>
    <x v="0"/>
    <s v="AK"/>
    <s v="AK"/>
    <n v="4282"/>
    <x v="5"/>
    <n v="1620"/>
    <s v="Medical/Surgical Unit with Swing Beds"/>
    <s v="Nursing Services"/>
    <s v="Medical/Surgical Unit with Swing Beds"/>
    <s v="Patient Days"/>
    <n v="2170"/>
    <n v="2176"/>
    <n v="0.57140000000000002"/>
    <n v="22.34"/>
    <n v="22.99"/>
    <n v="0.57140000000000002"/>
    <n v="8"/>
    <n v="13.92"/>
    <n v="14.85"/>
    <n v="19.37"/>
    <n v="0.86299999999999999"/>
    <n v="27.87"/>
    <n v="930185.78254538402"/>
    <n v="20685"/>
    <n v="9.9175920813978493"/>
  </r>
  <r>
    <s v="3532Providence Little Company of Mary Hospital466576285602 04665 PRE ADMITTING"/>
    <m/>
    <x v="2"/>
    <s v="CA"/>
    <s v="CA"/>
    <n v="3532"/>
    <x v="13"/>
    <n v="4665"/>
    <s v="Pre Admission / Pre Procedure Testing"/>
    <s v="Other Clinical Support Services"/>
    <s v="76285602 04665 PRE ADMITTING"/>
    <s v="Patient Visits"/>
    <n v="11668"/>
    <n v="11226"/>
    <n v="0.57140000000000002"/>
    <n v="0.72"/>
    <n v="0.43"/>
    <m/>
    <n v="8"/>
    <n v="1.37"/>
    <n v="1.42"/>
    <n v="1.45"/>
    <n v="0.88019999999999998"/>
    <n v="2.63"/>
    <n v="-571654.43939129496"/>
    <n v="-12625"/>
    <n v="-6.05320745097782"/>
  </r>
  <r>
    <s v="3532Providence Little Company of Mary Hospital112276261505 - 1122 - LCHM ACUTE DOU OVERFLOW"/>
    <m/>
    <x v="2"/>
    <s v="CA"/>
    <s v="CA"/>
    <n v="3532"/>
    <x v="13"/>
    <n v="1122"/>
    <s v="Cardiac Intermediate Care Unit"/>
    <s v="Nursing Services"/>
    <s v="76261505 - 1122 - LCHM ACUTE DOU OVERFLOW"/>
    <s v="Equivalent Patient Day"/>
    <m/>
    <n v="2709"/>
    <n v="0.71430000000000005"/>
    <m/>
    <n v="10.210000000000001"/>
    <n v="0.1429"/>
    <n v="8"/>
    <n v="11.67"/>
    <n v="12.26"/>
    <n v="12.66"/>
    <n v="1"/>
    <n v="13.3"/>
    <n v="-245984.772732037"/>
    <n v="-5473"/>
    <n v="-2.62383372488853"/>
  </r>
  <r>
    <s v="3532Providence Little Company of Mary Hospital583076287500 05830 UTILIZATION CARE MGMT"/>
    <m/>
    <x v="2"/>
    <s v="CA"/>
    <s v="CA"/>
    <n v="3532"/>
    <x v="13"/>
    <n v="5830"/>
    <s v="Case Management / Utilization Management"/>
    <s v="Clinical Resource Management Services"/>
    <s v="76287500 05830 UTILIZATION CARE MGMT"/>
    <s v="Total Cases"/>
    <n v="31532"/>
    <n v="76176"/>
    <n v="0.71430000000000005"/>
    <n v="1.57"/>
    <n v="0.71"/>
    <n v="0.2"/>
    <n v="8"/>
    <n v="0.71"/>
    <n v="0.72"/>
    <n v="0.72"/>
    <n v="0.92020000000000002"/>
    <n v="28.39"/>
    <n v="-18386.998890761599"/>
    <n v="-390"/>
    <n v="-0.186997083367199"/>
  </r>
  <r>
    <s v="3532Providence Little Company of Mary Hospital641076287530, LCMH QI INFECTION CON (U)"/>
    <m/>
    <x v="2"/>
    <s v="CA"/>
    <s v="CA"/>
    <n v="3532"/>
    <x v="13"/>
    <n v="6410"/>
    <s v="Infection Prevention and Control and Healthcare Epidemiology"/>
    <s v="Quality Management and Patient Safety Services"/>
    <s v="76287530, LCMH QI INFECTION CON (U)"/>
    <s v="Total Healthcare-associated Infections (HAIs)"/>
    <m/>
    <n v="71.83"/>
    <n v="0.56540000000000001"/>
    <m/>
    <n v="62.8"/>
    <n v="0.4914"/>
    <n v="8"/>
    <n v="28.26"/>
    <n v="42.34"/>
    <n v="63.32"/>
    <n v="0.95099999999999996"/>
    <n v="2.2799999999999998"/>
    <n v="90234.939651509194"/>
    <n v="1557"/>
    <n v="0.746709792439195"/>
  </r>
  <r>
    <s v="3532Providence Little Company of Mary Hospital345076276700 03450 ULTRASOUND"/>
    <m/>
    <x v="2"/>
    <s v="CA"/>
    <s v="CA"/>
    <n v="3532"/>
    <x v="13"/>
    <n v="3450"/>
    <s v="Ultrasound"/>
    <s v="Imaging Services"/>
    <s v="76276700 03450 ULTRASOUND"/>
    <s v="APC Relative Weight"/>
    <n v="51277.83"/>
    <n v="55770"/>
    <n v="0.28570000000000001"/>
    <n v="0.52"/>
    <n v="0.5"/>
    <n v="1"/>
    <n v="8"/>
    <n v="0.38"/>
    <n v="0.4"/>
    <n v="0.43"/>
    <n v="0.9224"/>
    <n v="14.53"/>
    <n v="295095.27134799602"/>
    <n v="6121"/>
    <n v="2.9344994617251001"/>
  </r>
  <r>
    <s v="3533Providence San Pedro Peninsula Hospital136077264200, SPH CDU IP"/>
    <m/>
    <x v="2"/>
    <s v="CA"/>
    <s v="CA"/>
    <n v="3533"/>
    <x v="14"/>
    <n v="1360"/>
    <s v="Chemical Dependency Unit"/>
    <s v="Nursing Services"/>
    <s v="77264200, SPH CDU IP"/>
    <s v="Patient Days"/>
    <n v="2909"/>
    <n v="3602"/>
    <n v="0.57140000000000002"/>
    <n v="2.94"/>
    <n v="2.46"/>
    <m/>
    <n v="8"/>
    <n v="6.86"/>
    <n v="7.33"/>
    <n v="9.73"/>
    <n v="0.90620000000000001"/>
    <n v="4.7"/>
    <n v="-902329.43385452405"/>
    <n v="-19333"/>
    <n v="-9.2692080046460301"/>
  </r>
  <r>
    <s v="3529Providence Milwaukie Hospital191055087200, NURSING SERVICE ADMIN"/>
    <m/>
    <x v="3"/>
    <s v="OR"/>
    <s v="OR"/>
    <n v="3529"/>
    <x v="15"/>
    <n v="1910"/>
    <s v="Nursing Administration"/>
    <s v="Nursing Services"/>
    <s v="55087200, NURSING SERVICE ADMIN"/>
    <s v="Nursing Division Employees"/>
    <n v="98"/>
    <n v="91"/>
    <n v="0.42859999999999998"/>
    <n v="105.37"/>
    <n v="121.26"/>
    <n v="0.57140000000000002"/>
    <n v="8"/>
    <n v="103.02"/>
    <n v="110.49"/>
    <n v="117.57"/>
    <n v="0.8266"/>
    <n v="6.42"/>
    <n v="61725.676506169919"/>
    <n v="1185.6641664650388"/>
    <n v="0.56847301455868005"/>
  </r>
  <r>
    <s v="3850Providence Mount Carmel Hospital101037060100, INTENSIVE CARE UNIT"/>
    <m/>
    <x v="4"/>
    <s v="PHC"/>
    <s v="WA"/>
    <n v="3850"/>
    <x v="16"/>
    <n v="1010"/>
    <s v="Medical/Surgical Intensive Care Unit"/>
    <s v="Nursing Services"/>
    <s v="37060100, INTENSIVE CARE UNIT"/>
    <s v="Equivalent Patient Day"/>
    <n v="476"/>
    <n v="513"/>
    <n v="0.28570000000000001"/>
    <n v="19.32"/>
    <n v="18.43"/>
    <n v="0.1429"/>
    <n v="8"/>
    <n v="20.05"/>
    <n v="22.57"/>
    <n v="26.8"/>
    <n v="0.90329999999999999"/>
    <n v="5.03"/>
    <n v="-112764.39324709401"/>
    <n v="-2327"/>
    <n v="-1.1156110800011001"/>
  </r>
  <r>
    <s v="3530Providence Newberg Hospital560857005608, CENTRALIZED SCHEDULING (U,N)"/>
    <m/>
    <x v="3"/>
    <s v="OR"/>
    <s v="OR"/>
    <n v="3530"/>
    <x v="17"/>
    <n v="5608"/>
    <s v="Centralized Scheduling"/>
    <s v="Revenue Cycle Management"/>
    <s v="57005608, CENTRALIZED SCHEDULING (U,N)"/>
    <s v="Adjusted Discharges"/>
    <n v="9379.48"/>
    <n v="10633.37"/>
    <n v="0.37890000000000001"/>
    <n v="0.79"/>
    <n v="0.72"/>
    <n v="0.2422"/>
    <n v="8"/>
    <n v="0.74"/>
    <n v="0.98"/>
    <n v="1.2"/>
    <n v="0.79259999999999997"/>
    <n v="4.67"/>
    <n v="-80263.807225006196"/>
    <n v="-3407"/>
    <n v="-1.63363549702466"/>
  </r>
  <r>
    <s v="3527Providence Portland Medical Center487252277701, NORTHEAST REHAB"/>
    <m/>
    <x v="3"/>
    <s v="OR"/>
    <s v="OR"/>
    <n v="3527"/>
    <x v="18"/>
    <n v="4872"/>
    <s v="PT/OT/SLP Combined: Outpatient"/>
    <s v="Rehabilitation Services"/>
    <s v="52277701, NORTHEAST REHAB"/>
    <s v="1000 Baseline Billed Time Units (BTUs)"/>
    <n v="2217.73"/>
    <n v="2707.69"/>
    <n v="1"/>
    <n v="23.21"/>
    <n v="21.78"/>
    <n v="0"/>
    <n v="8"/>
    <n v="25.59"/>
    <n v="27.13"/>
    <n v="30.05"/>
    <n v="0.88249999999999995"/>
    <n v="32.119999999999997"/>
    <n v="-587916.08269453805"/>
    <n v="-16248"/>
    <n v="-7.7900415197457598"/>
  </r>
  <r>
    <s v="3527Providence Portland Medical Center481152277700, PHYSICAL THERAPY"/>
    <m/>
    <x v="3"/>
    <s v="OR"/>
    <s v="OR"/>
    <n v="3527"/>
    <x v="18"/>
    <n v="4811"/>
    <s v="Physical Therapy: Inpatient"/>
    <s v="Rehabilitation Services"/>
    <s v="52277700, PHYSICAL THERAPY"/>
    <s v="1000 Baseline Billed Time Units (BTUs)"/>
    <n v="1667.8"/>
    <n v="2089.5700000000002"/>
    <n v="0.71430000000000005"/>
    <n v="22.53"/>
    <n v="20.67"/>
    <n v="0.1429"/>
    <n v="8"/>
    <n v="21.68"/>
    <n v="22.62"/>
    <n v="23.98"/>
    <n v="0.89449999999999996"/>
    <n v="23.22"/>
    <n v="-147413.99254067001"/>
    <n v="-4411"/>
    <n v="-2.1147917637559299"/>
  </r>
  <r>
    <s v="3527Providence Portland Medical Center123452261791, DIABETES RENAL UNIT - 5G"/>
    <m/>
    <x v="3"/>
    <s v="OR"/>
    <s v="OR"/>
    <n v="3527"/>
    <x v="18"/>
    <n v="1234"/>
    <s v="Renal/Nephrology Acute Care Unit"/>
    <s v="Nursing Services"/>
    <s v="52261791, DIABETES RENAL UNIT - 5G"/>
    <s v="Equivalent Patient Day"/>
    <n v="8761.2000000000007"/>
    <n v="9017"/>
    <n v="1"/>
    <n v="10.3"/>
    <n v="10.32"/>
    <n v="0.42859999999999998"/>
    <n v="8"/>
    <n v="9.32"/>
    <n v="9.9700000000000006"/>
    <n v="10.35"/>
    <n v="0.89880000000000004"/>
    <n v="49.78"/>
    <n v="159860.42765261399"/>
    <n v="3804"/>
    <n v="1.82406939244387"/>
  </r>
  <r>
    <s v="3852Providence Sacred Heart Medical Center463034577610, ENDOSCOPY"/>
    <m/>
    <x v="4"/>
    <s v="PHC"/>
    <s v="WA"/>
    <n v="3852"/>
    <x v="9"/>
    <n v="4630"/>
    <s v="Endoscopy (GI) Laboratory"/>
    <s v="Other Clinical Support Services"/>
    <s v="34577610, ENDOSCOPY"/>
    <s v="Procedure Minutes"/>
    <n v="0"/>
    <n v="409486"/>
    <n v="0.88890000000000002"/>
    <n v="0"/>
    <n v="0.1356809756621716"/>
    <n v="0.42859999999999998"/>
    <n v="8"/>
    <n v="0.13"/>
    <n v="0.13"/>
    <n v="0.14000000000000001"/>
    <n v="0.88139999999999996"/>
    <n v="30.31"/>
    <n v="111404.89993192648"/>
    <n v="2639.3011118674835"/>
    <n v="1.265427008614606"/>
  </r>
  <r>
    <s v="3852Providence Sacred Heart Medical Center441134577102, OP PHARMACY"/>
    <m/>
    <x v="4"/>
    <s v="PHC"/>
    <s v="WA"/>
    <n v="3852"/>
    <x v="9"/>
    <n v="4411"/>
    <s v="Pharmacy Retail/Prescription Services"/>
    <s v="Pharmacy Services"/>
    <s v="34577102, OP PHARMACY"/>
    <s v="Retail Prescriptions Processed"/>
    <n v="235179"/>
    <n v="115415"/>
    <n v="0.71430000000000005"/>
    <n v="0.13"/>
    <n v="0.28999999999999998"/>
    <n v="0.875"/>
    <n v="8"/>
    <n v="0.15"/>
    <n v="0.18"/>
    <n v="0.2"/>
    <n v="0.88370000000000004"/>
    <n v="18.14"/>
    <n v="460477.73278799898"/>
    <n v="14326"/>
    <n v="6.8685947429873302"/>
  </r>
  <r>
    <s v="3852Providence Sacred Heart Medical Center425034575710, ELECTROPHYSIOLOGY"/>
    <m/>
    <x v="4"/>
    <s v="PHC"/>
    <s v="WA"/>
    <n v="3852"/>
    <x v="9"/>
    <n v="4250"/>
    <s v="Electrophysiology Laboratory"/>
    <s v="Cardiology and Vascular Services Series"/>
    <s v="34575710, ELECTROPHYSIOLOGY"/>
    <s v="Procedure Minutes"/>
    <n v="187560"/>
    <n v="204720"/>
    <n v="0.57140000000000002"/>
    <n v="0.13"/>
    <n v="0.11"/>
    <n v="0.33329999999999999"/>
    <n v="8"/>
    <n v="0.11"/>
    <n v="0.11"/>
    <n v="0.12"/>
    <n v="0.93089999999999995"/>
    <n v="12.08"/>
    <n v="50688.360329047799"/>
    <n v="1004"/>
    <n v="0.48159988823112698"/>
  </r>
  <r>
    <s v="3852Providence Sacred Heart Medical Center221634570800, ANTICOAGULATION CLINIC"/>
    <m/>
    <x v="4"/>
    <s v="PHC"/>
    <s v="WA"/>
    <n v="3852"/>
    <x v="9"/>
    <n v="2216"/>
    <s v="Anticoagulant Clinic"/>
    <s v="Ambulatory Care Clinics"/>
    <s v="34570800, ANTICOAGULATION CLINIC"/>
    <s v="Patient Visits"/>
    <n v="13217"/>
    <n v="14909"/>
    <m/>
    <n v="1.1200000000000001"/>
    <n v="1"/>
    <m/>
    <n v="8"/>
    <n v="0.49"/>
    <n v="0.54"/>
    <n v="0.63"/>
    <n v="0.88400000000000001"/>
    <n v="8.15"/>
    <n v="416165.32298806601"/>
    <n v="7891"/>
    <n v="3.78345270541895"/>
  </r>
  <r>
    <s v="3852Providence Sacred Heart Medical Center564534576405, TUMOR REGISTRY"/>
    <m/>
    <x v="4"/>
    <s v="PHC"/>
    <s v="WA"/>
    <n v="3852"/>
    <x v="9"/>
    <n v="5645"/>
    <s v="Disease Registries"/>
    <s v="Revenue Cycle Management"/>
    <s v="34576405, TUMOR REGISTRY"/>
    <s v="Charts Abstracted"/>
    <n v="2445"/>
    <n v="2460"/>
    <n v="0.71430000000000005"/>
    <n v="3.6"/>
    <n v="3.89"/>
    <n v="0.2"/>
    <n v="8"/>
    <n v="4.0199999999999996"/>
    <n v="4.2699999999999996"/>
    <n v="4.4400000000000004"/>
    <n v="0.8589"/>
    <n v="5.36"/>
    <n v="-22994.108990660501"/>
    <n v="-1050"/>
    <n v="-0.50365673436052505"/>
  </r>
  <r>
    <s v="3854Providence Saint Mary Medical Center633032590300, FOUNDATION OPERATIONS"/>
    <m/>
    <x v="4"/>
    <s v="SER"/>
    <s v="WA"/>
    <n v="3854"/>
    <x v="8"/>
    <n v="6330"/>
    <s v="Foundation"/>
    <s v="Community Outreach"/>
    <s v="32590300, FOUNDATION OPERATIONS"/>
    <s v="$1000 New Commitments Pledged"/>
    <n v="444.85"/>
    <n v="455.59"/>
    <n v="0.85709999999999997"/>
    <n v="10.6"/>
    <n v="10.83"/>
    <n v="0.1429"/>
    <n v="8"/>
    <n v="13.08"/>
    <n v="14.04"/>
    <n v="18.48"/>
    <n v="0.90759999999999996"/>
    <n v="2.61"/>
    <n v="-60550.502258222201"/>
    <n v="-1604"/>
    <n v="-0.76905267866034699"/>
  </r>
  <r>
    <s v="3533Providence San Pedro Peninsula Hospital341277275700 SPH CATH LAB"/>
    <m/>
    <x v="2"/>
    <s v="CA"/>
    <s v="CA"/>
    <n v="3533"/>
    <x v="14"/>
    <n v="3412"/>
    <s v="Interventional Radiology"/>
    <s v="Imaging Services"/>
    <s v="77275700 SPH CATH LAB"/>
    <s v="APC Relative Weight"/>
    <n v="8868.2000000000007"/>
    <n v="14204.01"/>
    <n v="0.42859999999999998"/>
    <n v="0.28000000000000003"/>
    <n v="0.31"/>
    <n v="0"/>
    <n v="8"/>
    <n v="0.42"/>
    <n v="0.44"/>
    <n v="0.52"/>
    <n v="0.93049999999999999"/>
    <n v="2.2999999999999998"/>
    <n v="-155103.82032025792"/>
    <n v="-1984.439871037077"/>
    <n v="-0.95145029056771213"/>
  </r>
  <r>
    <s v="3526Providence Seaside Hospital413051077200, RESPIRATORY THERAPY"/>
    <m/>
    <x v="3"/>
    <s v="OR"/>
    <s v="OR"/>
    <n v="3526"/>
    <x v="19"/>
    <n v="4130"/>
    <s v="Respiratory Care and Pulmonary Diagnostics Combined"/>
    <s v="Respiratory and Pulmonary Care Services"/>
    <s v="51077200, RESPIRATORY THERAPY"/>
    <s v="CMI Weighted Total Facility Discharges"/>
    <n v="1003.66"/>
    <n v="1043.5"/>
    <n v="0.1429"/>
    <n v="8.67"/>
    <n v="8.51"/>
    <n v="0.85709999999999997"/>
    <n v="8"/>
    <n v="2.85"/>
    <n v="3.62"/>
    <n v="5.68"/>
    <n v="0.89170000000000005"/>
    <n v="4.79"/>
    <n v="196960.535395251"/>
    <n v="5754"/>
    <n v="2.75890416237295"/>
  </r>
  <r>
    <s v="3526Providence Seaside Hospital127051074000, MATERNITY SERVICES"/>
    <m/>
    <x v="3"/>
    <s v="OR"/>
    <s v="OR"/>
    <n v="3526"/>
    <x v="19"/>
    <n v="1270"/>
    <s v="Labor/Delivery/Recovery/Postpartum/Nursery"/>
    <s v="Nursing Services"/>
    <s v="51074000, MATERNITY SERVICES"/>
    <s v="Neonate Deliveries"/>
    <n v="109"/>
    <n v="119"/>
    <n v="0"/>
    <n v="171.81"/>
    <n v="153.18"/>
    <n v="0.85709999999999997"/>
    <n v="8"/>
    <n v="75.52"/>
    <n v="81.81"/>
    <n v="94.63"/>
    <n v="0.87470000000000003"/>
    <n v="10.02"/>
    <n v="510772.41424952802"/>
    <n v="9769"/>
    <n v="4.6836735907519698"/>
  </r>
  <r>
    <s v="3853Providence St Joseph's Hospital Chewelah500137584500, PLANT OPERATIONS"/>
    <m/>
    <x v="4"/>
    <s v="PHC"/>
    <s v="WA"/>
    <n v="3853"/>
    <x v="20"/>
    <n v="5001"/>
    <s v="Plant Operations / Plant Maintenance and Grounds"/>
    <s v="Facility Services"/>
    <s v="37584500, PLANT OPERATIONS"/>
    <s v="1000 Gross Square Feet Maintained"/>
    <n v="104.08"/>
    <n v="104.08"/>
    <n v="0.28570000000000001"/>
    <n v="47.16"/>
    <n v="43.64"/>
    <n v="0.1429"/>
    <n v="8"/>
    <n v="47.09"/>
    <n v="51.88"/>
    <n v="70.47"/>
    <n v="0.92269999999999996"/>
    <n v="2.37"/>
    <n v="-19670.728688250299"/>
    <n v="-909"/>
    <n v="-0.435788230942252"/>
  </r>
  <r>
    <s v="3853Providence St Joseph's Hospital Chewelah4870PT OT SLP Combined Inpatient Outpatient"/>
    <m/>
    <x v="4"/>
    <s v="PHC"/>
    <s v="WA"/>
    <n v="3853"/>
    <x v="20"/>
    <n v="4870"/>
    <s v="PT/OT/SLP Combined: Inpatient and Outpatient"/>
    <s v="Rehabilitation Services"/>
    <s v="PT OT SLP Combined Inpatient Outpatient"/>
    <s v="1000 Baseline Billed Time Units (BTUs)"/>
    <n v="304.60000000000002"/>
    <n v="445.56"/>
    <n v="0.1429"/>
    <n v="53.26"/>
    <n v="33.99"/>
    <n v="0.57140000000000002"/>
    <n v="8"/>
    <n v="29.38"/>
    <n v="30.24"/>
    <n v="32.130000000000003"/>
    <n v="0.87539999999999996"/>
    <n v="8.32"/>
    <n v="94457.350253407407"/>
    <n v="1962"/>
    <n v="0.94045477406891398"/>
  </r>
  <r>
    <s v="3848Providence St Patrick Hospital &amp; Health Science Ce423046075700, CARDIOVASCULAR LAB"/>
    <m/>
    <x v="4"/>
    <s v="WMR"/>
    <s v="MT"/>
    <n v="3848"/>
    <x v="21"/>
    <n v="4230"/>
    <s v="Combined Invasive Cardiology and Vascular Services"/>
    <s v="Cardiology and Vascular Services Series"/>
    <s v="46075700, CARDIOVASCULAR LAB"/>
    <s v="Procedure Minutes"/>
    <m/>
    <n v="216012"/>
    <n v="0.92400000000000004"/>
    <m/>
    <n v="0.16"/>
    <n v="0.27639999999999998"/>
    <n v="8"/>
    <n v="0.16"/>
    <n v="0.18"/>
    <n v="0.21"/>
    <n v="0.87990000000000002"/>
    <n v="19.39"/>
    <n v="-135909.40959123999"/>
    <n v="-3748"/>
    <n v="-1.7967930373407399"/>
  </r>
  <r>
    <s v="3848Providence St Patrick Hospital &amp; Health Science Ce123946061701, NEURO/ORTHO"/>
    <m/>
    <x v="4"/>
    <s v="WMR"/>
    <s v="MT"/>
    <n v="3848"/>
    <x v="21"/>
    <n v="1239"/>
    <s v="Orthopedic/Neurology Acute Care Unit"/>
    <s v="Nursing Services"/>
    <s v="46061701, NEURO/ORTHO"/>
    <s v="Equivalent Patient Day"/>
    <n v="7866"/>
    <n v="8423"/>
    <n v="0.71430000000000005"/>
    <n v="11.71"/>
    <n v="11.57"/>
    <n v="1"/>
    <n v="8"/>
    <n v="9.7100000000000009"/>
    <n v="9.7899999999999991"/>
    <n v="10.210000000000001"/>
    <n v="0.91520000000000001"/>
    <n v="51.21"/>
    <n v="446052.149229659"/>
    <n v="16707"/>
    <n v="8.0102095773047992"/>
  </r>
  <r>
    <s v="3524Providence St Peter Hospital422433075600 Echocardiography"/>
    <m/>
    <x v="1"/>
    <s v="SWR"/>
    <s v="WA"/>
    <n v="3524"/>
    <x v="2"/>
    <n v="4224"/>
    <s v="Echocardiography"/>
    <s v="Cardiology and Vascular Services Series"/>
    <s v="33075600 Echocardiography"/>
    <s v="APC Relative Weight"/>
    <m/>
    <n v="28932.7"/>
    <n v="0.85709999999999997"/>
    <m/>
    <n v="0.28000000000000003"/>
    <n v="0.125"/>
    <n v="8"/>
    <n v="0.28000000000000003"/>
    <n v="0.34"/>
    <n v="0.38"/>
    <n v="0.91080000000000005"/>
    <n v="4.2"/>
    <n v="-83068.047958269293"/>
    <n v="-2041"/>
    <n v="-0.97836928290305503"/>
  </r>
  <r>
    <s v="3535Providence St Vincent Medical Center584053083600, CARE MANAGEMENT"/>
    <m/>
    <x v="3"/>
    <s v="OR"/>
    <s v="OR"/>
    <n v="3535"/>
    <x v="22"/>
    <n v="5840"/>
    <s v="Case Management"/>
    <s v="Clinical Resource Management Services"/>
    <s v="53083600, CARE MANAGEMENT"/>
    <s v="Cases Managed"/>
    <m/>
    <n v="62943"/>
    <n v="0.63639999999999997"/>
    <m/>
    <n v="0.71"/>
    <n v="0"/>
    <n v="8"/>
    <n v="1.04"/>
    <n v="1.17"/>
    <n v="1.26"/>
    <n v="0.91080000000000005"/>
    <n v="23.51"/>
    <n v="-1413038.5606060605"/>
    <n v="-31789.393939393936"/>
    <n v="-15.241594639398734"/>
  </r>
  <r>
    <s v="3535Providence St Vincent Medical Center413053077200, RESPIRATORY THERAPY"/>
    <m/>
    <x v="3"/>
    <s v="OR"/>
    <s v="OR"/>
    <n v="3535"/>
    <x v="22"/>
    <n v="4130"/>
    <s v="Respiratory Care and Pulmonary Diagnostics Combined"/>
    <s v="Respiratory and Pulmonary Care Services"/>
    <s v="53077200, RESPIRATORY THERAPY"/>
    <s v="CMI Weighted Total Facility Discharges"/>
    <n v="44072.36"/>
    <n v="46649.279999999999"/>
    <n v="0.71430000000000005"/>
    <n v="1.46"/>
    <n v="1.41"/>
    <n v="0.1429"/>
    <n v="8"/>
    <n v="1.53"/>
    <n v="1.74"/>
    <n v="2.09"/>
    <n v="0.89459999999999995"/>
    <n v="35.270000000000003"/>
    <n v="-616562.31552657101"/>
    <n v="-17170"/>
    <n v="-8.2324241435572301"/>
  </r>
  <r>
    <s v="3535Providence St Vincent Medical Center481153077700, PHYSICAL THERAPY"/>
    <m/>
    <x v="3"/>
    <s v="OR"/>
    <s v="OR"/>
    <n v="3535"/>
    <x v="22"/>
    <n v="4811"/>
    <s v="Physical Therapy: Inpatient"/>
    <s v="Rehabilitation Services"/>
    <s v="53077700, PHYSICAL THERAPY"/>
    <s v="1000 Baseline Billed Time Units (BTUs)"/>
    <n v="1880.66"/>
    <n v="2275.88"/>
    <n v="1"/>
    <n v="20.96"/>
    <n v="18.66"/>
    <n v="0"/>
    <n v="8"/>
    <n v="21.68"/>
    <n v="22.62"/>
    <n v="23.98"/>
    <n v="0.90229999999999999"/>
    <n v="22.63"/>
    <n v="-359180.71669527201"/>
    <n v="-9855"/>
    <n v="-4.72515383483689"/>
  </r>
  <r>
    <s v="3535Providence St Vincent Medical Center139053063400, MENTAL HEALTH-ADULT - 5E"/>
    <m/>
    <x v="3"/>
    <s v="OR"/>
    <s v="OR"/>
    <n v="3535"/>
    <x v="22"/>
    <n v="1390"/>
    <s v="Behavioral Health Unit"/>
    <s v="Nursing Services"/>
    <s v="53063400, MENTAL HEALTH-ADULT - 5E"/>
    <s v="Patient Days"/>
    <n v="11473"/>
    <n v="11476"/>
    <n v="0.71430000000000005"/>
    <n v="9.32"/>
    <n v="9.67"/>
    <n v="0.25"/>
    <n v="8"/>
    <n v="9.67"/>
    <n v="10.37"/>
    <n v="11.31"/>
    <n v="0.90080000000000005"/>
    <n v="59.25"/>
    <n v="-357894.122966939"/>
    <n v="-8534"/>
    <n v="-4.0916069895220799"/>
  </r>
  <r>
    <s v="3535Providence St Vincent Medical Center106053060500, PICU"/>
    <m/>
    <x v="3"/>
    <s v="OR"/>
    <s v="OR"/>
    <n v="3535"/>
    <x v="22"/>
    <n v="1060"/>
    <s v="Pediatric Intensive Care Unit"/>
    <s v="Nursing Services"/>
    <s v="53060500, PICU"/>
    <s v="Equivalent Patient Day"/>
    <n v="387.62"/>
    <n v="452"/>
    <n v="0.28570000000000001"/>
    <n v="45.2"/>
    <n v="56.08"/>
    <n v="1"/>
    <n v="8"/>
    <n v="22.96"/>
    <n v="24.53"/>
    <n v="33.880000000000003"/>
    <n v="0.88729999999999998"/>
    <n v="13.73"/>
    <n v="776922.77233453596"/>
    <n v="16141"/>
    <n v="7.7388021688867097"/>
  </r>
  <r>
    <s v="4283Providence St. John's Health Center127773560700, SJHC NEONATAL INTENSIVE CARE (U)"/>
    <m/>
    <x v="2"/>
    <s v="CA"/>
    <s v="CA"/>
    <n v="4283"/>
    <x v="23"/>
    <n v="1277"/>
    <s v="Neonatal Intensive Care Unit (NICU)"/>
    <s v="Nursing Services"/>
    <s v="73560700, SJHC NEONATAL INTENSIVE CARE (U)"/>
    <s v="Patient Days (Neonate)"/>
    <m/>
    <n v="1965"/>
    <n v="0.3795"/>
    <m/>
    <n v="16.260000000000002"/>
    <n v="0.53549999999999998"/>
    <n v="8"/>
    <n v="14.21"/>
    <n v="14.81"/>
    <n v="15.87"/>
    <n v="0.85619999999999996"/>
    <n v="17.940000000000001"/>
    <n v="205501.07097787599"/>
    <n v="3428"/>
    <n v="1.6436423049484401"/>
  </r>
  <r>
    <s v="3755Providence Tarzana Medical Center12801280, Newborn Nursery (U,N)"/>
    <m/>
    <x v="2"/>
    <s v="CA"/>
    <s v="CA"/>
    <n v="3755"/>
    <x v="3"/>
    <n v="1280"/>
    <s v="Newborn Nursery"/>
    <s v="Nursing Services"/>
    <s v="1280, Newborn Nursery (U,N)"/>
    <s v="Patient Days (Neonate)"/>
    <m/>
    <n v="5244"/>
    <n v="0.74829999999999997"/>
    <m/>
    <n v="1.06"/>
    <m/>
    <n v="8"/>
    <n v="6.67"/>
    <n v="7.31"/>
    <n v="7.4"/>
    <n v="0.88590000000000002"/>
    <n v="3.01"/>
    <n v="-2012118.73348043"/>
    <n v="-36993"/>
    <n v="-17.736436788749401"/>
  </r>
  <r>
    <s v="3755Providence Tarzana Medical Center413072577200 300 Resp Care Pulm Rehab"/>
    <m/>
    <x v="2"/>
    <s v="CA"/>
    <s v="CA"/>
    <n v="3755"/>
    <x v="3"/>
    <n v="4130"/>
    <s v="Respiratory Care and Pulmonary Diagnostics Combined"/>
    <s v="Respiratory and Pulmonary Care Services"/>
    <s v="72577200 300 Resp Care Pulm Rehab"/>
    <s v="CMI Weighted Total Facility Discharges"/>
    <n v="17474.68"/>
    <n v="18719.75"/>
    <n v="0.71430000000000005"/>
    <n v="5.09"/>
    <n v="3.31"/>
    <n v="0.71430000000000005"/>
    <n v="8"/>
    <n v="1.9"/>
    <n v="2.38"/>
    <n v="2.96"/>
    <n v="0.8891"/>
    <n v="33.53"/>
    <n v="831952.03259047796"/>
    <n v="19823"/>
    <n v="9.5043829671061602"/>
  </r>
  <r>
    <s v="3849Providence Willamette Falls Medical Center335053575000 53575400 53589009, CLIN AND BLOOD COMBO"/>
    <m/>
    <x v="3"/>
    <s v="OR"/>
    <s v="OR"/>
    <n v="3849"/>
    <x v="7"/>
    <n v="3350"/>
    <s v="Laboratory Services: Clinical Operations and Blood Bank Combined"/>
    <s v="Laboratory Services"/>
    <s v="53575000 53575400 53589009, CLIN AND BLOOD COMBO"/>
    <s v="100 Billed Tests"/>
    <n v="2205.38"/>
    <n v="2004.06"/>
    <n v="0.71430000000000005"/>
    <n v="11.7"/>
    <n v="12.98"/>
    <n v="0"/>
    <n v="8"/>
    <n v="14.23"/>
    <n v="14.66"/>
    <n v="16.510000000000002"/>
    <n v="0.9073"/>
    <n v="13.79"/>
    <n v="-110029.693042193"/>
    <n v="-3619"/>
    <n v="-1.7353692512899299"/>
  </r>
  <r>
    <s v="3849Providence Willamette Falls Medical Center413053577200, RESPIRATORY THERAPY"/>
    <m/>
    <x v="3"/>
    <s v="OR"/>
    <s v="OR"/>
    <n v="3849"/>
    <x v="7"/>
    <n v="4130"/>
    <s v="Respiratory Care and Pulmonary Diagnostics Combined"/>
    <s v="Respiratory and Pulmonary Care Services"/>
    <s v="53577200, RESPIRATORY THERAPY"/>
    <s v="CMI Weighted Total Facility Discharges"/>
    <n v="6435.59"/>
    <n v="6779.45"/>
    <n v="0.42859999999999998"/>
    <n v="2.42"/>
    <n v="2.61"/>
    <n v="0"/>
    <n v="8"/>
    <n v="2.91"/>
    <n v="2.93"/>
    <n v="3.01"/>
    <n v="0.91620000000000001"/>
    <n v="9.3000000000000007"/>
    <n v="-78514.026810404801"/>
    <n v="-2284"/>
    <n v="-1.0948913379522001"/>
  </r>
  <r>
    <s v="3849Providence Willamette Falls Medical Center135053563600, MENTAL HEALTH_ADOLESCENT_CHILD"/>
    <m/>
    <x v="3"/>
    <s v="OR"/>
    <s v="OR"/>
    <n v="3849"/>
    <x v="7"/>
    <n v="1350"/>
    <s v="Peds/Adolescent Behavioral Health Unit"/>
    <s v="Nursing Services"/>
    <s v="53563600, MENTAL HEALTH_ADOLESCENT_CHILD"/>
    <s v="Patient Days"/>
    <n v="4673"/>
    <n v="5162"/>
    <n v="0.57140000000000002"/>
    <n v="15.96"/>
    <n v="16.260000000000002"/>
    <m/>
    <n v="8"/>
    <n v="9.32"/>
    <n v="9.56"/>
    <n v="9.6"/>
    <n v="0.91300000000000003"/>
    <n v="44.2"/>
    <n v="1608592.72183484"/>
    <n v="38137"/>
    <n v="18.284877038610801"/>
  </r>
  <r>
    <s v="3930Swedish Ballard5608Centralized Scheduling (N)"/>
    <m/>
    <x v="1"/>
    <s v="SHS"/>
    <s v="WA"/>
    <n v="3930"/>
    <x v="24"/>
    <n v="5608"/>
    <s v="Centralized Scheduling"/>
    <s v="Revenue Cycle Management"/>
    <s v="Centralized Scheduling (N)"/>
    <s v="Adjusted Discharges"/>
    <n v="8697.11"/>
    <n v="8252.66"/>
    <n v="0.1429"/>
    <n v="1.64"/>
    <n v="1.4"/>
    <n v="0.85709999999999997"/>
    <n v="8"/>
    <n v="0.74"/>
    <n v="0.98"/>
    <n v="1.2"/>
    <n v="0.88859999999999995"/>
    <n v="6.27"/>
    <n v="109289.34037119499"/>
    <n v="3976"/>
    <n v="1.90622973458127"/>
  </r>
  <r>
    <s v="3930Swedish Ballard181021577158 INTRAVENOUS NURSES"/>
    <m/>
    <x v="1"/>
    <s v="SHS"/>
    <s v="WA"/>
    <n v="3930"/>
    <x v="24"/>
    <n v="1810"/>
    <s v="IV Team (Vascular Access)"/>
    <s v="Nursing Services"/>
    <s v="21577158 INTRAVENOUS NURSES"/>
    <s v="100 Procedures"/>
    <n v="0.28999999999999998"/>
    <n v="0.73"/>
    <m/>
    <n v="12703.59"/>
    <n v="5604.69"/>
    <n v="1"/>
    <n v="8"/>
    <n v="447.86"/>
    <n v="511.05"/>
    <n v="565.24"/>
    <n v="0.8508"/>
    <n v="2.31"/>
    <n v="232903.39509105301"/>
    <n v="4379"/>
    <n v="2.0997640748375002"/>
  </r>
  <r>
    <s v="3928Swedish Cherry Hill5608Centralized Scheduling (N)"/>
    <m/>
    <x v="1"/>
    <s v="SHS"/>
    <s v="WA"/>
    <n v="3928"/>
    <x v="25"/>
    <n v="5608"/>
    <s v="Centralized Scheduling"/>
    <s v="Revenue Cycle Management"/>
    <s v="Centralized Scheduling (N)"/>
    <s v="Adjusted Discharges"/>
    <n v="13413.68"/>
    <n v="12903.71"/>
    <n v="0.25879999999999997"/>
    <n v="2.71"/>
    <n v="2.2000000000000002"/>
    <n v="0.94920000000000004"/>
    <n v="8"/>
    <n v="0.44"/>
    <n v="0.6"/>
    <n v="0.92"/>
    <n v="0.88219999999999998"/>
    <n v="15.45"/>
    <n v="553141.65853494103"/>
    <n v="23448"/>
    <n v="11.2422788603554"/>
  </r>
  <r>
    <s v="3927Swedish First Hill451021077400 DIALYSIS/21077411 DIALYSIS TRAINING"/>
    <m/>
    <x v="1"/>
    <s v="SHS"/>
    <s v="WA"/>
    <n v="3927"/>
    <x v="26"/>
    <n v="4510"/>
    <s v="Dialysis"/>
    <s v="Dialysis Services"/>
    <s v="21077400 DIALYSIS/21077411 DIALYSIS TRAINING"/>
    <s v="Treatments"/>
    <n v="2552"/>
    <n v="3104"/>
    <n v="0.42859999999999998"/>
    <n v="6.93"/>
    <n v="6.96"/>
    <n v="0.71430000000000005"/>
    <n v="8"/>
    <n v="5.55"/>
    <n v="6"/>
    <n v="6.53"/>
    <n v="0.81830000000000003"/>
    <n v="12.69"/>
    <n v="198772.07534771701"/>
    <n v="3708"/>
    <n v="1.7778941358862199"/>
  </r>
  <r>
    <s v="3927Swedish First Hill123821061730 ONCOLOGY SERVICES"/>
    <m/>
    <x v="1"/>
    <s v="SHS"/>
    <s v="WA"/>
    <n v="3927"/>
    <x v="26"/>
    <n v="1238"/>
    <s v="Oncology Acute Care Unit"/>
    <s v="Nursing Services"/>
    <s v="21061730 ONCOLOGY SERVICES"/>
    <s v="Equivalent Patient Day"/>
    <n v="15175.25"/>
    <n v="15704"/>
    <n v="0.71430000000000005"/>
    <n v="10.09"/>
    <n v="10.93"/>
    <n v="0.42859999999999998"/>
    <n v="8"/>
    <n v="9.65"/>
    <n v="10.32"/>
    <n v="11.19"/>
    <n v="0.89170000000000005"/>
    <n v="92.55"/>
    <n v="471628.98287304002"/>
    <n v="11283"/>
    <n v="5.40963472062968"/>
  </r>
  <r>
    <s v="3927Swedish First Hill466521074292, PREADMISSION CENTER"/>
    <m/>
    <x v="1"/>
    <s v="SHS"/>
    <s v="WA"/>
    <n v="3927"/>
    <x v="26"/>
    <n v="4665"/>
    <s v="Pre Admission / Pre Procedure Testing"/>
    <s v="Other Clinical Support Services"/>
    <s v="21074292, PREADMISSION CENTER"/>
    <s v="Patient Visits"/>
    <n v="1406"/>
    <n v="1403"/>
    <n v="0"/>
    <n v="18.03"/>
    <n v="21.45"/>
    <n v="1"/>
    <n v="8"/>
    <n v="1.91"/>
    <n v="2.4700000000000002"/>
    <n v="3.66"/>
    <n v="0.90049999999999997"/>
    <n v="16.07"/>
    <n v="1388520.6155983901"/>
    <n v="29669"/>
    <n v="14.2249035808925"/>
  </r>
  <r>
    <s v="3932Swedish Health Services Corp (S)651020587100 MEDICAL STAFF SERVICES"/>
    <m/>
    <x v="1"/>
    <s v="SHS"/>
    <s v="WA"/>
    <n v="3932"/>
    <x v="27"/>
    <n v="6510"/>
    <s v="Medical Staff Services"/>
    <s v="Medical Staff Services"/>
    <s v="20587100 MEDICAL STAFF SERVICES"/>
    <s v="Physicians On Active Medical Staff"/>
    <n v="582"/>
    <n v="752"/>
    <n v="0.71430000000000005"/>
    <n v="63.97"/>
    <n v="52.31"/>
    <n v="0.875"/>
    <n v="8"/>
    <n v="25.03"/>
    <n v="26.1"/>
    <n v="30.91"/>
    <n v="0.89410000000000001"/>
    <n v="21.15"/>
    <n v="752811.96219328395"/>
    <n v="22161"/>
    <n v="10.625041019546501"/>
  </r>
  <r>
    <s v="3931Swedish Issaquah5608Centralized Scheduling (N)"/>
    <m/>
    <x v="1"/>
    <s v="SHS"/>
    <s v="WA"/>
    <n v="3931"/>
    <x v="28"/>
    <n v="5608"/>
    <s v="Centralized Scheduling"/>
    <s v="Revenue Cycle Management"/>
    <s v="Centralized Scheduling (N)"/>
    <s v="Adjusted Discharges"/>
    <n v="11967.49"/>
    <n v="13188.63"/>
    <n v="0.28570000000000001"/>
    <n v="1.46"/>
    <n v="1.21"/>
    <n v="0.85709999999999997"/>
    <n v="8"/>
    <n v="0.44"/>
    <n v="0.6"/>
    <n v="0.92"/>
    <n v="0.89980000000000004"/>
    <n v="8.5399999999999991"/>
    <n v="274039.86543598602"/>
    <n v="9018"/>
    <n v="4.3234902884397597"/>
  </r>
  <r>
    <s v="3531Providence Medford Medical Center482259077704, HAND THERAPY (U)"/>
    <m/>
    <x v="3"/>
    <s v="OR"/>
    <s v="OR"/>
    <n v="3531"/>
    <x v="29"/>
    <n v="4822"/>
    <s v="Occupational Therapy: Outpatient"/>
    <s v="Rehabilitation Services"/>
    <s v="59077704, HAND THERAPY (U)"/>
    <s v="1000 Baseline Billed Time Units (BTUs)"/>
    <n v="375.85"/>
    <n v="435.61"/>
    <n v="0.66910000000000003"/>
    <n v="22.62"/>
    <n v="18.84"/>
    <m/>
    <n v="8"/>
    <n v="21.87"/>
    <n v="22.06"/>
    <n v="22.35"/>
    <n v="0.87949999999999995"/>
    <n v="4.49"/>
    <n v="-68294.644426872197"/>
    <n v="-1561"/>
    <n v="-0.74860513331216205"/>
  </r>
  <r>
    <s v="2947Providence Alaska Medical Center4510Kidney Dialysis"/>
    <m/>
    <x v="0"/>
    <s v="AK"/>
    <s v="AK"/>
    <n v="2947"/>
    <x v="0"/>
    <n v="4510"/>
    <s v="Dialysis"/>
    <s v="Dialysis Services"/>
    <s v="Kidney Dialysis"/>
    <s v="Treatments"/>
    <n v="2245"/>
    <n v="2066"/>
    <n v="0.625"/>
    <n v="5.26"/>
    <n v="6.44"/>
    <n v="1"/>
    <n v="9"/>
    <n v="4.32"/>
    <n v="4.82"/>
    <n v="4.95"/>
    <n v="0.9284"/>
    <n v="6.89"/>
    <n v="199856.961444999"/>
    <n v="3644"/>
    <n v="1.74730956724931"/>
  </r>
  <r>
    <s v="2947Providence Alaska Medical Center5020Plant Operations"/>
    <m/>
    <x v="0"/>
    <s v="AK"/>
    <s v="AK"/>
    <n v="2947"/>
    <x v="0"/>
    <n v="5020"/>
    <s v="Plant Operations"/>
    <s v="Facility Services"/>
    <s v="Plant Operations"/>
    <s v="1000 Gross Square Feet Maintained"/>
    <n v="2144"/>
    <n v="2144"/>
    <n v="0.625"/>
    <n v="12.92"/>
    <n v="11.82"/>
    <n v="0.5"/>
    <n v="9"/>
    <n v="7.15"/>
    <n v="9.75"/>
    <n v="11.82"/>
    <n v="0.87709999999999999"/>
    <n v="13.9"/>
    <n v="186781.85626533499"/>
    <n v="5158"/>
    <n v="2.4730995315009099"/>
  </r>
  <r>
    <s v="2947Providence Alaska Medical Center1277Neonatal Intensive Care Unit (2)"/>
    <m/>
    <x v="0"/>
    <s v="AK"/>
    <s v="AK"/>
    <n v="2947"/>
    <x v="0"/>
    <n v="1277"/>
    <s v="Neonatal Intensive Care Unit (NICU)"/>
    <s v="Nursing Services"/>
    <s v="Neonatal Intensive Care Unit (2)"/>
    <s v="Patient Days (Neonate)"/>
    <n v="13531"/>
    <n v="14743"/>
    <n v="0.49930000000000002"/>
    <n v="13.31"/>
    <n v="13.46"/>
    <n v="0.48280000000000001"/>
    <n v="9"/>
    <n v="12.7"/>
    <n v="12.78"/>
    <n v="13.56"/>
    <n v="0.8931"/>
    <n v="106.81"/>
    <n v="533344.30395355797"/>
    <n v="11806"/>
    <n v="5.6602557903090096"/>
  </r>
  <r>
    <s v="3525Providence Centralia Hospital191134087202, NURSING SUPERVISION"/>
    <m/>
    <x v="1"/>
    <s v="SWR"/>
    <s v="WA"/>
    <n v="3525"/>
    <x v="10"/>
    <n v="1911"/>
    <s v="Nurse Staffing Office"/>
    <s v="Nursing Services"/>
    <s v="34087202, NURSING SUPERVISION"/>
    <s v="Nursing Division Employees"/>
    <n v="270"/>
    <n v="263"/>
    <n v="0.25"/>
    <n v="70.430000000000007"/>
    <n v="67.5"/>
    <n v="1"/>
    <n v="9"/>
    <n v="27"/>
    <n v="29.81"/>
    <n v="37.200000000000003"/>
    <n v="0.70069999999999999"/>
    <n v="8.49"/>
    <n v="290420.76020525699"/>
    <n v="6519"/>
    <n v="3.1254442138659799"/>
  </r>
  <r>
    <s v="3523Providence Everett Medical Center111031661710, Med Tele Tower S 8"/>
    <m/>
    <x v="1"/>
    <s v="NWR"/>
    <s v="WA"/>
    <n v="3523"/>
    <x v="1"/>
    <n v="1110"/>
    <s v="Medical/Surgical Intermediate Care Unit"/>
    <s v="Nursing Services"/>
    <s v="31661710, Med Tele Tower S 8"/>
    <s v="Equivalent Patient Day"/>
    <m/>
    <n v="2244"/>
    <n v="1"/>
    <m/>
    <n v="7.13"/>
    <n v="0"/>
    <n v="9"/>
    <n v="10.46"/>
    <n v="11.67"/>
    <n v="12.19"/>
    <n v="0.93969999999999998"/>
    <n v="8.19"/>
    <n v="-423723.61235080799"/>
    <n v="-10786"/>
    <n v="-5.1714207662245304"/>
  </r>
  <r>
    <s v="3523Providence Everett Medical Center581031682904, Social Services"/>
    <m/>
    <x v="1"/>
    <s v="NWR"/>
    <s v="WA"/>
    <n v="3523"/>
    <x v="1"/>
    <n v="5810"/>
    <s v="Social Work"/>
    <s v="Clinical Resource Management Services"/>
    <s v="31682904, Social Services"/>
    <s v="Social Work Cases"/>
    <n v="8152"/>
    <n v="5729"/>
    <n v="0.625"/>
    <n v="1.68"/>
    <n v="2.44"/>
    <n v="0.5"/>
    <n v="9"/>
    <n v="2"/>
    <n v="2.15"/>
    <n v="2.44"/>
    <n v="0.90300000000000002"/>
    <n v="7.45"/>
    <n v="75725.551189282094"/>
    <n v="1898"/>
    <n v="0.91000086758584997"/>
  </r>
  <r>
    <s v="2687Providence Holy Cross Medical Center481172077700 Physical Therapy Inpatient"/>
    <m/>
    <x v="2"/>
    <s v="CA"/>
    <s v="CA"/>
    <n v="2687"/>
    <x v="4"/>
    <n v="4811"/>
    <s v="Physical Therapy: Inpatient"/>
    <s v="Rehabilitation Services"/>
    <s v="72077700 Physical Therapy Inpatient"/>
    <s v="1000 Baseline Billed Time Units (BTUs)"/>
    <n v="1451.93"/>
    <n v="1836.87"/>
    <n v="0.625"/>
    <n v="29.12"/>
    <n v="23.36"/>
    <n v="0.375"/>
    <n v="9"/>
    <n v="22.01"/>
    <n v="23.09"/>
    <n v="24.81"/>
    <n v="0.90039999999999998"/>
    <n v="22.91"/>
    <n v="26270.813001511498"/>
    <n v="678"/>
    <n v="0.32526356401199102"/>
  </r>
  <r>
    <s v="2687Providence Holy Cross Medical Center111272061540, 3C TELE PULMONARY"/>
    <m/>
    <x v="2"/>
    <s v="CA"/>
    <s v="CA"/>
    <n v="2687"/>
    <x v="4"/>
    <n v="1112"/>
    <s v="Respiratory Intermediate Care Unit"/>
    <s v="Nursing Services"/>
    <s v="72061540, 3C TELE PULMONARY"/>
    <s v="Equivalent Patient Day"/>
    <n v="6045"/>
    <n v="6351"/>
    <n v="0"/>
    <n v="13.12"/>
    <n v="13.01"/>
    <n v="0.75"/>
    <n v="9"/>
    <n v="10.85"/>
    <n v="11.4"/>
    <n v="12.08"/>
    <n v="0.91700000000000004"/>
    <n v="43.31"/>
    <n v="460086.88815612602"/>
    <n v="11377"/>
    <n v="5.4547788856025203"/>
  </r>
  <r>
    <s v="2719Providence St Joseph Medical Center303071072300 - 03030 - PSJMC SHORT STAY"/>
    <m/>
    <x v="2"/>
    <s v="CA"/>
    <s v="CA"/>
    <n v="2719"/>
    <x v="6"/>
    <n v="3030"/>
    <s v="Surgery Pre Op and Post Recovery Only"/>
    <s v="Surgical Services"/>
    <s v="71072300 - 03030 - PSJMC SHORT STAY"/>
    <s v="100 Patient Observation Minutes"/>
    <n v="19699.2"/>
    <n v="19709"/>
    <n v="0.75"/>
    <n v="2.65"/>
    <n v="2.72"/>
    <n v="0.71430000000000005"/>
    <n v="9"/>
    <n v="2.23"/>
    <n v="2.44"/>
    <n v="2.68"/>
    <n v="0.86770000000000003"/>
    <n v="29.71"/>
    <n v="299171.58096116193"/>
    <n v="6359.940071453273"/>
    <n v="3.049307221294181"/>
  </r>
  <r>
    <s v="3528Providence Hood River Memorial Hospital101156060100, ICU"/>
    <m/>
    <x v="3"/>
    <s v="OR"/>
    <s v="OR"/>
    <n v="3528"/>
    <x v="12"/>
    <n v="1011"/>
    <s v="Medical Intensive Care Unit"/>
    <s v="Nursing Services"/>
    <s v="56060100, ICU"/>
    <s v="Equivalent Patient Day"/>
    <n v="473.58"/>
    <n v="442.88"/>
    <n v="0.25"/>
    <n v="19.579999999999998"/>
    <n v="19.399999999999999"/>
    <n v="0.125"/>
    <n v="9"/>
    <n v="20.149999999999999"/>
    <n v="20.39"/>
    <n v="24.18"/>
    <n v="0.80210000000000004"/>
    <n v="5.15"/>
    <n v="-24805.664297577099"/>
    <n v="-517"/>
    <n v="-0.24787641035320601"/>
  </r>
  <r>
    <s v="3528Providence Hood River Memorial Hospital449056004490, PHARMACY SUPPORT SVCS (U,N)"/>
    <m/>
    <x v="3"/>
    <s v="OR"/>
    <s v="OR"/>
    <n v="3528"/>
    <x v="12"/>
    <n v="4490"/>
    <s v="Pharmacy Administration and Support"/>
    <s v="Pharmacy Services"/>
    <s v="56004490, PHARMACY SUPPORT SVCS (U,N)"/>
    <s v="CMI Weighted Adjusted Discharges"/>
    <n v="8835.32"/>
    <n v="9124.75"/>
    <n v="0.31909999999999999"/>
    <n v="0.38"/>
    <n v="0.55000000000000004"/>
    <m/>
    <n v="9"/>
    <n v="0.16"/>
    <n v="0.16"/>
    <n v="0.17"/>
    <n v="0.90959999999999996"/>
    <n v="2.66"/>
    <n v="161579.09877968338"/>
    <n v="3912.3268469656996"/>
    <n v="1.8757859936547441"/>
  </r>
  <r>
    <s v="4282Providence Kodiak Hospital1270Labor/Delivery/Recovery/Postpartum/Nursery"/>
    <m/>
    <x v="0"/>
    <s v="AK"/>
    <s v="AK"/>
    <n v="4282"/>
    <x v="5"/>
    <n v="1270"/>
    <s v="Labor/Delivery/Recovery/Postpartum/Nursery"/>
    <s v="Nursing Services"/>
    <s v="Labor/Delivery/Recovery/Postpartum/Nursery"/>
    <s v="Neonate Deliveries"/>
    <n v="180"/>
    <n v="171"/>
    <n v="0.25"/>
    <n v="53"/>
    <n v="66.040000000000006"/>
    <n v="0.25"/>
    <n v="9"/>
    <n v="66.040000000000006"/>
    <n v="76.16"/>
    <n v="85.64"/>
    <n v="0.93500000000000005"/>
    <n v="5.81"/>
    <n v="-92708.651763447706"/>
    <n v="-1811"/>
    <n v="-0.86820265269562802"/>
  </r>
  <r>
    <s v="4282Providence Kodiak Hospital1550ECF KODIAK"/>
    <m/>
    <x v="0"/>
    <s v="AK"/>
    <s v="AK"/>
    <n v="4282"/>
    <x v="5"/>
    <n v="1550"/>
    <s v="Long Term Care Unit"/>
    <s v="Nursing Services"/>
    <s v="ECF KODIAK"/>
    <s v="Patient Days"/>
    <n v="6845"/>
    <n v="7355"/>
    <n v="0.125"/>
    <n v="8.02"/>
    <n v="8.25"/>
    <n v="1"/>
    <n v="9"/>
    <n v="3.8"/>
    <n v="3.81"/>
    <n v="4.24"/>
    <n v="0.86760000000000004"/>
    <n v="33.619999999999997"/>
    <n v="1012577.30344674"/>
    <n v="37822"/>
    <n v="18.134106497840001"/>
  </r>
  <r>
    <s v="3532Providence Little Company of Mary Hospital307176283800 03071 STERILE PROCESSING"/>
    <m/>
    <x v="2"/>
    <s v="CA"/>
    <s v="CA"/>
    <n v="3532"/>
    <x v="13"/>
    <n v="3071"/>
    <s v="Central Sterile Services - Reprocessing Only"/>
    <s v="Surgical Services"/>
    <s v="76283800 03071 STERILE PROCESSING"/>
    <s v="100 Items Processed"/>
    <n v="1200"/>
    <n v="1643.43"/>
    <m/>
    <n v="21.78"/>
    <n v="17.43"/>
    <n v="0.93369999999999997"/>
    <n v="9"/>
    <n v="18.149999999999999"/>
    <n v="19.21"/>
    <n v="19.989999999999998"/>
    <n v="0.93340000000000001"/>
    <n v="14.75"/>
    <n v="-68116.202326257306"/>
    <n v="-3059"/>
    <n v="-1.4665676341922"/>
  </r>
  <r>
    <s v="3532Providence Little Company of Mary Hospital411076277200 04110 RESPIRATORY CARE"/>
    <m/>
    <x v="2"/>
    <s v="CA"/>
    <s v="CA"/>
    <n v="3532"/>
    <x v="13"/>
    <n v="4110"/>
    <s v="Respiratory Care"/>
    <s v="Respiratory and Pulmonary Care Services"/>
    <s v="76277200 04110 RESPIRATORY CARE"/>
    <s v="CMI Weighted Total Facility Discharges"/>
    <n v="179061.51"/>
    <n v="252041.53"/>
    <n v="0.625"/>
    <n v="3.62"/>
    <n v="0.47"/>
    <n v="0.66669999999999996"/>
    <n v="9"/>
    <n v="0.41"/>
    <n v="0.43"/>
    <n v="0.45"/>
    <n v="0.90149999999999997"/>
    <n v="63.54"/>
    <n v="462682.15048218198"/>
    <n v="12306"/>
    <n v="5.9001302597454002"/>
  </r>
  <r>
    <s v="3529Providence Milwaukie Hospital341155076300, DIAGNOSTIC IMAGING"/>
    <m/>
    <x v="3"/>
    <s v="OR"/>
    <s v="OR"/>
    <n v="3529"/>
    <x v="15"/>
    <n v="3411"/>
    <s v="Diagnostic Radiology Without Interventional Procedures"/>
    <s v="Imaging Services"/>
    <s v="55076300, DIAGNOSTIC IMAGING"/>
    <s v="APC Relative Weight"/>
    <n v="21563.14"/>
    <n v="21459.84"/>
    <n v="0.5"/>
    <n v="0.66"/>
    <n v="0.66"/>
    <n v="0.3"/>
    <n v="9"/>
    <n v="0.66"/>
    <n v="0.7"/>
    <n v="0.78"/>
    <n v="0.87649999999999995"/>
    <n v="7.78"/>
    <n v="-32312.1967952784"/>
    <n v="-912"/>
    <n v="-0.43714135708178797"/>
  </r>
  <r>
    <s v="3529Providence Milwaukie Hospital482555077900, OCCUPATIONAL THERAPY"/>
    <m/>
    <x v="3"/>
    <s v="OR"/>
    <s v="OR"/>
    <n v="3529"/>
    <x v="15"/>
    <n v="4825"/>
    <s v="Occupational Therapy: Inpatient and Outpatient"/>
    <s v="Rehabilitation Services"/>
    <s v="55077900, OCCUPATIONAL THERAPY"/>
    <s v="1000 Baseline Billed Time Units (BTUs)"/>
    <n v="117.02"/>
    <n v="193.11"/>
    <n v="0.5"/>
    <n v="27.93"/>
    <n v="21.72"/>
    <n v="0"/>
    <n v="9"/>
    <n v="22.9"/>
    <n v="23.65"/>
    <n v="24.91"/>
    <n v="0.92810000000000004"/>
    <n v="2.17"/>
    <n v="-15670.3806701952"/>
    <n v="-395"/>
    <n v="-0.189333287311269"/>
  </r>
  <r>
    <s v="3529Providence Milwaukie Hospital101155060100, ICU"/>
    <m/>
    <x v="3"/>
    <s v="OR"/>
    <s v="OR"/>
    <n v="3529"/>
    <x v="15"/>
    <n v="1011"/>
    <s v="Medical Intensive Care Unit"/>
    <s v="Nursing Services"/>
    <s v="55060100, ICU"/>
    <s v="Equivalent Patient Day"/>
    <n v="835.87"/>
    <n v="862.83"/>
    <n v="0.5"/>
    <n v="25.52"/>
    <n v="24.18"/>
    <n v="0.5"/>
    <n v="9"/>
    <n v="20.149999999999999"/>
    <n v="20.39"/>
    <n v="24.18"/>
    <n v="0.90949999999999998"/>
    <n v="11.03"/>
    <n v="206368.705272461"/>
    <n v="3662"/>
    <n v="1.75555525685877"/>
  </r>
  <r>
    <s v="3850Providence Mount Carmel Hospital301137074200, SURGICAL SERVICES"/>
    <m/>
    <x v="4"/>
    <s v="PHC"/>
    <s v="WA"/>
    <n v="3850"/>
    <x v="16"/>
    <n v="3011"/>
    <s v="Operating Room"/>
    <s v="Surgical Services"/>
    <s v="37074200, SURGICAL SERVICES"/>
    <s v="100 Operating Room Minutes"/>
    <n v="881.7"/>
    <n v="749.58"/>
    <n v="0.25"/>
    <n v="20.78"/>
    <n v="16.41"/>
    <n v="0.25"/>
    <n v="9"/>
    <n v="16.41"/>
    <n v="17.48"/>
    <n v="20.85"/>
    <n v="0.86639999999999995"/>
    <n v="6.82"/>
    <n v="-36015.586421817898"/>
    <n v="-899"/>
    <n v="-0.43085355667540598"/>
  </r>
  <r>
    <s v="3530Providence Newberg Hospital127057074000, MATERNITY SERVICES"/>
    <m/>
    <x v="3"/>
    <s v="OR"/>
    <s v="OR"/>
    <n v="3530"/>
    <x v="17"/>
    <n v="1270"/>
    <s v="Labor/Delivery/Recovery/Postpartum/Nursery"/>
    <s v="Nursing Services"/>
    <s v="57074000, MATERNITY SERVICES"/>
    <s v="Neonate Deliveries"/>
    <n v="589"/>
    <n v="541"/>
    <n v="0.25"/>
    <n v="72.81"/>
    <n v="83.51"/>
    <n v="0.55559999999999998"/>
    <n v="9"/>
    <n v="75.150000000000006"/>
    <n v="75.62"/>
    <n v="80.81"/>
    <n v="0.86809999999999998"/>
    <n v="25.02"/>
    <n v="233332.12397704"/>
    <n v="5058"/>
    <n v="2.4250002546951102"/>
  </r>
  <r>
    <s v="3527Providence Portland Medical Center302052274270, PACU"/>
    <m/>
    <x v="3"/>
    <s v="OR"/>
    <s v="OR"/>
    <n v="3527"/>
    <x v="18"/>
    <n v="3020"/>
    <s v="Post Anesthesia Care Unit (PACU)"/>
    <s v="Surgical Services"/>
    <s v="52274270, PACU"/>
    <s v="100 PACU Minutes"/>
    <n v="11150.4"/>
    <n v="18015"/>
    <n v="0.5"/>
    <n v="3.4"/>
    <n v="2.14"/>
    <n v="0.125"/>
    <n v="9"/>
    <n v="2.4300000000000002"/>
    <n v="2.72"/>
    <n v="3.71"/>
    <n v="0.85740000000000005"/>
    <n v="21.59"/>
    <n v="-661127.53272481996"/>
    <n v="-12120"/>
    <n v="-5.8110906954696002"/>
  </r>
  <r>
    <s v="3527Providence Portland Medical Center413052277200, RESPIRATORY THERAPY"/>
    <m/>
    <x v="3"/>
    <s v="OR"/>
    <s v="OR"/>
    <n v="3527"/>
    <x v="18"/>
    <n v="4130"/>
    <s v="Respiratory Care and Pulmonary Diagnostics Combined"/>
    <s v="Respiratory and Pulmonary Care Services"/>
    <s v="52277200, RESPIRATORY THERAPY"/>
    <s v="CMI Weighted Total Facility Discharges"/>
    <n v="34303.57"/>
    <n v="33312.06"/>
    <n v="0.625"/>
    <n v="1.43"/>
    <n v="1.57"/>
    <n v="0.25"/>
    <n v="9"/>
    <n v="1.57"/>
    <n v="1.87"/>
    <n v="2.2400000000000002"/>
    <n v="0.89900000000000002"/>
    <n v="28.02"/>
    <n v="-364187.02653616999"/>
    <n v="-10851"/>
    <n v="-5.2024429044156397"/>
  </r>
  <r>
    <s v="3527Providence Portland Medical Center111252260341, RESPIRATORY CARDIOLOGY - 2R"/>
    <m/>
    <x v="3"/>
    <s v="OR"/>
    <s v="OR"/>
    <n v="3527"/>
    <x v="18"/>
    <n v="1112"/>
    <s v="Respiratory Intermediate Care Unit"/>
    <s v="Nursing Services"/>
    <s v="52260341, RESPIRATORY CARDIOLOGY - 2R"/>
    <s v="Equivalent Patient Day"/>
    <n v="7663.42"/>
    <n v="8280"/>
    <n v="0.625"/>
    <n v="10.55"/>
    <n v="10.36"/>
    <n v="0.125"/>
    <n v="9"/>
    <n v="10.85"/>
    <n v="11.4"/>
    <n v="12.08"/>
    <n v="0.89359999999999995"/>
    <n v="46.13"/>
    <n v="-412950.14988428197"/>
    <n v="-9418"/>
    <n v="-4.5154211435683802"/>
  </r>
  <r>
    <s v="3527Providence Portland Medical Center509952205099, FACILITIES ADMIN AND SUPPORT (U,N)"/>
    <m/>
    <x v="3"/>
    <s v="OR"/>
    <s v="OR"/>
    <n v="3527"/>
    <x v="18"/>
    <n v="5099"/>
    <s v="Facility Services Administration"/>
    <s v="Facility Services"/>
    <s v="52205099, FACILITIES ADMIN AND SUPPORT (U,N)"/>
    <s v="1000 Gross Square Feet Maintained"/>
    <n v="2199.7600000000002"/>
    <n v="2199.7600000000002"/>
    <n v="0.53759999999999997"/>
    <n v="2.38"/>
    <n v="2.2400000000000002"/>
    <n v="0.32600000000000001"/>
    <n v="9"/>
    <n v="1.79"/>
    <n v="2.38"/>
    <n v="3.28"/>
    <n v="0.8659"/>
    <n v="2.74"/>
    <n v="-10256.4179350537"/>
    <n v="-331"/>
    <n v="-0.15889627985680299"/>
  </r>
  <r>
    <s v="3527Providence Portland Medical Center338052275200, 52275201 52275230 PATHOLOGY COMBO"/>
    <m/>
    <x v="3"/>
    <s v="OR"/>
    <s v="OR"/>
    <n v="3527"/>
    <x v="18"/>
    <n v="3380"/>
    <s v="Laboratory Services: Anatomic Pathology"/>
    <s v="Laboratory Services"/>
    <s v="52275200, 52275201 52275230 PATHOLOGY COMBO"/>
    <s v="100 Billed Tests"/>
    <n v="3295.91"/>
    <n v="3429.19"/>
    <n v="1"/>
    <n v="22.82"/>
    <n v="25.55"/>
    <n v="0.375"/>
    <n v="9"/>
    <n v="24.29"/>
    <n v="25.3"/>
    <n v="28.19"/>
    <n v="0.88700000000000001"/>
    <n v="47.49"/>
    <n v="35367.404153633499"/>
    <n v="1239"/>
    <n v="0.59391278258743796"/>
  </r>
  <r>
    <s v="3527Providence Portland Medical Center181052277150, IV THERAPY"/>
    <m/>
    <x v="3"/>
    <s v="OR"/>
    <s v="OR"/>
    <n v="3527"/>
    <x v="18"/>
    <n v="1810"/>
    <s v="IV Team (Vascular Access)"/>
    <s v="Nursing Services"/>
    <s v="52277150, IV THERAPY"/>
    <s v="100 Procedures"/>
    <n v="1008.13"/>
    <n v="14.69"/>
    <n v="0.5"/>
    <n v="30.1"/>
    <n v="1843.29"/>
    <n v="0.88890000000000002"/>
    <n v="9"/>
    <n v="311.99"/>
    <n v="356.44"/>
    <n v="729.17"/>
    <n v="0.8831"/>
    <n v="14.74"/>
    <n v="1398467.3035598199"/>
    <n v="24814"/>
    <n v="11.897198703215301"/>
  </r>
  <r>
    <s v="3527Providence Portland Medical Center201052287308, ER SVCS BEHAVIORAL HLTH"/>
    <m/>
    <x v="3"/>
    <s v="OR"/>
    <s v="OR"/>
    <n v="3527"/>
    <x v="18"/>
    <n v="2010"/>
    <s v="Emergency Department"/>
    <s v="Emergency Services"/>
    <s v="52287308, ER SVCS BEHAVIORAL HLTH"/>
    <s v="Patient Visits"/>
    <n v="4779"/>
    <n v="5038"/>
    <n v="0.625"/>
    <n v="10.4"/>
    <n v="9.83"/>
    <n v="1"/>
    <n v="9"/>
    <n v="3.08"/>
    <n v="3.78"/>
    <n v="4.6100000000000003"/>
    <n v="0.90339999999999998"/>
    <n v="26.36"/>
    <n v="0"/>
    <n v="0"/>
    <n v="0"/>
  </r>
  <r>
    <s v="3852Providence Sacred Heart Medical Center3370Laboratory Services Clinical Operations"/>
    <m/>
    <x v="4"/>
    <s v="PHC"/>
    <s v="WA"/>
    <n v="3852"/>
    <x v="9"/>
    <n v="3370"/>
    <s v="Laboratory Services: Clinical Operations"/>
    <s v="Laboratory Services"/>
    <s v="Laboratory Services Clinical Operations"/>
    <s v="100 Billed Tests"/>
    <n v="24128.11"/>
    <n v="24312.86"/>
    <n v="0.375"/>
    <n v="9.15"/>
    <n v="9.52"/>
    <n v="0.28570000000000001"/>
    <n v="9"/>
    <n v="9.27"/>
    <n v="10.3"/>
    <n v="11.75"/>
    <n v="0.87329999999999997"/>
    <n v="127.46"/>
    <n v="-642449.76193885598"/>
    <n v="-20911"/>
    <n v="-10.025840406836799"/>
  </r>
  <r>
    <s v="3852Providence Sacred Heart Medical Center127734560700, NICU"/>
    <m/>
    <x v="4"/>
    <s v="PHC"/>
    <s v="WA"/>
    <n v="3852"/>
    <x v="9"/>
    <n v="1277"/>
    <s v="Neonatal Intensive Care Unit (NICU)"/>
    <s v="Nursing Services"/>
    <s v="34560700, NICU"/>
    <s v="Patient Days (Neonate)"/>
    <n v="17706"/>
    <n v="18022"/>
    <n v="0.625"/>
    <n v="11.69"/>
    <n v="12.37"/>
    <n v="0.44440000000000002"/>
    <n v="9"/>
    <n v="11.77"/>
    <n v="12.32"/>
    <n v="12.42"/>
    <n v="0.87360000000000004"/>
    <n v="122.72"/>
    <n v="88403.494157674606"/>
    <n v="1801"/>
    <n v="0.86335222879115703"/>
  </r>
  <r>
    <s v="3852Providence Sacred Heart Medical Center191034587200, NURSING ADMINISTRATION"/>
    <m/>
    <x v="4"/>
    <s v="PHC"/>
    <s v="WA"/>
    <n v="3852"/>
    <x v="9"/>
    <n v="1910"/>
    <s v="Nursing Administration"/>
    <s v="Nursing Services"/>
    <s v="34587200, NURSING ADMINISTRATION"/>
    <s v="Nursing Division Employees"/>
    <n v="1454"/>
    <n v="1636"/>
    <n v="0.75"/>
    <n v="47.84"/>
    <n v="50.17"/>
    <n v="0.8"/>
    <n v="9"/>
    <n v="40.08"/>
    <n v="43.16"/>
    <n v="47.28"/>
    <n v="0.87239999999999995"/>
    <n v="35.35"/>
    <n v="-296723.06415987702"/>
    <n v="-7208"/>
    <n v="-3.4558532769497399"/>
  </r>
  <r>
    <s v="3852Providence Sacred Heart Medical Center583034587550, CASE MANAGEMENT"/>
    <m/>
    <x v="4"/>
    <s v="PHC"/>
    <s v="WA"/>
    <n v="3852"/>
    <x v="9"/>
    <n v="5830"/>
    <s v="Case Management / Utilization Management"/>
    <s v="Clinical Resource Management Services"/>
    <s v="34587550, CASE MANAGEMENT"/>
    <s v="Total Cases"/>
    <n v="47857"/>
    <n v="50916"/>
    <m/>
    <n v="1.39"/>
    <n v="0.91"/>
    <m/>
    <n v="9"/>
    <n v="0.71"/>
    <n v="0.72"/>
    <n v="0.73"/>
    <n v="0.87719999999999998"/>
    <n v="25.26"/>
    <n v="480645.29333483102"/>
    <n v="10893"/>
    <n v="5.2228333567376604"/>
  </r>
  <r>
    <s v="3852Providence Sacred Heart Medical Center3380Laboratory Services Anatomic Pathology"/>
    <m/>
    <x v="4"/>
    <s v="PHC"/>
    <s v="WA"/>
    <n v="3852"/>
    <x v="9"/>
    <n v="3380"/>
    <s v="Laboratory Services: Anatomic Pathology"/>
    <s v="Laboratory Services"/>
    <s v="Laboratory Services Anatomic Pathology"/>
    <s v="100 Billed Tests"/>
    <n v="1418.28"/>
    <n v="1547.24"/>
    <n v="0.75"/>
    <n v="27.89"/>
    <n v="28.19"/>
    <n v="0.375"/>
    <n v="9"/>
    <n v="24.29"/>
    <n v="27.41"/>
    <n v="33.83"/>
    <n v="0.8569"/>
    <n v="24.47"/>
    <n v="43964.192701002001"/>
    <n v="1545"/>
    <n v="0.74071043257048796"/>
  </r>
  <r>
    <s v="3852Providence Sacred Heart Medical Center429934587706, Cardiac Administration"/>
    <m/>
    <x v="4"/>
    <s v="PHC"/>
    <s v="WA"/>
    <n v="3852"/>
    <x v="9"/>
    <n v="4299"/>
    <s v="Cardiology and Vascular Administration and Support Services"/>
    <s v="Cardiology and Vascular Services Series"/>
    <s v="34587706, Cardiac Administration"/>
    <s v="APC Relative Weight Supported"/>
    <m/>
    <n v="802421.20974590501"/>
    <m/>
    <m/>
    <n v="0.01"/>
    <m/>
    <n v="9"/>
    <n v="0.02"/>
    <n v="0.02"/>
    <n v="0.02"/>
    <n v="0.87529999999999997"/>
    <n v="2.6"/>
    <n v="-549032.71909495897"/>
    <n v="-12912"/>
    <n v="-6.1907033686057202"/>
  </r>
  <r>
    <s v="3530Providence Newberg Hospital511257083400, PT_NON PT FOOD SVC"/>
    <m/>
    <x v="3"/>
    <s v="OR"/>
    <s v="OR"/>
    <n v="3530"/>
    <x v="17"/>
    <n v="5112"/>
    <s v="Patient and Nonpatient Food Services"/>
    <s v="Food and Nutrition Services"/>
    <s v="57083400, PT_NON PT FOOD SVC"/>
    <s v="ART: Total Meal Equivalents"/>
    <n v="272905.53999999998"/>
    <n v="278308.37"/>
    <n v="0.75"/>
    <n v="0.13"/>
    <n v="0.13"/>
    <n v="0.25"/>
    <n v="9"/>
    <n v="0.13"/>
    <n v="0.16"/>
    <n v="0.18"/>
    <n v="0.90229999999999999"/>
    <n v="19.5"/>
    <n v="-149594.05720800001"/>
    <n v="-8680"/>
    <n v="-4.1615642356095304"/>
  </r>
  <r>
    <s v="3854Providence Saint Mary Medical Center141032564400, IP REHAB"/>
    <m/>
    <x v="4"/>
    <s v="SER"/>
    <s v="WA"/>
    <n v="3854"/>
    <x v="8"/>
    <n v="1410"/>
    <s v="Acute Rehabilitation Unit"/>
    <s v="Nursing Services"/>
    <s v="32564400, IP REHAB"/>
    <s v="Equivalent Patient Day"/>
    <n v="1317"/>
    <n v="1478"/>
    <n v="0.625"/>
    <n v="6.42"/>
    <n v="4.4800000000000004"/>
    <m/>
    <n v="9"/>
    <n v="12.51"/>
    <n v="12.59"/>
    <n v="12.84"/>
    <n v="0.85550000000000004"/>
    <n v="3.72"/>
    <n v="-552850.50143072603"/>
    <n v="-13992"/>
    <n v="-6.70865521015934"/>
  </r>
  <r>
    <s v="3533Providence San Pedro Peninsula Hospital486177277800 SPH SPEECH THERAPY (U)"/>
    <m/>
    <x v="2"/>
    <s v="CA"/>
    <s v="CA"/>
    <n v="3533"/>
    <x v="14"/>
    <n v="4861"/>
    <s v="Speech Language Pathology: Inpatient and Outpatient"/>
    <s v="Rehabilitation Services"/>
    <s v="77277800 SPH SPEECH THERAPY (U)"/>
    <s v="1000 Baseline Billed Time Units (BTUs)"/>
    <n v="274.48"/>
    <n v="507.09"/>
    <n v="0.74370000000000003"/>
    <n v="29.49"/>
    <n v="16.22"/>
    <m/>
    <n v="9"/>
    <n v="19.61"/>
    <n v="19.73"/>
    <n v="22.87"/>
    <n v="0.96309999999999996"/>
    <n v="4.1100000000000003"/>
    <n v="-89739.969142600501"/>
    <n v="-1816"/>
    <n v="-0.87068306749083701"/>
  </r>
  <r>
    <s v="3533Providence San Pedro Peninsula Hospital482577277900, SPH OCCUPAT THERAPY"/>
    <m/>
    <x v="2"/>
    <s v="CA"/>
    <s v="CA"/>
    <n v="3533"/>
    <x v="14"/>
    <n v="4825"/>
    <s v="Occupational Therapy: Inpatient and Outpatient"/>
    <s v="Rehabilitation Services"/>
    <s v="77277900, SPH OCCUPAT THERAPY"/>
    <s v="1000 Baseline Billed Time Units (BTUs)"/>
    <n v="796.72"/>
    <n v="1042.6099999999999"/>
    <n v="0.625"/>
    <n v="29.52"/>
    <n v="26.98"/>
    <n v="0.85709999999999997"/>
    <n v="9"/>
    <n v="21.41"/>
    <n v="21.9"/>
    <n v="22.77"/>
    <n v="0.88580000000000003"/>
    <n v="15.27"/>
    <n v="242883.054786714"/>
    <n v="6072"/>
    <n v="2.9111379738771701"/>
  </r>
  <r>
    <s v="2719Providence St Joseph Medical Center486171077800 - 04861 - PSJMC SPEECH THERAPY (U)"/>
    <m/>
    <x v="2"/>
    <s v="CA"/>
    <s v="CA"/>
    <n v="2719"/>
    <x v="6"/>
    <n v="4861"/>
    <s v="Speech Language Pathology: Inpatient and Outpatient"/>
    <s v="Rehabilitation Services"/>
    <s v="71077800 - 04861 - PSJMC SPEECH THERAPY (U)"/>
    <s v="1000 Baseline Billed Time Units (BTUs)"/>
    <n v="358.15"/>
    <n v="528.88"/>
    <n v="0.41620000000000001"/>
    <n v="24.55"/>
    <n v="12.92"/>
    <m/>
    <n v="9"/>
    <n v="20.260000000000002"/>
    <n v="24.44"/>
    <n v="25.66"/>
    <n v="0.88319999999999999"/>
    <n v="3.72"/>
    <n v="-329664.56581505598"/>
    <n v="-6876"/>
    <n v="-3.2969348489680899"/>
  </r>
  <r>
    <s v="2719Providence St Joseph Medical Center411071077200 - 04110 - PSJMC RESPIRATORY THERAPY (incl NICU Resp)"/>
    <m/>
    <x v="2"/>
    <s v="CA"/>
    <s v="CA"/>
    <n v="2719"/>
    <x v="6"/>
    <n v="4110"/>
    <s v="Respiratory Care"/>
    <s v="Respiratory and Pulmonary Care Services"/>
    <s v="71077200 - 04110 - PSJMC RESPIRATORY THERAPY (incl NICU Resp)"/>
    <s v="CMI Weighted Total Facility Discharges"/>
    <n v="24808.68"/>
    <n v="26958.720000000001"/>
    <n v="0.625"/>
    <n v="4.29"/>
    <n v="2.89"/>
    <n v="0.375"/>
    <n v="9"/>
    <n v="2.82"/>
    <n v="2.87"/>
    <n v="3.16"/>
    <n v="0.88819999999999999"/>
    <n v="42.11"/>
    <n v="31289.144399479199"/>
    <n v="718"/>
    <n v="0.34441634927805598"/>
  </r>
  <r>
    <s v="3855Providence St Joseph Medical Center Polson162046561700, MEDICAL SURGICAL"/>
    <m/>
    <x v="4"/>
    <s v="WMR"/>
    <s v="MT"/>
    <n v="3855"/>
    <x v="30"/>
    <n v="1620"/>
    <s v="Medical/Surgical Unit with Swing Beds"/>
    <s v="Nursing Services"/>
    <s v="46561700, MEDICAL SURGICAL"/>
    <s v="Patient Days"/>
    <n v="1877"/>
    <n v="1366"/>
    <m/>
    <n v="22.94"/>
    <n v="30.25"/>
    <m/>
    <n v="9"/>
    <n v="13.35"/>
    <n v="13.96"/>
    <n v="14.55"/>
    <n v="0.92249999999999999"/>
    <n v="21.54"/>
    <n v="671657.19557033305"/>
    <n v="24255"/>
    <n v="11.628990289145399"/>
  </r>
  <r>
    <s v="3853Providence St Joseph's Hospital Chewelah3001Surgical Services Combined Without Anesthesia"/>
    <m/>
    <x v="4"/>
    <s v="PHC"/>
    <s v="WA"/>
    <n v="3853"/>
    <x v="20"/>
    <n v="3001"/>
    <s v="Surgical Services Combined Without Anesthesia"/>
    <s v="Surgical Services"/>
    <s v="Surgical Services Combined Without Anesthesia"/>
    <s v="100 Operating Room Minutes"/>
    <n v="950.37"/>
    <n v="863.52"/>
    <n v="1"/>
    <n v="8.6300000000000008"/>
    <n v="6.49"/>
    <m/>
    <n v="9"/>
    <n v="23.24"/>
    <n v="26.27"/>
    <n v="30.51"/>
    <n v="0.85089999999999999"/>
    <n v="3.16"/>
    <n v="-699421.06501671602"/>
    <n v="-20069"/>
    <n v="-9.6220969922767594"/>
  </r>
  <r>
    <s v="3848Providence St Patrick Hospital &amp; Health Science Ce441146077102, RETAIL PHARMACY (U)"/>
    <m/>
    <x v="4"/>
    <s v="WMR"/>
    <s v="MT"/>
    <n v="3848"/>
    <x v="21"/>
    <n v="4411"/>
    <s v="Pharmacy Retail/Prescription Services"/>
    <s v="Pharmacy Services"/>
    <s v="46077102, RETAIL PHARMACY (U)"/>
    <s v="Retail Prescriptions Processed"/>
    <n v="473306"/>
    <n v="66694"/>
    <m/>
    <n v="0.03"/>
    <n v="0.22"/>
    <n v="0.63260000000000005"/>
    <n v="9"/>
    <n v="0.2"/>
    <n v="0.2"/>
    <n v="0.21"/>
    <n v="0.88680000000000003"/>
    <n v="7.88"/>
    <n v="50532.891432685101"/>
    <n v="1394"/>
    <n v="0.66827371186170004"/>
  </r>
  <r>
    <s v="3524Providence St Peter Hospital487133078001, PT OT SLP Combined Inpatient"/>
    <m/>
    <x v="1"/>
    <s v="SWR"/>
    <s v="WA"/>
    <n v="3524"/>
    <x v="2"/>
    <n v="4871"/>
    <s v="PT/OT/SLP Combined: Inpatient"/>
    <s v="Rehabilitation Services"/>
    <s v="33078001, PT OT SLP Combined Inpatient"/>
    <s v="1000 Baseline Billed Time Units (BTUs)"/>
    <n v="2103.8200000000002"/>
    <n v="2321.2600000000002"/>
    <n v="0.875"/>
    <n v="20.47"/>
    <n v="19.72"/>
    <n v="0"/>
    <n v="9"/>
    <n v="21.81"/>
    <n v="22.44"/>
    <n v="24.52"/>
    <n v="0.89400000000000002"/>
    <n v="24.61"/>
    <n v="-283259.294466872"/>
    <n v="-6936"/>
    <n v="-3.3255534797034398"/>
  </r>
  <r>
    <s v="3524Providence St Peter Hospital487233077790, PEDIATRIC PT/OT/ST"/>
    <m/>
    <x v="1"/>
    <s v="SWR"/>
    <s v="WA"/>
    <n v="3524"/>
    <x v="2"/>
    <n v="4872"/>
    <s v="PT/OT/SLP Combined: Outpatient"/>
    <s v="Rehabilitation Services"/>
    <s v="33077790, PEDIATRIC PT/OT/ST"/>
    <s v="1000 Baseline Billed Time Units (BTUs)"/>
    <n v="367.5"/>
    <n v="408.69"/>
    <n v="0.5"/>
    <n v="25.21"/>
    <n v="25.68"/>
    <n v="0.1111"/>
    <n v="9"/>
    <n v="26.38"/>
    <n v="26.83"/>
    <n v="28.81"/>
    <n v="0.87790000000000001"/>
    <n v="5.75"/>
    <n v="-22613.791994426301"/>
    <n v="-497"/>
    <n v="-0.23849641424041099"/>
  </r>
  <r>
    <s v="3535Providence St Vincent Medical Center487253070822, PROVIDENCE PARK REHAB"/>
    <m/>
    <x v="3"/>
    <s v="OR"/>
    <s v="OR"/>
    <n v="3535"/>
    <x v="22"/>
    <n v="4872"/>
    <s v="PT/OT/SLP Combined: Outpatient"/>
    <s v="Rehabilitation Services"/>
    <s v="53070822, PROVIDENCE PARK REHAB"/>
    <s v="1000 Baseline Billed Time Units (BTUs)"/>
    <n v="693.3"/>
    <n v="1108.54"/>
    <n v="0.625"/>
    <n v="22.85"/>
    <n v="19.579999999999998"/>
    <n v="0.125"/>
    <n v="9"/>
    <n v="21.11"/>
    <n v="22.47"/>
    <n v="23.32"/>
    <n v="0.90349999999999997"/>
    <n v="11.55"/>
    <n v="-120896.78797725101"/>
    <n v="-3480"/>
    <n v="-1.6682646534566099"/>
  </r>
  <r>
    <s v="3535Providence St Vincent Medical Center127653061760, PERINATAL SPECIAL CARE UNIT - 3W"/>
    <m/>
    <x v="3"/>
    <s v="OR"/>
    <s v="OR"/>
    <n v="3535"/>
    <x v="22"/>
    <n v="1276"/>
    <s v="High Risk Obstetrical Unit"/>
    <s v="Nursing Services"/>
    <s v="53061760, PERINATAL SPECIAL CARE UNIT - 3W"/>
    <s v="Equivalent Patient Day"/>
    <n v="5920.33"/>
    <n v="6553"/>
    <n v="0.875"/>
    <n v="11.86"/>
    <n v="9.6300000000000008"/>
    <n v="0.25"/>
    <n v="9"/>
    <n v="9.6300000000000008"/>
    <n v="9.92"/>
    <n v="9.99"/>
    <n v="0.86470000000000002"/>
    <n v="35.090000000000003"/>
    <n v="-99365.747695924001"/>
    <n v="-1990"/>
    <n v="-0.95412938653741697"/>
  </r>
  <r>
    <s v="3535Providence St Vincent Medical Center487253078096, REHAB SERVICES-PEDIATRIC"/>
    <m/>
    <x v="3"/>
    <s v="OR"/>
    <s v="OR"/>
    <n v="3535"/>
    <x v="22"/>
    <n v="4872"/>
    <s v="PT/OT/SLP Combined: Outpatient"/>
    <s v="Rehabilitation Services"/>
    <s v="53078096, REHAB SERVICES-PEDIATRIC"/>
    <s v="1000 Baseline Billed Time Units (BTUs)"/>
    <n v="825.11"/>
    <n v="125.16"/>
    <n v="0.5"/>
    <n v="24.09"/>
    <n v="47.36"/>
    <n v="0.5"/>
    <n v="9"/>
    <n v="28.46"/>
    <n v="43.57"/>
    <n v="47.36"/>
    <n v="0.90680000000000005"/>
    <n v="3.14"/>
    <n v="17005.4583542816"/>
    <n v="535"/>
    <n v="0.25670046576537597"/>
  </r>
  <r>
    <s v="3535Providence St Vincent Medical Center191053087200, NURSING SERVICE ADMIN"/>
    <m/>
    <x v="3"/>
    <s v="OR"/>
    <s v="OR"/>
    <n v="3535"/>
    <x v="22"/>
    <n v="1910"/>
    <s v="Nursing Administration"/>
    <s v="Nursing Services"/>
    <s v="53087200, NURSING SERVICE ADMIN"/>
    <s v="Nursing Division Employees"/>
    <n v="1287"/>
    <n v="1253"/>
    <n v="0.375"/>
    <n v="29.25"/>
    <n v="31.22"/>
    <n v="0.375"/>
    <n v="9"/>
    <n v="27.98"/>
    <n v="30.57"/>
    <n v="32.61"/>
    <n v="0.878"/>
    <n v="21.42"/>
    <n v="53950.355353075043"/>
    <n v="927.61958997721888"/>
    <n v="0.4447521647299319"/>
  </r>
  <r>
    <s v="3535Providence St Vincent Medical Center425053075701, ARRHYTHMIA SERVICES"/>
    <m/>
    <x v="3"/>
    <s v="OR"/>
    <s v="OR"/>
    <n v="3535"/>
    <x v="22"/>
    <n v="4250"/>
    <s v="Electrophysiology Laboratory"/>
    <s v="Cardiology and Vascular Services Series"/>
    <s v="53075701, ARRHYTHMIA SERVICES"/>
    <s v="Procedure Minutes"/>
    <n v="192097"/>
    <n v="209510"/>
    <n v="0.75"/>
    <n v="0.13"/>
    <n v="0.13"/>
    <n v="0.625"/>
    <n v="9"/>
    <n v="0.11"/>
    <n v="0.11"/>
    <n v="0.12"/>
    <n v="0.86729999999999996"/>
    <n v="15.2"/>
    <n v="249030.859168033"/>
    <n v="5130"/>
    <n v="2.4597997440041302"/>
  </r>
  <r>
    <s v="3535Providence St Vincent Medical Center431053004310, EEG (U,N)"/>
    <m/>
    <x v="3"/>
    <s v="OR"/>
    <s v="OR"/>
    <n v="3535"/>
    <x v="22"/>
    <n v="4310"/>
    <s v="Neurodiagnostic Laboratory (EEG)"/>
    <s v="Neurodiagnostic Services"/>
    <s v="53004310, EEG (U,N)"/>
    <s v="APC Relative Weight"/>
    <n v="5544.66"/>
    <n v="1"/>
    <m/>
    <n v="1.05"/>
    <n v="5483.51"/>
    <m/>
    <n v="9"/>
    <n v="0.55000000000000004"/>
    <n v="0.6"/>
    <n v="0.64"/>
    <n v="0.9113"/>
    <n v="2.89"/>
    <n v="207195.835617073"/>
    <n v="6027"/>
    <n v="2.88968432656289"/>
  </r>
  <r>
    <s v="4283Providence St. John's Health Center307173583810, SJHC CNTRL STERILE PROCESSING"/>
    <m/>
    <x v="2"/>
    <s v="CA"/>
    <s v="CA"/>
    <n v="4283"/>
    <x v="23"/>
    <n v="3071"/>
    <s v="Central Sterile Services - Reprocessing Only"/>
    <s v="Surgical Services"/>
    <s v="73583810, SJHC CNTRL STERILE PROCESSING"/>
    <s v="100 Items Processed"/>
    <n v="226.1"/>
    <n v="233.34"/>
    <n v="0.375"/>
    <n v="39.380000000000003"/>
    <n v="44.03"/>
    <n v="0.875"/>
    <n v="9"/>
    <n v="18.97"/>
    <n v="21.53"/>
    <n v="28.91"/>
    <n v="0.91830000000000001"/>
    <n v="21.52"/>
    <n v="39505.4691562058"/>
    <n v="5750.2937033649259"/>
    <n v="11.028036061494801"/>
  </r>
  <r>
    <s v="3849Providence Willamette Falls Medical Center422053575600, 53575910 EKG &amp; ECHO"/>
    <m/>
    <x v="3"/>
    <s v="OR"/>
    <s v="OR"/>
    <n v="3849"/>
    <x v="7"/>
    <n v="4220"/>
    <s v="Combined Noninvasive Cardiology and Vascular Services"/>
    <s v="Cardiology and Vascular Services Series"/>
    <s v="53575600, 53575910 EKG &amp; ECHO"/>
    <s v="APC Relative Weight"/>
    <n v="15667.42"/>
    <n v="33423"/>
    <n v="0.59050000000000002"/>
    <n v="0.35"/>
    <n v="0.21"/>
    <m/>
    <n v="9"/>
    <n v="0.31"/>
    <n v="0.41"/>
    <n v="0.44"/>
    <n v="0.91839999999999999"/>
    <n v="3.72"/>
    <n v="-235606.34165990801"/>
    <n v="-7162"/>
    <n v="-3.4339445475653898"/>
  </r>
  <r>
    <s v="3849Providence Willamette Falls Medical Center101153560100, ICU"/>
    <m/>
    <x v="3"/>
    <s v="OR"/>
    <s v="OR"/>
    <n v="3849"/>
    <x v="7"/>
    <n v="1011"/>
    <s v="Medical Intensive Care Unit"/>
    <s v="Nursing Services"/>
    <s v="53560100, ICU"/>
    <s v="Equivalent Patient Day"/>
    <n v="1095.1199999999999"/>
    <n v="1024.08"/>
    <n v="0.625"/>
    <n v="24.08"/>
    <n v="24.64"/>
    <n v="0.625"/>
    <n v="9"/>
    <n v="20.149999999999999"/>
    <n v="20.39"/>
    <n v="24.18"/>
    <n v="0.83989999999999998"/>
    <n v="14.45"/>
    <n v="286051.94267386798"/>
    <n v="5277"/>
    <n v="2.53012536144462"/>
  </r>
  <r>
    <s v="3930Swedish Ballard487121577708 IP REHAB SERVICES"/>
    <m/>
    <x v="1"/>
    <s v="SHS"/>
    <s v="WA"/>
    <n v="3930"/>
    <x v="24"/>
    <n v="4871"/>
    <s v="PT/OT/SLP Combined: Inpatient"/>
    <s v="Rehabilitation Services"/>
    <s v="21577708 IP REHAB SERVICES"/>
    <s v="1000 Baseline Billed Time Units (BTUs)"/>
    <n v="236.03"/>
    <n v="231.77"/>
    <n v="0.5"/>
    <n v="26.1"/>
    <n v="26.4"/>
    <n v="8.3299999999999999E-2"/>
    <n v="9"/>
    <n v="29.07"/>
    <n v="34.24"/>
    <n v="44.46"/>
    <n v="0.89959999999999996"/>
    <n v="3.27"/>
    <n v="-91783.456063741498"/>
    <n v="-2001"/>
    <n v="-0.95950642343308301"/>
  </r>
  <r>
    <s v="3928Swedish Cherry Hill102222060300 CRITICAL CARE"/>
    <m/>
    <x v="1"/>
    <s v="SHS"/>
    <s v="WA"/>
    <n v="3928"/>
    <x v="25"/>
    <n v="1022"/>
    <s v="Cardiac Intensive Care Unit"/>
    <s v="Nursing Services"/>
    <s v="22060300 CRITICAL CARE"/>
    <s v="Equivalent Patient Day"/>
    <n v="4393.42"/>
    <n v="4734"/>
    <n v="1"/>
    <n v="21.95"/>
    <n v="20.84"/>
    <n v="0.25"/>
    <n v="9"/>
    <n v="20.84"/>
    <n v="20.94"/>
    <n v="21.69"/>
    <n v="0.89759999999999995"/>
    <n v="52.84"/>
    <n v="-14578.134817744"/>
    <n v="-231"/>
    <n v="-0.11052200379513299"/>
  </r>
  <r>
    <s v="3928Swedish Cherry Hill422422075600 ECHOCARDIOLOGY"/>
    <m/>
    <x v="1"/>
    <s v="SHS"/>
    <s v="WA"/>
    <n v="3928"/>
    <x v="25"/>
    <n v="4224"/>
    <s v="Echocardiography"/>
    <s v="Cardiology and Vascular Services Series"/>
    <s v="22075600 ECHOCARDIOLOGY"/>
    <s v="APC Relative Weight"/>
    <m/>
    <n v="26089.45"/>
    <n v="0.875"/>
    <m/>
    <n v="0.35"/>
    <n v="0.375"/>
    <n v="9"/>
    <n v="0.28000000000000003"/>
    <n v="0.34"/>
    <n v="0.38"/>
    <n v="0.91510000000000002"/>
    <n v="4.79"/>
    <n v="15276.212965811899"/>
    <n v="297"/>
    <n v="0.142456704583003"/>
  </r>
  <r>
    <s v="3929Swedish Edmonds422423075600 ECHOCARDIOLOGY"/>
    <m/>
    <x v="1"/>
    <s v="SHS"/>
    <s v="WA"/>
    <n v="3929"/>
    <x v="31"/>
    <n v="4224"/>
    <s v="Echocardiography"/>
    <s v="Cardiology and Vascular Services Series"/>
    <s v="23075600 ECHOCARDIOLOGY"/>
    <s v="APC Relative Weight"/>
    <m/>
    <n v="13528.49"/>
    <n v="0.375"/>
    <m/>
    <n v="0.39"/>
    <n v="0.57140000000000002"/>
    <n v="9"/>
    <n v="0.33"/>
    <n v="0.36"/>
    <n v="0.39"/>
    <n v="0.86"/>
    <n v="2.96"/>
    <n v="23709.068161999701"/>
    <n v="511"/>
    <n v="0.24480182326830199"/>
  </r>
  <r>
    <s v="3927Swedish First Hill422421075600 ECHOCARDIOLOGY"/>
    <m/>
    <x v="1"/>
    <s v="SHS"/>
    <s v="WA"/>
    <n v="3927"/>
    <x v="26"/>
    <n v="4224"/>
    <s v="Echocardiography"/>
    <s v="Cardiology and Vascular Services Series"/>
    <s v="21075600 ECHOCARDIOLOGY"/>
    <s v="APC Relative Weight"/>
    <m/>
    <n v="21386.55"/>
    <n v="0.625"/>
    <m/>
    <n v="0.28000000000000003"/>
    <n v="0.25"/>
    <n v="9"/>
    <n v="0.28000000000000003"/>
    <n v="0.34"/>
    <n v="0.38"/>
    <n v="0.88019999999999998"/>
    <n v="3.3"/>
    <n v="-83483.187134540902"/>
    <n v="-1378"/>
    <n v="-0.66083219197143395"/>
  </r>
  <r>
    <s v="3927Swedish First Hill121221061705 NEPHROLOGY SURGICAL"/>
    <m/>
    <x v="1"/>
    <s v="SHS"/>
    <s v="WA"/>
    <n v="3927"/>
    <x v="26"/>
    <n v="1212"/>
    <s v="General Surgical Acute Care Unit"/>
    <s v="Nursing Services"/>
    <s v="21061705 NEPHROLOGY SURGICAL"/>
    <s v="Equivalent Patient Day"/>
    <n v="8372.58"/>
    <n v="8614"/>
    <n v="0.5"/>
    <n v="9.85"/>
    <n v="10.28"/>
    <n v="0.4"/>
    <n v="9"/>
    <n v="10.039999999999999"/>
    <n v="10.18"/>
    <n v="10.69"/>
    <n v="0.88890000000000002"/>
    <n v="47.91"/>
    <n v="52134.281435967001"/>
    <n v="1275"/>
    <n v="0.61144226519793698"/>
  </r>
  <r>
    <s v="3927Swedish First Hill226421074001 PERINATAL CLINIC"/>
    <m/>
    <x v="1"/>
    <s v="SHS"/>
    <s v="WA"/>
    <n v="3927"/>
    <x v="26"/>
    <n v="2264"/>
    <s v="Obstetrics Clinic"/>
    <s v="Ambulatory Care Clinics"/>
    <s v="21074001 PERINATAL CLINIC"/>
    <s v="Patient Visits"/>
    <n v="9839"/>
    <n v="10467"/>
    <n v="0.5"/>
    <n v="3.2"/>
    <n v="2.79"/>
    <n v="0.875"/>
    <n v="9"/>
    <n v="1.75"/>
    <n v="2.16"/>
    <n v="2.46"/>
    <n v="0.93220000000000003"/>
    <n v="15.04"/>
    <n v="299567.98987874499"/>
    <n v="7116"/>
    <n v="3.4117319180763599"/>
  </r>
  <r>
    <s v="3927Swedish First Hill625021070720 DIABETES EDUCATION CENTER"/>
    <m/>
    <x v="1"/>
    <s v="SHS"/>
    <s v="WA"/>
    <n v="3927"/>
    <x v="26"/>
    <n v="6250"/>
    <s v="Patient and Family Education"/>
    <s v="Educational Services"/>
    <s v="21070720 DIABETES EDUCATION CENTER"/>
    <s v="Instructional Hours: Patient and Family"/>
    <m/>
    <n v="500"/>
    <n v="0.5"/>
    <m/>
    <n v="20.61"/>
    <n v="1"/>
    <n v="9"/>
    <n v="3.06"/>
    <n v="4.18"/>
    <n v="5.36"/>
    <n v="0.90880000000000005"/>
    <n v="5.45"/>
    <n v="428226.49280641403"/>
    <n v="9067"/>
    <n v="4.3473793376358296"/>
  </r>
  <r>
    <s v="3932Swedish Health Services Corp (S)621020582901 CLINICAL EDUCATION/20582903 ACADEMIC AFFILIATIONS CLIN ED"/>
    <m/>
    <x v="1"/>
    <s v="SHS"/>
    <s v="WA"/>
    <n v="3932"/>
    <x v="27"/>
    <n v="6210"/>
    <s v="Clinical Staff Education"/>
    <s v="Educational Services"/>
    <s v="20582901 CLINICAL EDUCATION/20582903 ACADEMIC AFFILIATIONS CLIN ED"/>
    <s v="Adjusted Discharges"/>
    <n v="105431.92"/>
    <n v="100786.02"/>
    <n v="0.75"/>
    <n v="0.41"/>
    <n v="0.6"/>
    <n v="0.85709999999999997"/>
    <n v="9"/>
    <n v="0.3"/>
    <n v="0.34"/>
    <n v="0.42"/>
    <n v="0.91049999999999998"/>
    <n v="31.86"/>
    <n v="1507940.8834460899"/>
    <n v="28815"/>
    <n v="13.815393276203601"/>
  </r>
  <r>
    <s v="3931Swedish Issaquah422422575600 ECHOCARDIOLOGY"/>
    <m/>
    <x v="1"/>
    <s v="SHS"/>
    <s v="WA"/>
    <n v="3931"/>
    <x v="28"/>
    <n v="4224"/>
    <s v="Echocardiography"/>
    <s v="Cardiology and Vascular Services Series"/>
    <s v="22575600 ECHOCARDIOLOGY"/>
    <s v="APC Relative Weight"/>
    <m/>
    <n v="16913.16"/>
    <n v="0.375"/>
    <m/>
    <n v="0.43"/>
    <n v="0.75"/>
    <n v="9"/>
    <n v="0.28000000000000003"/>
    <n v="0.34"/>
    <n v="0.38"/>
    <n v="0.87829999999999997"/>
    <n v="3.97"/>
    <n v="95301.624065479205"/>
    <n v="1733"/>
    <n v="0.83087253633146096"/>
  </r>
  <r>
    <s v="4002Swedish Redmond Campus591024084200, REDMOND SECURITY"/>
    <m/>
    <x v="1"/>
    <s v="SHS"/>
    <s v="WA"/>
    <n v="4002"/>
    <x v="32"/>
    <n v="5910"/>
    <s v="Security"/>
    <s v="Other Support Services"/>
    <s v="24084200, REDMOND SECURITY"/>
    <s v="1000 Gross Square Feet Patrolled"/>
    <n v="196.37"/>
    <n v="196.37"/>
    <n v="0.5"/>
    <n v="48.29"/>
    <n v="48.05"/>
    <n v="0.83330000000000004"/>
    <n v="9"/>
    <n v="38.51"/>
    <n v="40.159999999999997"/>
    <n v="40.869999999999997"/>
    <n v="0.91259999999999997"/>
    <n v="4.97"/>
    <n v="39727.662578982301"/>
    <n v="1724"/>
    <n v="0.82679388792898001"/>
  </r>
  <r>
    <s v="3531Providence Medford Medical Center584059083600, CARE MANAGEMENT"/>
    <m/>
    <x v="3"/>
    <s v="OR"/>
    <s v="OR"/>
    <n v="3531"/>
    <x v="29"/>
    <n v="5840"/>
    <s v="Case Management"/>
    <s v="Clinical Resource Management Services"/>
    <s v="59083600, CARE MANAGEMENT"/>
    <s v="Cases Managed"/>
    <m/>
    <n v="6508"/>
    <n v="0.375"/>
    <m/>
    <n v="1.49"/>
    <n v="0.625"/>
    <n v="9"/>
    <n v="0.37"/>
    <n v="1"/>
    <n v="1.45"/>
    <n v="0.92049999999999998"/>
    <n v="5.05"/>
    <n v="144317.99327080499"/>
    <n v="3463"/>
    <n v="1.6602168989802699"/>
  </r>
  <r>
    <s v="3531Providence Medford Medical Center123959061721, NEUROSURGERY"/>
    <m/>
    <x v="3"/>
    <s v="OR"/>
    <s v="OR"/>
    <n v="3531"/>
    <x v="29"/>
    <n v="1239"/>
    <s v="Orthopedic/Neurology Acute Care Unit"/>
    <s v="Nursing Services"/>
    <s v="59061721, NEUROSURGERY"/>
    <s v="Equivalent Patient Day"/>
    <n v="3547.84"/>
    <n v="3583"/>
    <n v="0.125"/>
    <n v="12.59"/>
    <n v="11.9"/>
    <n v="0.5"/>
    <n v="9"/>
    <n v="11.41"/>
    <n v="11.49"/>
    <n v="11.9"/>
    <n v="0.92090000000000005"/>
    <n v="22.25"/>
    <n v="64080.785394729901"/>
    <n v="1702"/>
    <n v="0.81603472675911304"/>
  </r>
  <r>
    <s v="3531Providence Medford Medical Center413059077200, RESPIRATORY THERAPY"/>
    <m/>
    <x v="3"/>
    <s v="OR"/>
    <s v="OR"/>
    <n v="3531"/>
    <x v="29"/>
    <n v="4130"/>
    <s v="Respiratory Care and Pulmonary Diagnostics Combined"/>
    <s v="Respiratory and Pulmonary Care Services"/>
    <s v="59077200, RESPIRATORY THERAPY"/>
    <s v="CMI Weighted Total Facility Discharges"/>
    <n v="9876.82"/>
    <n v="10243.14"/>
    <n v="0.5"/>
    <n v="3.02"/>
    <n v="3.01"/>
    <n v="0.42859999999999998"/>
    <n v="9"/>
    <n v="2.84"/>
    <n v="2.96"/>
    <n v="3.16"/>
    <n v="0.89329999999999998"/>
    <n v="16.59"/>
    <n v="20759.590429720301"/>
    <n v="661"/>
    <n v="0.31669948628719202"/>
  </r>
  <r>
    <s v="3531Providence Medford Medical Center426059078710, NON-INVASIVE LAB"/>
    <m/>
    <x v="3"/>
    <s v="OR"/>
    <s v="OR"/>
    <n v="3531"/>
    <x v="29"/>
    <n v="4260"/>
    <s v="Vascular Laboratory"/>
    <s v="Cardiology and Vascular Services Series"/>
    <s v="59078710, NON-INVASIVE LAB"/>
    <s v="APC Relative Weight"/>
    <n v="10721.77"/>
    <n v="10888.08"/>
    <n v="0.5"/>
    <n v="0.67"/>
    <n v="0.67"/>
    <n v="0.1429"/>
    <n v="9"/>
    <n v="0.67"/>
    <n v="0.72"/>
    <n v="0.79"/>
    <n v="0.90529999999999999"/>
    <n v="3.86"/>
    <n v="-30710.783151380299"/>
    <n v="-609"/>
    <n v="-0.29182880911815301"/>
  </r>
  <r>
    <s v="3531Providence Medford Medical Center121159061712, MEDICAL UNIT WEST"/>
    <m/>
    <x v="3"/>
    <s v="OR"/>
    <s v="OR"/>
    <n v="3531"/>
    <x v="29"/>
    <n v="1211"/>
    <s v="General Medical Acute Care Unit"/>
    <s v="Nursing Services"/>
    <s v="59061712, MEDICAL UNIT WEST"/>
    <s v="Equivalent Patient Day"/>
    <n v="933"/>
    <n v="762"/>
    <n v="0"/>
    <n v="12.49"/>
    <n v="11.82"/>
    <n v="0"/>
    <n v="9"/>
    <n v="13.01"/>
    <n v="13.44"/>
    <n v="13.67"/>
    <n v="0.98550000000000004"/>
    <n v="4.3899999999999997"/>
    <n v="-53164.794999349702"/>
    <n v="-1236"/>
    <n v="-0.59248236578589197"/>
  </r>
  <r>
    <s v="2947Providence Alaska Medical Center413019877200, RESPIRATORY THERAPY"/>
    <m/>
    <x v="0"/>
    <s v="AK"/>
    <s v="AK"/>
    <n v="2947"/>
    <x v="0"/>
    <n v="4130"/>
    <s v="Respiratory Care and Pulmonary Diagnostics Combined"/>
    <s v="Respiratory and Pulmonary Care Services"/>
    <s v="19877200, RESPIRATORY THERAPY"/>
    <s v="Clinical Activity Time Standard (CATS)"/>
    <n v="111122.25"/>
    <n v="120859.52"/>
    <n v="0.6"/>
    <n v="0.83"/>
    <n v="0.79"/>
    <n v="0.33329999999999999"/>
    <n v="10"/>
    <n v="0.78"/>
    <n v="0.82"/>
    <n v="1.02"/>
    <n v="0.91"/>
    <n v="50.39"/>
    <n v="-149389.04392199733"/>
    <n v="-3807.4537593406562"/>
    <n v="-1.8254952794686972"/>
  </r>
  <r>
    <s v="2947Providence Alaska Medical Center1810VASCULAR ACCESS"/>
    <m/>
    <x v="0"/>
    <s v="AK"/>
    <s v="AK"/>
    <n v="2947"/>
    <x v="0"/>
    <n v="1810"/>
    <s v="IV Team (Vascular Access)"/>
    <s v="Nursing Services"/>
    <s v="VASCULAR ACCESS"/>
    <s v="100 Procedures"/>
    <n v="12.69"/>
    <n v="14"/>
    <n v="0.55559999999999998"/>
    <n v="841.91"/>
    <n v="748.21428571428567"/>
    <n v="0.66669999999999996"/>
    <n v="10"/>
    <n v="632.1"/>
    <n v="732.49"/>
    <n v="905.31"/>
    <n v="0.88590000000000002"/>
    <n v="5.68"/>
    <n v="12524.05011852349"/>
    <n v="248.49305790721209"/>
    <n v="0.11914075202555105"/>
  </r>
  <r>
    <s v="3535Providence St Vincent Medical Center303053074300, SHORT STAY SURGICAL UNIT"/>
    <m/>
    <x v="3"/>
    <s v="OR"/>
    <s v="OR"/>
    <n v="3535"/>
    <x v="22"/>
    <n v="3030"/>
    <s v="Surgery Pre Op and Post Recovery Only"/>
    <s v="Surgical Services"/>
    <s v="53074300, SHORT STAY SURGICAL UNIT"/>
    <s v="100 Patient Observation Minutes"/>
    <n v="38283"/>
    <n v="37938"/>
    <n v="1"/>
    <n v="1.71"/>
    <n v="1.6237751067531234"/>
    <n v="0.1111"/>
    <n v="10"/>
    <n v="1.89"/>
    <n v="2.04"/>
    <n v="2.2000000000000002"/>
    <n v="0.88190000000000002"/>
    <n v="36.67"/>
    <n v="-883450.63113731751"/>
    <n v="-17905.363419888883"/>
    <n v="-8.5848220836596276"/>
  </r>
  <r>
    <s v="2947Providence Alaska Medical Center3060Anesthesia"/>
    <m/>
    <x v="0"/>
    <s v="AK"/>
    <s v="AK"/>
    <n v="2947"/>
    <x v="0"/>
    <n v="3060"/>
    <s v="Anesthesia"/>
    <s v="Surgical Services"/>
    <s v="Anesthesia"/>
    <s v="100 Minutes Patient Enter To Leave"/>
    <n v="14452.93"/>
    <n v="14682.58"/>
    <n v="0.55559999999999998"/>
    <n v="0.95"/>
    <n v="1.1200000000000001"/>
    <n v="0.55559999999999998"/>
    <n v="10"/>
    <n v="0.74"/>
    <n v="0.91"/>
    <n v="1.03"/>
    <n v="0.89439999999999997"/>
    <n v="8.8800000000000008"/>
    <n v="78629.074494411703"/>
    <n v="3582"/>
    <n v="1.7175741901386099"/>
  </r>
  <r>
    <s v="2947Providence Alaska Medical Center5120Cafeteria"/>
    <m/>
    <x v="0"/>
    <s v="AK"/>
    <s v="AK"/>
    <n v="2947"/>
    <x v="0"/>
    <n v="5120"/>
    <s v="Nonpatient Food Services"/>
    <s v="Food and Nutrition Services"/>
    <s v="Cafeteria"/>
    <s v="ART: Total Non Patient Meal Equivalents"/>
    <n v="1136684.22"/>
    <n v="1163020.44"/>
    <n v="0.66669999999999996"/>
    <n v="0.06"/>
    <n v="0.06"/>
    <n v="0.55559999999999998"/>
    <n v="10"/>
    <n v="0.05"/>
    <n v="0.05"/>
    <n v="0.06"/>
    <n v="0.88790000000000002"/>
    <n v="38.090000000000003"/>
    <n v="283122.88040540001"/>
    <n v="13952"/>
    <n v="6.6891463556618103"/>
  </r>
  <r>
    <s v="2947Providence Alaska Medical Center4230Cardiac Cath Lab"/>
    <m/>
    <x v="0"/>
    <s v="AK"/>
    <s v="AK"/>
    <n v="2947"/>
    <x v="0"/>
    <n v="4230"/>
    <s v="Combined Invasive Cardiology and Vascular Services"/>
    <s v="Cardiology and Vascular Services Series"/>
    <s v="Cardiac Cath Lab"/>
    <s v="Total Procedures"/>
    <n v="6992"/>
    <n v="8350"/>
    <n v="0.75"/>
    <n v="7.73"/>
    <n v="6.61"/>
    <n v="0.55559999999999998"/>
    <n v="10"/>
    <n v="4.47"/>
    <n v="4.8"/>
    <n v="6.27"/>
    <n v="0.89490000000000003"/>
    <n v="29.64"/>
    <n v="811829.19320594508"/>
    <n v="16888.479159682651"/>
    <n v="8.0972326736136147"/>
  </r>
  <r>
    <s v="2947Providence Alaska Medical Center12115N Medical Oncology"/>
    <m/>
    <x v="0"/>
    <s v="AK"/>
    <s v="AK"/>
    <n v="2947"/>
    <x v="0"/>
    <n v="1211"/>
    <s v="General Medical Acute Care Unit"/>
    <s v="Nursing Services"/>
    <s v="5N Medical Oncology"/>
    <s v="Equivalent Patient Day"/>
    <n v="14914"/>
    <n v="15351"/>
    <n v="0.66669999999999996"/>
    <n v="9.7100000000000009"/>
    <n v="10.039999999999999"/>
    <n v="0.5"/>
    <n v="10"/>
    <n v="8.48"/>
    <n v="9.0500000000000007"/>
    <n v="10.039999999999999"/>
    <n v="0.89149999999999996"/>
    <n v="83.11"/>
    <n v="647926.21811541799"/>
    <n v="17508"/>
    <n v="8.3942668653255605"/>
  </r>
  <r>
    <s v="2947Providence Alaska Medical Center1260Pediatrics"/>
    <m/>
    <x v="0"/>
    <s v="AK"/>
    <s v="AK"/>
    <n v="2947"/>
    <x v="0"/>
    <n v="1260"/>
    <s v="Pediatric Acute Care Unit"/>
    <s v="Nursing Services"/>
    <s v="Pediatrics"/>
    <s v="Equivalent Patient Day"/>
    <n v="4491"/>
    <n v="4964"/>
    <n v="0.55559999999999998"/>
    <n v="16.88"/>
    <n v="16.379029008863821"/>
    <n v="0.88890000000000002"/>
    <n v="10"/>
    <n v="10.220000000000001"/>
    <n v="11.31"/>
    <n v="12.3"/>
    <n v="0.88890000000000002"/>
    <n v="43.82"/>
    <n v="1010299.6235797053"/>
    <n v="28307.638654516821"/>
    <n v="13.572183407336984"/>
  </r>
  <r>
    <s v="3525Providence Centralia Hospital444034077110 OIS Pharmacy"/>
    <m/>
    <x v="1"/>
    <s v="SWR"/>
    <s v="WA"/>
    <n v="3525"/>
    <x v="10"/>
    <n v="4440"/>
    <s v="Pharmacy Ambulatory/Clinic Services"/>
    <s v="Pharmacy Services"/>
    <s v="34077110 OIS Pharmacy"/>
    <s v="Doses Dispensed"/>
    <n v="75061"/>
    <n v="83000"/>
    <n v="0.55559999999999998"/>
    <n v="0.14000000000000001"/>
    <n v="0.13"/>
    <n v="0.66669999999999996"/>
    <n v="10"/>
    <n v="0.04"/>
    <n v="0.05"/>
    <n v="7.0000000000000007E-2"/>
    <n v="0.89419999999999999"/>
    <n v="5.97"/>
    <n v="331659.044725549"/>
    <n v="7811"/>
    <n v="3.7448382288626001"/>
  </r>
  <r>
    <s v="3523Providence Everett Medical Center466531674291 Pre Admit-Phone Triage Clinic"/>
    <m/>
    <x v="1"/>
    <s v="NWR"/>
    <s v="WA"/>
    <n v="3523"/>
    <x v="1"/>
    <n v="4665"/>
    <s v="Pre Admission / Pre Procedure Testing"/>
    <s v="Other Clinical Support Services"/>
    <s v="31674291 Pre Admit-Phone Triage Clinic"/>
    <s v="Patient Visits"/>
    <n v="17601"/>
    <n v="18811"/>
    <n v="0.44440000000000002"/>
    <n v="0.61"/>
    <n v="0.57999999999999996"/>
    <n v="0"/>
    <n v="10"/>
    <n v="1.08"/>
    <n v="1.24"/>
    <n v="1.37"/>
    <n v="0.85929999999999995"/>
    <n v="6.14"/>
    <n v="-740554.462806931"/>
    <n v="-14339"/>
    <n v="-6.8747825292857598"/>
  </r>
  <r>
    <s v="3523Providence Everett Medical Center136031664200, Chemical Dependency"/>
    <m/>
    <x v="1"/>
    <s v="NWR"/>
    <s v="WA"/>
    <n v="3523"/>
    <x v="1"/>
    <n v="1360"/>
    <s v="Chemical Dependency Unit"/>
    <s v="Nursing Services"/>
    <s v="31664200, Chemical Dependency"/>
    <s v="Patient Days"/>
    <n v="4297"/>
    <n v="3978"/>
    <n v="0.55559999999999998"/>
    <n v="4.9400000000000004"/>
    <n v="5.46"/>
    <n v="0.125"/>
    <n v="10"/>
    <n v="6.44"/>
    <n v="6.78"/>
    <n v="7.45"/>
    <n v="0.90990000000000004"/>
    <n v="11.48"/>
    <n v="-274788.44513581001"/>
    <n v="-5698"/>
    <n v="-2.7317960525033498"/>
  </r>
  <r>
    <s v="3523Providence Everett Medical Center621031682901 Clinical Education"/>
    <m/>
    <x v="1"/>
    <s v="NWR"/>
    <s v="WA"/>
    <n v="3523"/>
    <x v="1"/>
    <n v="6210"/>
    <s v="Clinical Staff Education"/>
    <s v="Educational Services"/>
    <s v="31682901 Clinical Education"/>
    <s v="Adjusted Discharges"/>
    <n v="50983.06"/>
    <n v="46998.89"/>
    <n v="0.77780000000000005"/>
    <n v="0.27"/>
    <n v="0.38"/>
    <n v="0.375"/>
    <n v="10"/>
    <n v="0.36"/>
    <n v="0.38"/>
    <n v="0.43"/>
    <n v="0.88739999999999997"/>
    <n v="9.76"/>
    <n v="11044.325390767201"/>
    <n v="231"/>
    <n v="0.110608389059346"/>
  </r>
  <r>
    <s v="2687Providence Holy Cross Medical Center112272061510, 3A/3B TELE NEURO"/>
    <m/>
    <x v="2"/>
    <s v="CA"/>
    <s v="CA"/>
    <n v="2687"/>
    <x v="4"/>
    <n v="1122"/>
    <s v="Cardiac Intermediate Care Unit"/>
    <s v="Nursing Services"/>
    <s v="72061510, 3A/3B TELE NEURO"/>
    <s v="Equivalent Patient Day"/>
    <n v="6019"/>
    <n v="12884"/>
    <n v="1"/>
    <n v="11.91"/>
    <n v="11.59"/>
    <n v="0.22220000000000001"/>
    <n v="10"/>
    <n v="11.8"/>
    <n v="12.49"/>
    <n v="13.84"/>
    <n v="0.90229999999999999"/>
    <n v="79.55"/>
    <n v="-517130.60401196964"/>
    <n v="-12851.158151390895"/>
    <n v="-6.1615563846147081"/>
  </r>
  <r>
    <s v="3851Providence Holy Family Hospital121436561710, MEDICAL ACUTE"/>
    <m/>
    <x v="4"/>
    <s v="PHC"/>
    <s v="WA"/>
    <n v="3851"/>
    <x v="11"/>
    <n v="1214"/>
    <s v="Medical/Surgical/Oncology Acute Care Unit"/>
    <s v="Nursing Services"/>
    <s v="36561710, MEDICAL ACUTE"/>
    <s v="Equivalent Patient Day"/>
    <n v="11747.83"/>
    <n v="12130"/>
    <n v="0.88890000000000002"/>
    <n v="8.6999999999999993"/>
    <n v="9.02"/>
    <n v="0.1111"/>
    <n v="10"/>
    <n v="9.74"/>
    <n v="9.84"/>
    <n v="10.039999999999999"/>
    <n v="0.88919999999999999"/>
    <n v="59.18"/>
    <n v="-392414.12981327198"/>
    <n v="-10800"/>
    <n v="-5.1783059684684103"/>
  </r>
  <r>
    <s v="3528Providence Hood River Memorial Hospital623056006230, COMBO ALL STAFF EDUC (U,N)"/>
    <m/>
    <x v="3"/>
    <s v="OR"/>
    <s v="OR"/>
    <n v="3528"/>
    <x v="12"/>
    <n v="6230"/>
    <s v="Staff Education Combined"/>
    <s v="Educational Services"/>
    <s v="56006230, COMBO ALL STAFF EDUC (U,N)"/>
    <s v="Adjusted Discharges"/>
    <n v="7842.47"/>
    <n v="8612.32"/>
    <n v="0.56869999999999998"/>
    <n v="0.41"/>
    <n v="0.46"/>
    <n v="0.58809999999999996"/>
    <n v="10"/>
    <n v="0.31"/>
    <n v="0.34"/>
    <n v="0.37"/>
    <n v="0.8589"/>
    <n v="2.2200000000000002"/>
    <n v="46554.451879449603"/>
    <n v="1221"/>
    <n v="0.58542583189590203"/>
  </r>
  <r>
    <s v="4282Providence Kodiak Hospital4410PHARMACY"/>
    <m/>
    <x v="0"/>
    <s v="AK"/>
    <s v="AK"/>
    <n v="4282"/>
    <x v="5"/>
    <n v="4410"/>
    <s v="Pharmacy Services"/>
    <s v="Pharmacy Services"/>
    <s v="PHARMACY"/>
    <s v="CMI Weighted Department Adjusted Discharges"/>
    <n v="1934.44"/>
    <n v="1602.03"/>
    <n v="0.55559999999999998"/>
    <n v="4.51"/>
    <n v="5.57"/>
    <n v="0.77780000000000005"/>
    <n v="10"/>
    <n v="2.25"/>
    <n v="2.46"/>
    <n v="2.52"/>
    <n v="0.91620000000000001"/>
    <n v="4.68"/>
    <n v="297096.01691473997"/>
    <n v="5460"/>
    <n v="2.61764405442882"/>
  </r>
  <r>
    <s v="3532Providence Little Company of Mary Hospital121276261710 01212 ADULT SURGICAL"/>
    <m/>
    <x v="2"/>
    <s v="CA"/>
    <s v="CA"/>
    <n v="3532"/>
    <x v="13"/>
    <n v="1212"/>
    <s v="General Surgical Acute Care Unit"/>
    <s v="Nursing Services"/>
    <s v="76261710 01212 ADULT SURGICAL"/>
    <s v="Equivalent Patient Day"/>
    <n v="10886"/>
    <n v="11481"/>
    <n v="0.77780000000000005"/>
    <n v="10.7"/>
    <n v="10.93"/>
    <n v="0.22220000000000001"/>
    <n v="10"/>
    <n v="11.05"/>
    <n v="11.43"/>
    <n v="11.64"/>
    <n v="0.86309999999999998"/>
    <n v="69.89"/>
    <n v="-245472.95636654799"/>
    <n v="-6273"/>
    <n v="-3.00755959232397"/>
  </r>
  <r>
    <s v="3532Providence Little Company of Mary Hospital112276261501 - 1122 LCMH LUMINARY CARE"/>
    <m/>
    <x v="2"/>
    <s v="CA"/>
    <s v="CA"/>
    <n v="3532"/>
    <x v="13"/>
    <n v="1122"/>
    <s v="Cardiac Intermediate Care Unit"/>
    <s v="Nursing Services"/>
    <s v="76261501 - 1122 LCMH LUMINARY CARE"/>
    <s v="Equivalent Patient Day"/>
    <m/>
    <n v="8768"/>
    <m/>
    <m/>
    <n v="10.563174041970804"/>
    <m/>
    <n v="10"/>
    <n v="10.99"/>
    <n v="11.03"/>
    <n v="11.32"/>
    <n v="0.89380000000000004"/>
    <n v="62.87"/>
    <n v="-204793.88409039986"/>
    <n v="-4579.4696800178863"/>
    <n v="-2.1956511866605393"/>
  </r>
  <r>
    <s v="3532Providence Little Company of Mary Hospital482576277900 04825 OCCUPATIONAL THERAPY"/>
    <m/>
    <x v="2"/>
    <s v="CA"/>
    <s v="CA"/>
    <n v="3532"/>
    <x v="13"/>
    <n v="4825"/>
    <s v="Occupational Therapy: Inpatient and Outpatient"/>
    <s v="Rehabilitation Services"/>
    <s v="76277900 04825 OCCUPATIONAL THERAPY"/>
    <s v="1000 Baseline Billed Time Units (BTUs)"/>
    <n v="1220.07"/>
    <n v="1293.45"/>
    <n v="0.44440000000000002"/>
    <n v="23.46"/>
    <n v="24.75"/>
    <n v="0.5"/>
    <n v="10"/>
    <n v="22.52"/>
    <n v="22.7"/>
    <n v="24.75"/>
    <n v="0.91239999999999999"/>
    <n v="16.87"/>
    <n v="133966.841399111"/>
    <n v="3005"/>
    <n v="1.44097848637021"/>
  </r>
  <r>
    <s v="3532Providence Little Company of Mary Hospital127776260700 01277 NICU"/>
    <m/>
    <x v="2"/>
    <s v="CA"/>
    <s v="CA"/>
    <n v="3532"/>
    <x v="13"/>
    <n v="1277"/>
    <s v="Neonatal Intensive Care Unit (NICU)"/>
    <s v="Nursing Services"/>
    <s v="76260700 01277 NICU"/>
    <s v="Patient Days (Neonate)"/>
    <n v="4167"/>
    <n v="5374"/>
    <n v="0.77780000000000005"/>
    <n v="15.39"/>
    <n v="16.600000000000001"/>
    <n v="0.7"/>
    <n v="10"/>
    <n v="13.53"/>
    <n v="15.16"/>
    <n v="16.18"/>
    <n v="0.90969999999999995"/>
    <n v="47.14"/>
    <n v="522001.57887137798"/>
    <n v="8763"/>
    <n v="4.2015040849705398"/>
  </r>
  <r>
    <s v="3529Providence Milwaukie Hospital422055075910, 55075600, EKG &amp; ECHO"/>
    <m/>
    <x v="3"/>
    <s v="OR"/>
    <s v="OR"/>
    <n v="3529"/>
    <x v="15"/>
    <n v="4220"/>
    <s v="Combined Noninvasive Cardiology and Vascular Services"/>
    <s v="Cardiology and Vascular Services Series"/>
    <s v="55075910, 55075600, EKG &amp; ECHO"/>
    <s v="APC Relative Weight"/>
    <n v="11420.43"/>
    <n v="26106.33"/>
    <n v="0.66669999999999996"/>
    <n v="0.41"/>
    <n v="0.18"/>
    <n v="0.1111"/>
    <n v="10"/>
    <n v="0.27"/>
    <n v="0.31"/>
    <n v="0.39"/>
    <n v="0.90569999999999995"/>
    <n v="2.48"/>
    <n v="-152533.00554943"/>
    <n v="-3763"/>
    <n v="-1.80421550283502"/>
  </r>
  <r>
    <s v="3529Providence Milwaukie Hospital489955004899, REHAB ADMIN AND SUPPORT (U,N)"/>
    <m/>
    <x v="3"/>
    <s v="OR"/>
    <s v="OR"/>
    <n v="3529"/>
    <x v="15"/>
    <n v="4899"/>
    <s v="Rehabilitation Services Administration"/>
    <s v="Rehabilitation Services"/>
    <s v="55004899, REHAB ADMIN AND SUPPORT (U,N)"/>
    <s v="1000 Baseline Billed Time Units (BTUs) Supported"/>
    <n v="1372.29"/>
    <n v="1750.69"/>
    <n v="0.65620000000000001"/>
    <n v="8.09"/>
    <n v="5.94"/>
    <m/>
    <n v="10"/>
    <n v="2.0099999999999998"/>
    <n v="3.13"/>
    <n v="3.41"/>
    <n v="0.86860000000000004"/>
    <n v="7.25"/>
    <n v="159544.77758807281"/>
    <n v="5663.6413769283918"/>
    <n v="2.7154630948498788"/>
  </r>
  <r>
    <s v="3530Providence Newberg Hospital423057075700, CARDIOVASCULAR LAB"/>
    <m/>
    <x v="3"/>
    <s v="OR"/>
    <s v="OR"/>
    <n v="3530"/>
    <x v="17"/>
    <n v="4230"/>
    <s v="Combined Invasive Cardiology and Vascular Services"/>
    <s v="Cardiology and Vascular Services Series"/>
    <s v="57075700, CARDIOVASCULAR LAB"/>
    <s v="Procedure Minutes"/>
    <n v="18168"/>
    <n v="19197"/>
    <n v="0.77780000000000005"/>
    <n v="0.35"/>
    <n v="0.28999999999999998"/>
    <n v="0.1"/>
    <n v="10"/>
    <n v="0.33"/>
    <n v="0.64"/>
    <n v="1.24"/>
    <n v="0.83899999999999997"/>
    <n v="3.18"/>
    <n v="-351739.540113836"/>
    <n v="-8011"/>
    <n v="-3.84100911576606"/>
  </r>
  <r>
    <s v="3530Providence Newberg Hospital489957004899, REHAB ADMIN AND SUPPORT (U,N)"/>
    <m/>
    <x v="3"/>
    <s v="OR"/>
    <s v="OR"/>
    <n v="3530"/>
    <x v="17"/>
    <n v="4899"/>
    <s v="Rehabilitation Services Administration"/>
    <s v="Rehabilitation Services"/>
    <s v="57004899, REHAB ADMIN AND SUPPORT (U,N)"/>
    <s v="1000 Baseline Billed Time Units (BTUs) Supported"/>
    <n v="1420.17"/>
    <n v="1687.45"/>
    <n v="0.56289999999999996"/>
    <n v="6.67"/>
    <n v="6.77"/>
    <n v="0.97109999999999996"/>
    <n v="10"/>
    <n v="2.0099999999999998"/>
    <n v="3.13"/>
    <n v="3.41"/>
    <n v="0.89729999999999999"/>
    <n v="6.12"/>
    <n v="203989.312708515"/>
    <n v="6878"/>
    <n v="3.29781329263183"/>
  </r>
  <r>
    <s v="3527Providence Portland Medical Center422052275910, 52275600 EKG &amp; ECHO"/>
    <m/>
    <x v="3"/>
    <s v="OR"/>
    <s v="OR"/>
    <n v="3527"/>
    <x v="18"/>
    <n v="4220"/>
    <s v="Combined Noninvasive Cardiology and Vascular Services"/>
    <s v="Cardiology and Vascular Services Series"/>
    <s v="52275910, 52275600 EKG &amp; ECHO"/>
    <s v="APC Relative Weight"/>
    <n v="56422.78"/>
    <n v="121725.48"/>
    <n v="0.66669999999999996"/>
    <n v="0.46"/>
    <n v="0.22"/>
    <n v="0"/>
    <n v="10"/>
    <n v="0.28000000000000003"/>
    <n v="0.3"/>
    <n v="0.31"/>
    <n v="0.87119999999999997"/>
    <n v="14.47"/>
    <n v="-447374.70302773197"/>
    <n v="-11736"/>
    <n v="-5.6270837624326502"/>
  </r>
  <r>
    <s v="3527Providence Portland Medical Center482152277900, OCCUPATIONAL THERAPY"/>
    <m/>
    <x v="3"/>
    <s v="OR"/>
    <s v="OR"/>
    <n v="3527"/>
    <x v="18"/>
    <n v="4821"/>
    <s v="Occupational Therapy: Inpatient"/>
    <s v="Rehabilitation Services"/>
    <s v="52277900, OCCUPATIONAL THERAPY"/>
    <s v="1000 Baseline Billed Time Units (BTUs)"/>
    <n v="1085.52"/>
    <n v="1352.95"/>
    <n v="1"/>
    <n v="24.45"/>
    <n v="21.84"/>
    <n v="0.125"/>
    <n v="10"/>
    <n v="22.85"/>
    <n v="23.33"/>
    <n v="23.45"/>
    <n v="0.8871"/>
    <n v="16.010000000000002"/>
    <n v="-77811.099932586003"/>
    <n v="-2189"/>
    <n v="-1.04972654226111"/>
  </r>
  <r>
    <s v="3527Providence Portland Medical Center486152277800, SPEECH THERAPY"/>
    <m/>
    <x v="3"/>
    <s v="OR"/>
    <s v="OR"/>
    <n v="3527"/>
    <x v="18"/>
    <n v="4861"/>
    <s v="Speech Language Pathology: Inpatient and Outpatient"/>
    <s v="Rehabilitation Services"/>
    <s v="52277800, SPEECH THERAPY"/>
    <s v="1000 Baseline Billed Time Units (BTUs)"/>
    <n v="563.16999999999996"/>
    <n v="571.94000000000005"/>
    <n v="0.55559999999999998"/>
    <n v="18.53"/>
    <n v="20.260000000000002"/>
    <n v="0.33329999999999999"/>
    <n v="10"/>
    <n v="19.79"/>
    <n v="21.05"/>
    <n v="25.57"/>
    <n v="0.85619999999999996"/>
    <n v="6.51"/>
    <n v="-18287.8147166491"/>
    <n v="-483"/>
    <n v="-0.23179443994649501"/>
  </r>
  <r>
    <s v="3527Providence Portland Medical Center307052283800, STERILE PROCESSING"/>
    <m/>
    <x v="3"/>
    <s v="OR"/>
    <s v="OR"/>
    <n v="3527"/>
    <x v="18"/>
    <n v="3070"/>
    <s v="Sterile Processing"/>
    <s v="Surgical Services"/>
    <s v="52283800, STERILE PROCESSING"/>
    <s v="100 Items Processed"/>
    <n v="3702.66"/>
    <n v="4088.9"/>
    <n v="0.44440000000000002"/>
    <n v="16.64"/>
    <n v="14.780297879625328"/>
    <n v="0.66669999999999996"/>
    <n v="10"/>
    <n v="11.13"/>
    <n v="12.97"/>
    <n v="14.45"/>
    <n v="0.87829999999999997"/>
    <n v="36.57"/>
    <n v="167460.16564955033"/>
    <n v="8427.7889103950838"/>
    <n v="4.0407483868222105"/>
  </r>
  <r>
    <s v="3852Providence Sacred Heart Medical Center592534583700, CENTRAL TRANSPORTATION"/>
    <m/>
    <x v="4"/>
    <s v="PHC"/>
    <s v="WA"/>
    <n v="3852"/>
    <x v="9"/>
    <n v="5925"/>
    <s v="Patient Escort (Transport) Service"/>
    <s v="Other Support Services"/>
    <s v="34583700, CENTRAL TRANSPORTATION"/>
    <s v="100 Patient Transports Performed"/>
    <n v="4115.91"/>
    <n v="4349.96"/>
    <n v="1"/>
    <n v="27.78"/>
    <n v="27"/>
    <n v="0.55559999999999998"/>
    <n v="10"/>
    <n v="22.68"/>
    <n v="23.79"/>
    <n v="25.51"/>
    <n v="0.88980000000000004"/>
    <n v="63.47"/>
    <n v="290073.511108712"/>
    <n v="16077"/>
    <n v="7.7083696759725697"/>
  </r>
  <r>
    <s v="3852Providence Sacred Heart Medical Center581034583601, SOCIAL SERVICES"/>
    <m/>
    <x v="4"/>
    <s v="PHC"/>
    <s v="WA"/>
    <n v="3852"/>
    <x v="9"/>
    <n v="5810"/>
    <s v="Social Work"/>
    <s v="Clinical Resource Management Services"/>
    <s v="34583601, SOCIAL SERVICES"/>
    <s v="Social Work Cases"/>
    <m/>
    <n v="22360"/>
    <n v="0.55559999999999998"/>
    <m/>
    <n v="1.92"/>
    <n v="1"/>
    <n v="10"/>
    <n v="1.05"/>
    <n v="1.08"/>
    <n v="1.0900000000000001"/>
    <n v="0.89090000000000003"/>
    <n v="23.15"/>
    <n v="657130.47647867096"/>
    <n v="21178"/>
    <n v="10.1538488224845"/>
  </r>
  <r>
    <s v="3852Providence Sacred Heart Medical Center344034576390, MOBILE MAMMOGRAPHY"/>
    <m/>
    <x v="4"/>
    <s v="PHC"/>
    <s v="WA"/>
    <n v="3852"/>
    <x v="9"/>
    <n v="3440"/>
    <s v="Mammography"/>
    <s v="Imaging Services"/>
    <s v="34576390, MOBILE MAMMOGRAPHY"/>
    <s v="APC Relative Weight"/>
    <n v="2265.9499999999998"/>
    <n v="3392.59"/>
    <n v="0.55559999999999998"/>
    <n v="3.03"/>
    <n v="1.37"/>
    <n v="0.88890000000000002"/>
    <n v="10"/>
    <n v="0.59"/>
    <n v="0.62"/>
    <n v="0.79"/>
    <n v="0.88900000000000001"/>
    <n v="2.52"/>
    <n v="89260.234474822399"/>
    <n v="2890"/>
    <n v="1.3855915181815801"/>
  </r>
  <r>
    <s v="3854Providence Saint Mary Medical Center463032577610, ENDOSCOPY"/>
    <m/>
    <x v="4"/>
    <s v="SER"/>
    <s v="WA"/>
    <n v="3854"/>
    <x v="8"/>
    <n v="4630"/>
    <s v="Endoscopy (GI) Laboratory"/>
    <s v="Other Clinical Support Services"/>
    <s v="32577610, ENDOSCOPY"/>
    <s v="APC Relative Weight"/>
    <n v="3459.46"/>
    <n v="182.61"/>
    <n v="0.66669999999999996"/>
    <n v="2.34"/>
    <n v="49.21"/>
    <n v="0.1111"/>
    <n v="10"/>
    <n v="106.44"/>
    <n v="127"/>
    <n v="319.22000000000003"/>
    <n v="0.8669"/>
    <n v="4.9800000000000004"/>
    <n v="-627652.12651582796"/>
    <n v="-16365"/>
    <n v="-7.8464783765338098"/>
  </r>
  <r>
    <s v="3533Providence San Pedro Peninsula Hospital411077277200 SPH RESPIRATORY CARE"/>
    <m/>
    <x v="2"/>
    <s v="CA"/>
    <s v="CA"/>
    <n v="3533"/>
    <x v="14"/>
    <n v="4110"/>
    <s v="Respiratory Care"/>
    <s v="Respiratory and Pulmonary Care Services"/>
    <s v="77277200 SPH RESPIRATORY CARE"/>
    <s v="APC Relative Weight"/>
    <n v="257393.4"/>
    <n v="467581.16"/>
    <n v="0.5"/>
    <n v="0.31"/>
    <n v="0.18"/>
    <n v="0.33329999999999999"/>
    <n v="10"/>
    <n v="0.16"/>
    <n v="0.19"/>
    <n v="0.25"/>
    <n v="0.90449999999999997"/>
    <n v="44.98"/>
    <n v="-183155.33995356565"/>
    <n v="-5169.4987285793295"/>
    <n v="-2.4785437640021719"/>
  </r>
  <r>
    <s v="3533Providence San Pedro Peninsula Hospital441177283901 SPH PHARMACY WEST"/>
    <m/>
    <x v="2"/>
    <s v="CA"/>
    <s v="CA"/>
    <n v="3533"/>
    <x v="14"/>
    <n v="4411"/>
    <s v="Pharmacy Retail/Prescription Services"/>
    <s v="Pharmacy Services"/>
    <s v="77283901 SPH PHARMACY WEST"/>
    <s v="Retail Prescriptions Processed"/>
    <n v="173238"/>
    <n v="92582"/>
    <n v="0.55559999999999998"/>
    <n v="0.08"/>
    <n v="0.15"/>
    <n v="0.125"/>
    <n v="10"/>
    <n v="0.17"/>
    <n v="0.19"/>
    <n v="0.19"/>
    <n v="0.91769999999999996"/>
    <n v="7.44"/>
    <n v="-150556.52596258899"/>
    <n v="-3651"/>
    <n v="-1.7502555219010301"/>
  </r>
  <r>
    <s v="3527Providence Portland Medical Center511252283300,52283302,52283305,52283340,52283400,52283308 PT_NON PT FOOD SVC"/>
    <m/>
    <x v="3"/>
    <s v="OR"/>
    <s v="OR"/>
    <n v="3527"/>
    <x v="18"/>
    <n v="5112"/>
    <s v="Patient and Nonpatient Food Services"/>
    <s v="Food and Nutrition Services"/>
    <s v="52283300,52283302,52283305,52283340,52283400,52283308 PT_NON PT FOOD SVC"/>
    <s v="ART: Total Meal Equivalents"/>
    <n v="1813177.32"/>
    <n v="1886921.7"/>
    <n v="0.55559999999999998"/>
    <n v="0.12"/>
    <n v="0.11214595179015643"/>
    <n v="0.77780000000000005"/>
    <n v="10"/>
    <n v="7.0000000000000007E-2"/>
    <n v="0.08"/>
    <n v="0.09"/>
    <n v="0.88849999999999996"/>
    <n v="117.97"/>
    <n v="1230205.0983455265"/>
    <n v="68268.873382104692"/>
    <n v="32.731875812487267"/>
  </r>
  <r>
    <s v="3526Providence Seaside Hospital162051061700, MEDICAL_SURGICAL"/>
    <m/>
    <x v="3"/>
    <s v="OR"/>
    <s v="OR"/>
    <n v="3526"/>
    <x v="19"/>
    <n v="1620"/>
    <s v="Medical/Surgical Unit with Swing Beds"/>
    <s v="Nursing Services"/>
    <s v="51061700, MEDICAL_SURGICAL"/>
    <s v="Patient Days"/>
    <n v="2471"/>
    <n v="2485"/>
    <n v="0.66669999999999996"/>
    <n v="17.420000000000002"/>
    <n v="14.11"/>
    <n v="0.33329999999999999"/>
    <n v="10"/>
    <n v="13.54"/>
    <n v="14.18"/>
    <n v="15.15"/>
    <n v="0.85780000000000001"/>
    <n v="19.649999999999999"/>
    <n v="-3678.5222015135"/>
    <n v="-95"/>
    <n v="-4.5397071128185501E-2"/>
  </r>
  <r>
    <s v="3526Providence Seaside Hospital191051087200, NURSING SERVICE ADMIN"/>
    <m/>
    <x v="3"/>
    <s v="OR"/>
    <s v="OR"/>
    <n v="3526"/>
    <x v="19"/>
    <n v="1910"/>
    <s v="Nursing Administration"/>
    <s v="Nursing Services"/>
    <s v="51087200, NURSING SERVICE ADMIN"/>
    <s v="Nursing Division Employees"/>
    <n v="70"/>
    <n v="65"/>
    <n v="0.55559999999999998"/>
    <n v="152.24"/>
    <n v="188.46"/>
    <n v="0.77780000000000005"/>
    <n v="10"/>
    <n v="152.71"/>
    <n v="177.75"/>
    <n v="182.07"/>
    <n v="0.88519999999999999"/>
    <n v="6.65"/>
    <n v="37929.636805241782"/>
    <n v="786.43244464527857"/>
    <n v="0.37705923413975101"/>
  </r>
  <r>
    <s v="3526Providence Seaside Hospital341151076300, DIAGNOSTIC IMAGING"/>
    <m/>
    <x v="3"/>
    <s v="OR"/>
    <s v="OR"/>
    <n v="3526"/>
    <x v="19"/>
    <n v="3411"/>
    <s v="Diagnostic Radiology Without Interventional Procedures"/>
    <s v="Imaging Services"/>
    <s v="51076300, DIAGNOSTIC IMAGING"/>
    <s v="APC Relative Weight"/>
    <n v="7358.84"/>
    <n v="8851.35"/>
    <n v="0.375"/>
    <n v="1.1299999999999999"/>
    <n v="1.29"/>
    <n v="0.77780000000000005"/>
    <n v="10"/>
    <n v="0.87"/>
    <n v="0.91"/>
    <n v="1.1000000000000001"/>
    <n v="0.93710000000000004"/>
    <n v="5.87"/>
    <n v="173469.8359726817"/>
    <n v="3589.2786255469005"/>
    <n v="1.7208987992265909"/>
  </r>
  <r>
    <s v="3526Providence Seaside Hospital521151084400, ENVIRONMENTAL SERVICES"/>
    <m/>
    <x v="3"/>
    <s v="OR"/>
    <s v="OR"/>
    <n v="3526"/>
    <x v="19"/>
    <n v="5211"/>
    <s v="Environmental Services"/>
    <s v="Environmental Services"/>
    <s v="51084400, ENVIRONMENTAL SERVICES"/>
    <s v="1000 Net Sq Ft Cleaned"/>
    <n v="139.58000000000001"/>
    <n v="139.58000000000001"/>
    <n v="0.22220000000000001"/>
    <n v="127.43"/>
    <n v="128.38"/>
    <n v="0.33329999999999999"/>
    <n v="10"/>
    <n v="128.16"/>
    <n v="130.35"/>
    <n v="144.72"/>
    <n v="0.88629999999999998"/>
    <n v="9.7200000000000006"/>
    <n v="-3903.5493597489899"/>
    <n v="-255"/>
    <n v="-0.122414233497542"/>
  </r>
  <r>
    <s v="3855Providence St Joseph Medical Center Polson500146584500, FAC ENGINEERING"/>
    <m/>
    <x v="4"/>
    <s v="WMR"/>
    <s v="MT"/>
    <n v="3855"/>
    <x v="30"/>
    <n v="5001"/>
    <s v="Plant Operations / Plant Maintenance and Grounds"/>
    <s v="Facility Services"/>
    <s v="46584500, FAC ENGINEERING"/>
    <s v="1000 Gross Square Feet Maintained"/>
    <n v="143.71"/>
    <n v="144.33000000000001"/>
    <n v="0.55559999999999998"/>
    <n v="64.08"/>
    <n v="56.33"/>
    <n v="0.44440000000000002"/>
    <n v="10"/>
    <n v="44.79"/>
    <n v="49.46"/>
    <n v="62.61"/>
    <n v="0.92220000000000002"/>
    <n v="4.24"/>
    <n v="27571.952599029701"/>
    <n v="1103"/>
    <n v="0.52863417273786995"/>
  </r>
  <r>
    <s v="3848Providence St Patrick Hospital &amp; Health Science Ce481546077700, PHYSICAL THERAPY"/>
    <m/>
    <x v="4"/>
    <s v="WMR"/>
    <s v="MT"/>
    <n v="3848"/>
    <x v="21"/>
    <n v="4815"/>
    <s v="Physical Therapy: Inpatient and Outpatient"/>
    <s v="Rehabilitation Services"/>
    <s v="46077700, PHYSICAL THERAPY"/>
    <s v="1000 Baseline Billed Time Units (BTUs)"/>
    <n v="1192.1199999999999"/>
    <n v="1198.94"/>
    <n v="1"/>
    <n v="21.61"/>
    <n v="20.81"/>
    <n v="0.18179999999999999"/>
    <n v="10"/>
    <n v="21.02"/>
    <n v="21.91"/>
    <n v="22.91"/>
    <n v="0.9022"/>
    <n v="13.29"/>
    <n v="-48277.191737307003"/>
    <n v="-1397"/>
    <n v="-0.66999180621348697"/>
  </r>
  <r>
    <s v="3848Providence St Patrick Hospital &amp; Health Science Ce623046082100, 87940 EDUCATION"/>
    <m/>
    <x v="4"/>
    <s v="WMR"/>
    <s v="MT"/>
    <n v="3848"/>
    <x v="21"/>
    <n v="6230"/>
    <s v="Staff Education Combined"/>
    <s v="Educational Services"/>
    <s v="46082100, 87940 EDUCATION"/>
    <s v="Adjusted Discharges"/>
    <n v="18029.03"/>
    <n v="19397.45"/>
    <n v="0.66669999999999996"/>
    <n v="0.82"/>
    <n v="0.51"/>
    <n v="0.55559999999999998"/>
    <n v="10"/>
    <n v="0.41"/>
    <n v="0.43"/>
    <n v="0.5"/>
    <n v="0.9123"/>
    <n v="5.2"/>
    <n v="46499.767991262801"/>
    <n v="1703"/>
    <n v="0.81647406231493003"/>
  </r>
  <r>
    <s v="3524Providence St Peter Hospital127033074000, LABOR AND DELIVERY"/>
    <m/>
    <x v="1"/>
    <s v="SWR"/>
    <s v="WA"/>
    <n v="3524"/>
    <x v="2"/>
    <n v="1270"/>
    <s v="Labor/Delivery/Recovery/Postpartum/Nursery"/>
    <s v="Nursing Services"/>
    <s v="33074000, LABOR AND DELIVERY"/>
    <s v="Neonate Deliveries"/>
    <n v="2218"/>
    <n v="2268"/>
    <n v="0.55559999999999998"/>
    <n v="51.67"/>
    <n v="51.72"/>
    <n v="0.1111"/>
    <n v="10"/>
    <n v="62.76"/>
    <n v="68.77"/>
    <n v="71.38"/>
    <n v="0.87109999999999999"/>
    <n v="64.739999999999995"/>
    <n v="-2206974.1526715299"/>
    <n v="-44022"/>
    <n v="-21.106426112329899"/>
  </r>
  <r>
    <s v="3524Providence St Peter Hospital123433061700, Medical Renal"/>
    <m/>
    <x v="1"/>
    <s v="SWR"/>
    <s v="WA"/>
    <n v="3524"/>
    <x v="2"/>
    <n v="1234"/>
    <s v="Renal/Nephrology Acute Care Unit"/>
    <s v="Nursing Services"/>
    <s v="33061700, Medical Renal"/>
    <s v="Equivalent Patient Day"/>
    <n v="7668.75"/>
    <n v="7854.18"/>
    <n v="0.55559999999999998"/>
    <n v="10.49"/>
    <n v="10.56"/>
    <n v="0.85709999999999997"/>
    <n v="10"/>
    <n v="10.1"/>
    <n v="10.28"/>
    <n v="10.35"/>
    <n v="0.87139999999999995"/>
    <n v="45.75"/>
    <n v="109117.27050697101"/>
    <n v="2764"/>
    <n v="1.3252934210001199"/>
  </r>
  <r>
    <s v="3524Providence St Peter Hospital633033090300, FOUNDATION"/>
    <m/>
    <x v="1"/>
    <s v="SWR"/>
    <s v="WA"/>
    <n v="3524"/>
    <x v="2"/>
    <n v="6330"/>
    <s v="Foundation"/>
    <s v="Community Outreach"/>
    <s v="33090300, FOUNDATION"/>
    <s v="$1000 New Commitments Pledged"/>
    <n v="83.48"/>
    <n v="111.4"/>
    <n v="0.55559999999999998"/>
    <n v="127.78"/>
    <n v="91.03"/>
    <n v="0.66669999999999996"/>
    <n v="10"/>
    <n v="51.51"/>
    <n v="53.63"/>
    <n v="66.98"/>
    <n v="0.8569"/>
    <n v="5.69"/>
    <n v="175287.340632337"/>
    <n v="4896"/>
    <n v="2.3471953022015799"/>
  </r>
  <r>
    <s v="3535Providence St Vincent Medical Center432053078740, SLEEP LAB"/>
    <m/>
    <x v="3"/>
    <s v="OR"/>
    <s v="OR"/>
    <n v="3535"/>
    <x v="22"/>
    <n v="4320"/>
    <s v="Sleep Diagnostic Center"/>
    <s v="Neurodiagnostic Services"/>
    <s v="53078740, SLEEP LAB"/>
    <s v="APC Relative Weight"/>
    <n v="19597.89"/>
    <n v="41810.050000000003"/>
    <n v="1"/>
    <n v="0.78"/>
    <n v="0.4"/>
    <m/>
    <n v="10"/>
    <n v="0.77"/>
    <n v="0.8"/>
    <n v="0.86"/>
    <n v="0.90449999999999997"/>
    <n v="8.9600000000000009"/>
    <n v="-631335.08477676404"/>
    <n v="-18292"/>
    <n v="-8.7700622976544107"/>
  </r>
  <r>
    <s v="3535Providence St Vincent Medical Center592553083700, PATIENT TRANSPORTATION"/>
    <m/>
    <x v="3"/>
    <s v="OR"/>
    <s v="OR"/>
    <n v="3535"/>
    <x v="22"/>
    <n v="5925"/>
    <s v="Patient Escort (Transport) Service"/>
    <s v="Other Support Services"/>
    <s v="53083700, PATIENT TRANSPORTATION"/>
    <s v="100 Patient Transports Performed"/>
    <n v="2611.77"/>
    <n v="3244.18"/>
    <n v="0.66669999999999996"/>
    <n v="26.45"/>
    <n v="21.64"/>
    <n v="0"/>
    <n v="10"/>
    <n v="22.68"/>
    <n v="23.79"/>
    <n v="25.51"/>
    <n v="0.9103"/>
    <n v="37.07"/>
    <n v="-128245.517824557"/>
    <n v="-7467"/>
    <n v="-3.5802293982852298"/>
  </r>
  <r>
    <s v="3535Providence St Vincent Medical Center426053078710, NON-INVASIVE LAB"/>
    <m/>
    <x v="3"/>
    <s v="OR"/>
    <s v="OR"/>
    <n v="3535"/>
    <x v="22"/>
    <n v="4260"/>
    <s v="Vascular Laboratory"/>
    <s v="Cardiology and Vascular Services Series"/>
    <s v="53078710, NON-INVASIVE LAB"/>
    <s v="APC Relative Weight"/>
    <n v="16424.509999999998"/>
    <n v="17294.53"/>
    <n v="0.66669999999999996"/>
    <n v="0.68"/>
    <n v="0.56999999999999995"/>
    <n v="0.45450000000000002"/>
    <n v="10"/>
    <n v="0.41"/>
    <n v="0.52"/>
    <n v="0.57999999999999996"/>
    <n v="0.84230000000000005"/>
    <n v="5.63"/>
    <n v="54429.0302913536"/>
    <n v="1066"/>
    <n v="0.51090173988325704"/>
  </r>
  <r>
    <s v="3535Providence St Vincent Medical Center307053083800, STERILE PROCESSING"/>
    <m/>
    <x v="3"/>
    <s v="OR"/>
    <s v="OR"/>
    <n v="3535"/>
    <x v="22"/>
    <n v="3070"/>
    <s v="Sterile Processing"/>
    <s v="Surgical Services"/>
    <s v="53083800, STERILE PROCESSING"/>
    <s v="100 Items Processed"/>
    <n v="5985.64"/>
    <n v="4540"/>
    <n v="0.55559999999999998"/>
    <n v="10.62"/>
    <n v="17.91"/>
    <n v="0.85709999999999997"/>
    <n v="10"/>
    <n v="13.8"/>
    <n v="14.42"/>
    <n v="15.54"/>
    <n v="0.89670000000000005"/>
    <n v="43.59"/>
    <n v="427937.02119827201"/>
    <n v="17907"/>
    <n v="8.58564316949996"/>
  </r>
  <r>
    <s v="4283Providence St. John's Health Center482173577900, SJHC OCCUPATIONAL THERAPY (U)"/>
    <m/>
    <x v="2"/>
    <s v="CA"/>
    <s v="CA"/>
    <n v="4283"/>
    <x v="23"/>
    <n v="4821"/>
    <s v="Occupational Therapy: Inpatient"/>
    <s v="Rehabilitation Services"/>
    <s v="73577900, SJHC OCCUPATIONAL THERAPY (U)"/>
    <s v="1000 Baseline Billed Time Units (BTUs)"/>
    <m/>
    <n v="148.69"/>
    <n v="0.60699999999999998"/>
    <m/>
    <n v="42.22"/>
    <m/>
    <n v="10"/>
    <n v="25.11"/>
    <n v="25.3"/>
    <n v="27.91"/>
    <n v="0.9214"/>
    <n v="3.28"/>
    <n v="115144.175971833"/>
    <n v="2758"/>
    <n v="1.3224979138177"/>
  </r>
  <r>
    <s v="3755Providence Tarzana Medical Center123872561730, ONCOLOGY"/>
    <m/>
    <x v="2"/>
    <s v="CA"/>
    <s v="CA"/>
    <n v="3755"/>
    <x v="3"/>
    <n v="1238"/>
    <s v="Oncology Acute Care Unit"/>
    <s v="Nursing Services"/>
    <s v="72561730, ONCOLOGY"/>
    <s v="Equivalent Patient Day"/>
    <n v="2630.58"/>
    <n v="2286"/>
    <n v="0"/>
    <n v="9.5500000000000007"/>
    <n v="5.88"/>
    <n v="0"/>
    <n v="10"/>
    <n v="8.83"/>
    <n v="9.7899999999999991"/>
    <n v="10.28"/>
    <n v="0.85929999999999995"/>
    <n v="7.53"/>
    <n v="-463217.87235069298"/>
    <n v="-10339"/>
    <n v="-4.9571194153070897"/>
  </r>
  <r>
    <s v="3755Providence Tarzana Medical Center347072576320 70700 OP IMAGING CENTER / WDC"/>
    <m/>
    <x v="2"/>
    <s v="CA"/>
    <s v="CA"/>
    <n v="3755"/>
    <x v="3"/>
    <n v="3470"/>
    <s v="Outpatient Imaging"/>
    <s v="Imaging Services"/>
    <s v="72576320 70700 OP IMAGING CENTER / WDC"/>
    <s v="APC Relative Weight"/>
    <n v="30409.24"/>
    <n v="39097.42"/>
    <n v="0.55559999999999998"/>
    <n v="0.56999999999999995"/>
    <n v="0.43"/>
    <n v="0.22220000000000001"/>
    <n v="10"/>
    <n v="0.43"/>
    <n v="0.44"/>
    <n v="0.47"/>
    <n v="0.87790000000000001"/>
    <n v="9.18"/>
    <n v="-20137.001459651299"/>
    <n v="-449"/>
    <n v="-0.215153627861708"/>
  </r>
  <r>
    <s v="3755Providence Tarzana Medical Center661072586100 87570 ADMINISTRATION / MEDICAL OFFICER"/>
    <m/>
    <x v="2"/>
    <s v="CA"/>
    <s v="CA"/>
    <n v="3755"/>
    <x v="3"/>
    <n v="6610"/>
    <s v="Administration"/>
    <s v="Administration"/>
    <s v="72586100 87570 ADMINISTRATION / MEDICAL OFFICER"/>
    <s v="100 Adjusted Discharges"/>
    <n v="176.18"/>
    <n v="196.18"/>
    <n v="0.55559999999999998"/>
    <n v="66.599999999999994"/>
    <n v="54.06"/>
    <n v="0.44440000000000002"/>
    <n v="10"/>
    <n v="42.42"/>
    <n v="47.24"/>
    <n v="57.16"/>
    <n v="0.87949999999999995"/>
    <n v="5.8"/>
    <n v="182907.29788902699"/>
    <n v="1560"/>
    <n v="0.74784188266165996"/>
  </r>
  <r>
    <s v="3849Providence Willamette Falls Medical Center127053574000, MATERNITY SERVICES"/>
    <m/>
    <x v="3"/>
    <s v="OR"/>
    <s v="OR"/>
    <n v="3849"/>
    <x v="7"/>
    <n v="1270"/>
    <s v="Labor/Delivery/Recovery/Postpartum/Nursery"/>
    <s v="Nursing Services"/>
    <s v="53574000, MATERNITY SERVICES"/>
    <s v="Neonate Deliveries"/>
    <n v="1180"/>
    <n v="1055"/>
    <n v="0.66669999999999996"/>
    <n v="58.43"/>
    <n v="62.36"/>
    <n v="0.1111"/>
    <n v="10"/>
    <n v="67.11"/>
    <n v="72.41"/>
    <n v="73.53"/>
    <n v="0.85289999999999999"/>
    <n v="37.08"/>
    <n v="-609938.37705439294"/>
    <n v="-12230"/>
    <n v="-5.8638573538462397"/>
  </r>
  <r>
    <s v="3849Providence Willamette Falls Medical Center500153584600 FACILITY SERVICES"/>
    <m/>
    <x v="3"/>
    <s v="OR"/>
    <s v="OR"/>
    <n v="3849"/>
    <x v="7"/>
    <n v="5001"/>
    <s v="Plant Operations / Plant Maintenance and Grounds"/>
    <s v="Facility Services"/>
    <s v="53584600 FACILITY SERVICES"/>
    <s v="1000 Gross Square Feet Maintained"/>
    <n v="369.33"/>
    <n v="369.33"/>
    <n v="0.77780000000000005"/>
    <n v="23.16"/>
    <n v="23.56"/>
    <n v="0.1"/>
    <n v="10"/>
    <n v="37.43"/>
    <n v="45.44"/>
    <n v="50.4"/>
    <n v="0.8538"/>
    <n v="4.9000000000000004"/>
    <n v="-321069.14656388998"/>
    <n v="-9436"/>
    <n v="-4.5242091791876202"/>
  </r>
  <r>
    <s v="3928Swedish Cherry Hill431022076208 EEG"/>
    <m/>
    <x v="1"/>
    <s v="SHS"/>
    <s v="WA"/>
    <n v="3928"/>
    <x v="25"/>
    <n v="4310"/>
    <s v="Neurodiagnostic Laboratory (EEG)"/>
    <s v="Neurodiagnostic Services"/>
    <s v="22076208 EEG"/>
    <s v="APC Relative Weight"/>
    <n v="19839.310000000001"/>
    <n v="24915.11"/>
    <n v="0.55559999999999998"/>
    <n v="0.87"/>
    <n v="0.67"/>
    <n v="0.33329999999999999"/>
    <n v="10"/>
    <n v="0.61"/>
    <n v="0.67"/>
    <n v="0.69"/>
    <n v="0.87019999999999997"/>
    <n v="9.24"/>
    <n v="4584.4779843020397"/>
    <n v="89"/>
    <n v="4.2565757145434098E-2"/>
  </r>
  <r>
    <s v="3928Swedish Cherry Hill103522060390 NEURO CRITICAL CARE"/>
    <m/>
    <x v="1"/>
    <s v="SHS"/>
    <s v="WA"/>
    <n v="3928"/>
    <x v="25"/>
    <n v="1035"/>
    <s v="Neurology/Neurosurgical Intensive Care Unit"/>
    <s v="Nursing Services"/>
    <s v="22060390 NEURO CRITICAL CARE"/>
    <s v="Equivalent Patient Day"/>
    <n v="5407.29"/>
    <n v="6685"/>
    <n v="0.55559999999999998"/>
    <n v="20.8"/>
    <n v="21.06"/>
    <n v="0.42859999999999998"/>
    <n v="10"/>
    <n v="19.510000000000002"/>
    <n v="20.22"/>
    <n v="21.26"/>
    <n v="0.91390000000000005"/>
    <n v="74.069999999999993"/>
    <n v="369345.38699641899"/>
    <n v="6582"/>
    <n v="3.1559899818648902"/>
  </r>
  <r>
    <s v="3928Swedish Cherry Hill512022083300 CAFETERIA/22083340 CATERING"/>
    <m/>
    <x v="1"/>
    <s v="SHS"/>
    <s v="WA"/>
    <n v="3928"/>
    <x v="25"/>
    <n v="5120"/>
    <s v="Nonpatient Food Services"/>
    <s v="Food and Nutrition Services"/>
    <s v="22083300 CAFETERIA/22083340 CATERING"/>
    <s v="ART: Total Non Patient Meal Equivalents"/>
    <n v="430609.01"/>
    <n v="479527.67"/>
    <n v="0.44440000000000002"/>
    <n v="0.1"/>
    <n v="0.09"/>
    <n v="0.5"/>
    <n v="10"/>
    <n v="0.08"/>
    <n v="0.09"/>
    <n v="0.09"/>
    <n v="0.9042"/>
    <n v="22.74"/>
    <n v="-6633.3461839546699"/>
    <n v="-301"/>
    <n v="-0.144416202994329"/>
  </r>
  <r>
    <s v="3929Swedish Edmonds339923086116, 23085302 LABORATORY ADMIN, PT ACCTS LAB OUTREACH"/>
    <m/>
    <x v="1"/>
    <s v="SHS"/>
    <s v="WA"/>
    <n v="3929"/>
    <x v="31"/>
    <n v="3399"/>
    <s v="Laboratory Services Administration"/>
    <s v="Laboratory Services"/>
    <s v="23086116, 23085302 LABORATORY ADMIN, PT ACCTS LAB OUTREACH"/>
    <s v="100 Billed Tests Supported"/>
    <n v="9185.32"/>
    <n v="9942.27"/>
    <n v="0.44440000000000002"/>
    <n v="3.67"/>
    <n v="2.87"/>
    <n v="1"/>
    <n v="10"/>
    <n v="1.24"/>
    <n v="1.37"/>
    <n v="1.74"/>
    <n v="0.88170000000000004"/>
    <n v="15.55"/>
    <n v="567693.288749372"/>
    <n v="16984"/>
    <n v="8.1431518997549102"/>
  </r>
  <r>
    <s v="3927Swedish First Hill5645Tumor Disease Registries (N)"/>
    <m/>
    <x v="1"/>
    <s v="SHS"/>
    <s v="WA"/>
    <n v="3927"/>
    <x v="26"/>
    <n v="5645"/>
    <s v="Disease Registries"/>
    <s v="Revenue Cycle Management"/>
    <s v="Tumor Disease Registries (N)"/>
    <s v="Charts Abstracted"/>
    <n v="6802"/>
    <n v="4542"/>
    <n v="1"/>
    <n v="2.09"/>
    <n v="3.39"/>
    <n v="0.25"/>
    <n v="10"/>
    <n v="3.39"/>
    <n v="3.79"/>
    <n v="4.18"/>
    <n v="0.92379999999999995"/>
    <n v="8"/>
    <n v="-51315.350652484201"/>
    <n v="-1949"/>
    <n v="-0.93421790750016398"/>
  </r>
  <r>
    <s v="3927Swedish First Hill344021076390 SCI BREAST CARE CENTER"/>
    <m/>
    <x v="1"/>
    <s v="SHS"/>
    <s v="WA"/>
    <n v="3927"/>
    <x v="26"/>
    <n v="3440"/>
    <s v="Mammography"/>
    <s v="Imaging Services"/>
    <s v="21076390 SCI BREAST CARE CENTER"/>
    <s v="APC Relative Weight"/>
    <n v="58633.72"/>
    <n v="73970.17"/>
    <n v="0.55559999999999998"/>
    <n v="0.64"/>
    <n v="0.44"/>
    <n v="0.22220000000000001"/>
    <n v="10"/>
    <n v="0.45"/>
    <n v="0.46"/>
    <n v="0.48"/>
    <n v="0.87409999999999999"/>
    <n v="18.059999999999999"/>
    <n v="-49269.007415673499"/>
    <n v="-1259"/>
    <n v="-0.60386081715941498"/>
  </r>
  <r>
    <s v="3927Swedish First Hill444021077105 ISSAQUAH CANCER PHARMACY"/>
    <m/>
    <x v="1"/>
    <s v="SHS"/>
    <s v="WA"/>
    <n v="3927"/>
    <x v="26"/>
    <n v="4440"/>
    <s v="Pharmacy Ambulatory/Clinic Services"/>
    <s v="Pharmacy Services"/>
    <s v="21077105 ISSAQUAH CANCER PHARMACY"/>
    <s v="Doses Dispensed"/>
    <n v="11096"/>
    <n v="11573"/>
    <n v="0.22220000000000001"/>
    <n v="0.38"/>
    <n v="0.39"/>
    <n v="0.75"/>
    <n v="10"/>
    <n v="0.3"/>
    <n v="0.3"/>
    <n v="0.3"/>
    <n v="0.93700000000000006"/>
    <n v="2.33"/>
    <n v="54251.646657314297"/>
    <n v="1154"/>
    <n v="0.55345678702803602"/>
  </r>
  <r>
    <s v="3529Providence Milwaukie Hospital303055074300, SHORT STAY SURGICAL UNIT"/>
    <m/>
    <x v="3"/>
    <s v="OR"/>
    <s v="OR"/>
    <n v="3529"/>
    <x v="15"/>
    <n v="3030"/>
    <s v="Surgery Pre Op and Post Recovery Only"/>
    <s v="Surgical Services"/>
    <s v="55074300, SHORT STAY SURGICAL UNIT"/>
    <s v="100 Patient Observation Minutes"/>
    <n v="6525.45"/>
    <n v="4759.7"/>
    <m/>
    <n v="2.58"/>
    <n v="3.4349223690568738"/>
    <n v="0.7843"/>
    <n v="10"/>
    <n v="3.53"/>
    <n v="3.66"/>
    <n v="3.93"/>
    <n v="0.78369999999999995"/>
    <n v="10.029999999999999"/>
    <n v="-66038.789868572072"/>
    <n v="-1366.9797116243442"/>
    <n v="-0.65540572068099168"/>
  </r>
  <r>
    <s v="3932Swedish Health Services Corp (S)509920584500 FACILITY MANAGEMENT/20584604 WORKFLOW SYSTEMS"/>
    <m/>
    <x v="1"/>
    <s v="SHS"/>
    <s v="WA"/>
    <n v="3932"/>
    <x v="27"/>
    <n v="5099"/>
    <s v="Facility Services Administration"/>
    <s v="Facility Services"/>
    <s v="20584500 FACILITY MANAGEMENT/20584604 WORKFLOW SYSTEMS"/>
    <s v="1000 Gross Square Feet Maintained"/>
    <n v="5085.32"/>
    <n v="5319.27"/>
    <n v="0.77780000000000005"/>
    <n v="4.16"/>
    <n v="6.42"/>
    <n v="1"/>
    <n v="10"/>
    <n v="2.64"/>
    <n v="4.21"/>
    <n v="4.6399999999999997"/>
    <n v="0.87849999999999995"/>
    <n v="18.68"/>
    <n v="553501.93096268596"/>
    <n v="13470"/>
    <n v="6.4580493993996404"/>
  </r>
  <r>
    <s v="3931Swedish Issaquah181022577158 INTRAVENOUS NURSES"/>
    <m/>
    <x v="1"/>
    <s v="SHS"/>
    <s v="WA"/>
    <n v="3931"/>
    <x v="28"/>
    <n v="1810"/>
    <s v="IV Team (Vascular Access)"/>
    <s v="Nursing Services"/>
    <s v="22577158 INTRAVENOUS NURSES"/>
    <s v="100 Procedures"/>
    <n v="0.08"/>
    <n v="2.54"/>
    <n v="0"/>
    <n v="65388.03"/>
    <n v="2029.76"/>
    <n v="0.90910000000000002"/>
    <n v="10"/>
    <n v="233.74"/>
    <n v="421.95"/>
    <n v="546.04"/>
    <n v="0.93100000000000005"/>
    <n v="2.66"/>
    <n v="227251.025524128"/>
    <n v="4397"/>
    <n v="2.1080583269006801"/>
  </r>
  <r>
    <s v="4001Swedish Mill Creek521123584400, MILL CREEK ENVIRONMENTAL SERVICES"/>
    <m/>
    <x v="1"/>
    <s v="SHS"/>
    <s v="WA"/>
    <n v="4001"/>
    <x v="33"/>
    <n v="5211"/>
    <s v="Environmental Services"/>
    <s v="Environmental Services"/>
    <s v="23584400, MILL CREEK ENVIRONMENTAL SERVICES"/>
    <s v="1000 Net Sq Ft Cleaned"/>
    <n v="54.4"/>
    <n v="57.75"/>
    <n v="0.55559999999999998"/>
    <n v="195.29"/>
    <n v="194.28"/>
    <n v="0.57140000000000002"/>
    <n v="10"/>
    <n v="163.04"/>
    <n v="169.69"/>
    <n v="185.79"/>
    <n v="0.9526"/>
    <n v="5.66"/>
    <n v="30577.397233549302"/>
    <n v="1518"/>
    <n v="0.72774161365621604"/>
  </r>
  <r>
    <s v="4001Swedish Mill Creek591023584200, MILL CREEK SECURITY"/>
    <m/>
    <x v="1"/>
    <s v="SHS"/>
    <s v="WA"/>
    <n v="4001"/>
    <x v="33"/>
    <n v="5910"/>
    <s v="Security"/>
    <s v="Other Support Services"/>
    <s v="23584200, MILL CREEK SECURITY"/>
    <s v="1000 Gross Square Feet Patrolled"/>
    <n v="274.47000000000003"/>
    <n v="274.47000000000003"/>
    <n v="0.44440000000000002"/>
    <n v="46.53"/>
    <n v="43.99"/>
    <n v="0.71430000000000005"/>
    <n v="10"/>
    <n v="39.29"/>
    <n v="40.44"/>
    <n v="42.3"/>
    <n v="0.90780000000000005"/>
    <n v="6.39"/>
    <n v="23907.021381564999"/>
    <n v="1101"/>
    <n v="0.52775439534264601"/>
  </r>
  <r>
    <s v="4002Swedish Redmond Campus521124084400, REDMOND ENVIRONMENTAL SERVICES"/>
    <m/>
    <x v="1"/>
    <s v="SHS"/>
    <s v="WA"/>
    <n v="4002"/>
    <x v="32"/>
    <n v="5211"/>
    <s v="Environmental Services"/>
    <s v="Environmental Services"/>
    <s v="24084400, REDMOND ENVIRONMENTAL SERVICES"/>
    <s v="1000 Net Sq Ft Cleaned"/>
    <n v="32.15"/>
    <n v="57.56"/>
    <n v="0.44440000000000002"/>
    <n v="167.62"/>
    <n v="99.98"/>
    <n v="0"/>
    <n v="10"/>
    <n v="163.04"/>
    <n v="169.69"/>
    <n v="185.79"/>
    <n v="0.95650000000000002"/>
    <n v="2.89"/>
    <n v="-87002.289828137698"/>
    <n v="-4184"/>
    <n v="-2.00598658788227"/>
  </r>
  <r>
    <s v="3531Providence Medford Medical Center339059075400, BLOOD BANK"/>
    <m/>
    <x v="3"/>
    <s v="OR"/>
    <s v="OR"/>
    <n v="3531"/>
    <x v="29"/>
    <n v="3390"/>
    <s v="Laboratory Services: Blood Bank"/>
    <s v="Laboratory Services"/>
    <s v="59075400, BLOOD BANK"/>
    <s v="100 Billed Tests"/>
    <n v="163.75"/>
    <n v="157.12"/>
    <n v="0.33329999999999999"/>
    <n v="27.37"/>
    <n v="26.84"/>
    <n v="0.75"/>
    <n v="10"/>
    <n v="19.86"/>
    <n v="20.57"/>
    <n v="23.68"/>
    <n v="0.97130000000000005"/>
    <n v="2.09"/>
    <n v="35753.389346363198"/>
    <n v="1032"/>
    <n v="0.49463326526298301"/>
  </r>
  <r>
    <s v="3531Providence Medford Medical Center344059076390, MAMMOGRAPHY"/>
    <m/>
    <x v="3"/>
    <s v="OR"/>
    <s v="OR"/>
    <n v="3531"/>
    <x v="29"/>
    <n v="3440"/>
    <s v="Mammography"/>
    <s v="Imaging Services"/>
    <s v="59076390, MAMMOGRAPHY"/>
    <s v="APC Relative Weight"/>
    <n v="14531.19"/>
    <n v="20913.52"/>
    <n v="0.33329999999999999"/>
    <n v="0.43"/>
    <n v="0.38"/>
    <n v="0"/>
    <n v="10"/>
    <n v="0.43"/>
    <n v="0.5"/>
    <n v="0.56999999999999995"/>
    <n v="0.89610000000000001"/>
    <n v="4.26"/>
    <n v="-105582.222389111"/>
    <n v="-2784"/>
    <n v="-1.3348548240962601"/>
  </r>
  <r>
    <s v="2947Providence Alaska Medical Center5110Dietary and Nutritional Services"/>
    <m/>
    <x v="0"/>
    <s v="AK"/>
    <s v="AK"/>
    <n v="2947"/>
    <x v="0"/>
    <n v="5110"/>
    <s v="Patient Food Services"/>
    <s v="Food and Nutrition Services"/>
    <s v="Dietary and Nutritional Services"/>
    <s v="ART: Total Patient Meal Equivalents"/>
    <n v="363134.85"/>
    <n v="382641.24"/>
    <n v="0.8"/>
    <n v="0.27"/>
    <n v="0.24"/>
    <n v="0"/>
    <n v="11"/>
    <n v="0.32"/>
    <n v="0.34"/>
    <n v="0.36"/>
    <n v="0.88819999999999999"/>
    <n v="50.33"/>
    <n v="-809360.13873277395"/>
    <n v="-41501"/>
    <n v="-19.897641313901101"/>
  </r>
  <r>
    <s v="2947Providence Alaska Medical Center3410Diagnostic Radiology"/>
    <m/>
    <x v="0"/>
    <s v="AK"/>
    <s v="AK"/>
    <n v="2947"/>
    <x v="0"/>
    <n v="3410"/>
    <s v="Diagnostic Radiology Including Interventional Procedures"/>
    <s v="Imaging Services"/>
    <s v="Diagnostic Radiology"/>
    <s v="APC Relative Weight"/>
    <n v="52222.9"/>
    <n v="54814.77"/>
    <n v="0.4"/>
    <n v="0.36"/>
    <n v="0.5"/>
    <n v="0"/>
    <n v="11"/>
    <n v="0.56999999999999995"/>
    <n v="0.6"/>
    <n v="0.61"/>
    <n v="0.86739999999999995"/>
    <n v="15.11"/>
    <n v="-226275.05412966799"/>
    <n v="-6402"/>
    <n v="-3.0693180433769198"/>
  </r>
  <r>
    <s v="2947Providence Alaska Medical Center5010Maintenance &amp; Grounds"/>
    <m/>
    <x v="0"/>
    <s v="AK"/>
    <s v="AK"/>
    <n v="2947"/>
    <x v="0"/>
    <n v="5010"/>
    <s v="Plant Maintenance and Grounds"/>
    <s v="Facility Services"/>
    <s v="Maintenance &amp; Grounds"/>
    <s v="1000 Gross Square Feet Maintained"/>
    <n v="2144"/>
    <n v="2144"/>
    <n v="0.5"/>
    <n v="23.25"/>
    <n v="19.62"/>
    <n v="0.1429"/>
    <n v="11"/>
    <n v="20.100000000000001"/>
    <n v="20.329999999999998"/>
    <n v="20.81"/>
    <n v="0.87970000000000004"/>
    <n v="22.99"/>
    <n v="-44866.126609754603"/>
    <n v="-1598"/>
    <n v="-0.766131824743852"/>
  </r>
  <r>
    <s v="2947Providence Alaska Medical Center1110Renal Care Unit"/>
    <m/>
    <x v="0"/>
    <s v="AK"/>
    <s v="AK"/>
    <n v="2947"/>
    <x v="0"/>
    <n v="1110"/>
    <s v="Medical/Surgical Intermediate Care Unit"/>
    <s v="Nursing Services"/>
    <s v="Renal Care Unit"/>
    <s v="Equivalent Patient Day"/>
    <n v="3812"/>
    <n v="3671"/>
    <n v="0.55559999999999998"/>
    <n v="10.69"/>
    <n v="12.266011985834922"/>
    <n v="0.4"/>
    <n v="11"/>
    <n v="12"/>
    <n v="12.26"/>
    <n v="12.67"/>
    <n v="0.91039999999999999"/>
    <n v="23.78"/>
    <n v="938.1689367310704"/>
    <n v="24.24209138839975"/>
    <n v="1.1622944411447301E-2"/>
  </r>
  <r>
    <s v="2947Providence Alaska Medical Center1023CARDIAC THORASIC ICU"/>
    <m/>
    <x v="0"/>
    <s v="AK"/>
    <s v="AK"/>
    <n v="2947"/>
    <x v="0"/>
    <n v="1023"/>
    <s v="Cardiovascular Surgical Intensive Care Unit"/>
    <s v="Nursing Services"/>
    <s v="CARDIAC THORASIC ICU"/>
    <s v="Equivalent Patient Day"/>
    <m/>
    <n v="2371"/>
    <n v="0.5"/>
    <m/>
    <n v="20.100000000000001"/>
    <n v="0.5"/>
    <n v="11"/>
    <n v="19"/>
    <n v="19.59"/>
    <n v="20.100000000000001"/>
    <n v="0.92589999999999995"/>
    <n v="24.75"/>
    <n v="65329.861191798002"/>
    <n v="1456"/>
    <n v="0.69806260558898403"/>
  </r>
  <r>
    <s v="2687Providence Holy Cross Medical Center201072070100, 72070120 Emergency Department / Trauma"/>
    <m/>
    <x v="2"/>
    <s v="CA"/>
    <s v="CA"/>
    <n v="2687"/>
    <x v="4"/>
    <n v="2010"/>
    <s v="Emergency Department"/>
    <s v="Emergency Services"/>
    <s v="72070100, 72070120 Emergency Department / Trauma"/>
    <s v="Patient Visits"/>
    <n v="93203"/>
    <n v="105613"/>
    <n v="0.7"/>
    <n v="2.2799999999999998"/>
    <n v="2.16"/>
    <n v="0"/>
    <n v="11"/>
    <n v="2.41"/>
    <n v="2.61"/>
    <n v="2.88"/>
    <n v="0.91639999999999999"/>
    <n v="117.3"/>
    <n v="-2596637.7893500398"/>
    <n v="-56144"/>
    <n v="-26.918496901444001"/>
  </r>
  <r>
    <s v="3525Providence Centralia Hospital661033386100-34086100-34086102 Hospital Administration"/>
    <m/>
    <x v="1"/>
    <s v="SWR"/>
    <s v="WA"/>
    <n v="3525"/>
    <x v="10"/>
    <n v="6610"/>
    <s v="Administration"/>
    <s v="Administration"/>
    <s v="33386100-34086100-34086102 Hospital Administration"/>
    <s v="100 Adjusted Discharges"/>
    <n v="145.4"/>
    <n v="127.9"/>
    <n v="0.5"/>
    <n v="114.38"/>
    <n v="108.35"/>
    <n v="0.7"/>
    <n v="11"/>
    <n v="76.819999999999993"/>
    <n v="85.29"/>
    <n v="103.61"/>
    <n v="0.88829999999999998"/>
    <n v="7.5"/>
    <n v="230935.58880344601"/>
    <n v="3362"/>
    <n v="1.6121443284602901"/>
  </r>
  <r>
    <s v="3523Providence Everett Medical Center500131684500, Facility Services"/>
    <m/>
    <x v="1"/>
    <s v="NWR"/>
    <s v="WA"/>
    <n v="3523"/>
    <x v="1"/>
    <n v="5001"/>
    <s v="Plant Operations / Plant Maintenance and Grounds"/>
    <s v="Facility Services"/>
    <s v="31684500, Facility Services"/>
    <s v="1000 Gross Square Feet Maintained"/>
    <n v="2931.56"/>
    <n v="3183"/>
    <n v="0.9"/>
    <n v="25.63"/>
    <n v="21.38"/>
    <n v="0.1111"/>
    <n v="11"/>
    <n v="22.63"/>
    <n v="23.54"/>
    <n v="24.97"/>
    <n v="0.87560000000000004"/>
    <n v="37.369999999999997"/>
    <n v="-224892.14986042099"/>
    <n v="-7631"/>
    <n v="-3.6584871160231298"/>
  </r>
  <r>
    <s v="3523Providence Everett Medical Center651031687100 Medical Staff Administration"/>
    <m/>
    <x v="1"/>
    <s v="NWR"/>
    <s v="WA"/>
    <n v="3523"/>
    <x v="1"/>
    <n v="6510"/>
    <s v="Medical Staff Services"/>
    <s v="Medical Staff Services"/>
    <s v="31687100 Medical Staff Administration"/>
    <s v="Physicians On Active Medical Staff"/>
    <n v="583"/>
    <n v="604"/>
    <n v="0.9"/>
    <n v="13.55"/>
    <n v="12.84"/>
    <n v="0.22220000000000001"/>
    <n v="11"/>
    <n v="15.3"/>
    <n v="22.98"/>
    <n v="25.23"/>
    <n v="0.88880000000000003"/>
    <n v="4.2"/>
    <n v="-210506.91945582401"/>
    <n v="-6857"/>
    <n v="-3.2874007034399599"/>
  </r>
  <r>
    <s v="3523Providence Everett Medical Center412031677300 Pulmonary Diagnostics"/>
    <m/>
    <x v="1"/>
    <s v="NWR"/>
    <s v="WA"/>
    <n v="3523"/>
    <x v="1"/>
    <n v="4120"/>
    <s v="Pulmonary Diagnostics"/>
    <s v="Respiratory and Pulmonary Care Services"/>
    <s v="31677300 Pulmonary Diagnostics"/>
    <s v="CMI Weighted Total Facility Discharges"/>
    <n v="48981.16"/>
    <n v="46318.15"/>
    <n v="0.9"/>
    <n v="0.1"/>
    <n v="0.11"/>
    <n v="0.4"/>
    <n v="11"/>
    <n v="7.0000000000000007E-2"/>
    <n v="0.1"/>
    <n v="0.11"/>
    <n v="0.9385"/>
    <n v="2.58"/>
    <n v="17264.4373814303"/>
    <n v="446"/>
    <n v="0.21372570081644501"/>
  </r>
  <r>
    <s v="2687Providence Holy Cross Medical Center482572077900 Occupational Therapy - Acute Inpatient &amp; Outpatient"/>
    <m/>
    <x v="2"/>
    <s v="CA"/>
    <s v="CA"/>
    <n v="2687"/>
    <x v="4"/>
    <n v="4825"/>
    <s v="Occupational Therapy: Inpatient and Outpatient"/>
    <s v="Rehabilitation Services"/>
    <s v="72077900 Occupational Therapy - Acute Inpatient &amp; Outpatient"/>
    <s v="1000 Baseline Billed Time Units (BTUs)"/>
    <n v="633.15"/>
    <n v="962.42"/>
    <n v="0.6"/>
    <n v="27.11"/>
    <n v="20.56"/>
    <n v="0"/>
    <n v="11"/>
    <n v="21.74"/>
    <n v="22.46"/>
    <n v="23.61"/>
    <n v="0.90439999999999998"/>
    <n v="10.52"/>
    <n v="-90765.001608085397"/>
    <n v="-1959"/>
    <n v="-0.93940309994489501"/>
  </r>
  <r>
    <s v="2687Providence Holy Cross Medical Center101372060100, INTENSIVE CARE UNIT"/>
    <m/>
    <x v="2"/>
    <s v="CA"/>
    <s v="CA"/>
    <n v="2687"/>
    <x v="4"/>
    <n v="1013"/>
    <s v="Med/Surg/Cardiac Intensive Care Unit"/>
    <s v="Nursing Services"/>
    <s v="72060100, INTENSIVE CARE UNIT"/>
    <s v="Equivalent Patient Day"/>
    <n v="8311"/>
    <n v="8208"/>
    <n v="0.9"/>
    <n v="21.87"/>
    <n v="22.6"/>
    <n v="1"/>
    <n v="11"/>
    <n v="17.670000000000002"/>
    <n v="18.27"/>
    <n v="18.79"/>
    <n v="0.90549999999999997"/>
    <n v="98.51"/>
    <n v="2094526.15610773"/>
    <n v="39852"/>
    <n v="19.107239856892001"/>
  </r>
  <r>
    <s v="3851Providence Holy Family Hospital504036584601, BIOMED INSTRUMENT SERVICES"/>
    <m/>
    <x v="4"/>
    <s v="PHC"/>
    <s v="WA"/>
    <n v="3851"/>
    <x v="11"/>
    <n v="5040"/>
    <s v="Biomedical Engineering"/>
    <s v="Facility Services"/>
    <s v="36584601, BIOMED INSTRUMENT SERVICES"/>
    <s v="100 Equipment and Devices Maintained"/>
    <n v="18.87"/>
    <n v="18.149999999999999"/>
    <n v="0.4"/>
    <n v="174.12"/>
    <n v="190.77"/>
    <n v="0.5"/>
    <n v="11"/>
    <n v="177.17"/>
    <n v="182.65"/>
    <n v="190.77"/>
    <n v="0.83160000000000001"/>
    <n v="2"/>
    <n v="7691.9941196134296"/>
    <n v="185"/>
    <n v="8.8695051944799999E-2"/>
  </r>
  <r>
    <s v="3528Providence Hood River Memorial Hospital121156061700, MEDICAL_SURGICAL"/>
    <m/>
    <x v="3"/>
    <s v="OR"/>
    <s v="OR"/>
    <n v="3528"/>
    <x v="12"/>
    <n v="1211"/>
    <s v="General Medical Acute Care Unit"/>
    <s v="Nursing Services"/>
    <s v="56061700, MEDICAL_SURGICAL"/>
    <s v="Equivalent Patient Day"/>
    <n v="2833"/>
    <n v="2716.88"/>
    <n v="0.6"/>
    <n v="11.13"/>
    <n v="13.54"/>
    <n v="0.375"/>
    <n v="11"/>
    <n v="13.01"/>
    <n v="13.44"/>
    <n v="13.67"/>
    <n v="0.87849999999999995"/>
    <n v="20.14"/>
    <n v="16199.7848095677"/>
    <n v="441"/>
    <n v="0.21143082271288799"/>
  </r>
  <r>
    <s v="3532Providence Little Company of Mary Hospital344076276315 03440 WOMENS IMAGING"/>
    <m/>
    <x v="2"/>
    <s v="CA"/>
    <s v="CA"/>
    <n v="3532"/>
    <x v="13"/>
    <n v="3440"/>
    <s v="Mammography"/>
    <s v="Imaging Services"/>
    <s v="76276315 03440 WOMENS IMAGING"/>
    <s v="APC Relative Weight"/>
    <m/>
    <n v="40439.83"/>
    <n v="0.7"/>
    <m/>
    <n v="0.47"/>
    <n v="0.2"/>
    <n v="11"/>
    <n v="0.51"/>
    <n v="0.55000000000000004"/>
    <n v="0.57999999999999996"/>
    <n v="0.83909999999999996"/>
    <n v="10.9"/>
    <n v="-131751.14112301799"/>
    <n v="-3773"/>
    <n v="-1.8088556966679501"/>
  </r>
  <r>
    <s v="3532Providence Little Company of Mary Hospital346076276500 03460 NUCLEAR MEDICINE"/>
    <m/>
    <x v="2"/>
    <s v="CA"/>
    <s v="CA"/>
    <n v="3532"/>
    <x v="13"/>
    <n v="3460"/>
    <s v="Nuclear Medicine"/>
    <s v="Imaging Services"/>
    <s v="76276500 03460 NUCLEAR MEDICINE"/>
    <s v="APC Relative Weight"/>
    <n v="57339.38"/>
    <n v="61669.97"/>
    <n v="0.6"/>
    <n v="0.15"/>
    <n v="0.2"/>
    <n v="0.42859999999999998"/>
    <n v="11"/>
    <n v="0.2"/>
    <n v="0.2"/>
    <n v="0.21"/>
    <n v="0.87580000000000002"/>
    <n v="6.72"/>
    <n v="-3139.6047602470799"/>
    <n v="-67"/>
    <n v="-3.2225703617134699E-2"/>
  </r>
  <r>
    <s v="3532Providence Little Company of Mary Hospital191076286142 01910 TCU ADMINISTRATION"/>
    <m/>
    <x v="2"/>
    <s v="CA"/>
    <s v="CA"/>
    <n v="3532"/>
    <x v="13"/>
    <n v="1910"/>
    <s v="Nursing Administration"/>
    <s v="Nursing Services"/>
    <s v="76286142 01910 TCU ADMINISTRATION"/>
    <s v="Nursing Division Employees"/>
    <n v="144"/>
    <n v="147"/>
    <n v="0.5"/>
    <n v="138.37"/>
    <n v="19.82"/>
    <m/>
    <n v="11"/>
    <n v="98.02"/>
    <n v="101.5"/>
    <n v="119.29"/>
    <n v="0.9042"/>
    <n v="7.9"/>
    <n v="-1076.20820492235"/>
    <n v="-24"/>
    <n v="-1.1649393495360099E-2"/>
  </r>
  <r>
    <s v="3532Providence Little Company of Mary Hospital481576277700 04815 PHYSICAL THERAPY"/>
    <m/>
    <x v="2"/>
    <s v="CA"/>
    <s v="CA"/>
    <n v="3532"/>
    <x v="13"/>
    <n v="4815"/>
    <s v="Physical Therapy: Inpatient and Outpatient"/>
    <s v="Rehabilitation Services"/>
    <s v="76277700 04815 PHYSICAL THERAPY"/>
    <s v="1000 Baseline Billed Time Units (BTUs)"/>
    <n v="2600.31"/>
    <n v="2777"/>
    <n v="1"/>
    <n v="26.82"/>
    <n v="26.67"/>
    <n v="1"/>
    <n v="11"/>
    <n v="26.06"/>
    <n v="26.69"/>
    <n v="27.45"/>
    <n v="0.90590000000000004"/>
    <n v="39.299999999999997"/>
    <n v="5916.6896342305299"/>
    <n v="151"/>
    <n v="7.2344491037242206E-2"/>
  </r>
  <r>
    <s v="3529Providence Milwaukie Hospital335055075000 55075400 89009 CLIN AND BLOOD COMBO"/>
    <m/>
    <x v="3"/>
    <s v="OR"/>
    <s v="OR"/>
    <n v="3529"/>
    <x v="15"/>
    <n v="3350"/>
    <s v="Laboratory Services: Clinical Operations and Blood Bank Combined"/>
    <s v="Laboratory Services"/>
    <s v="55075000 55075400 89009 CLIN AND BLOOD COMBO"/>
    <s v="100 Billed Tests"/>
    <n v="2594.09"/>
    <n v="2544.98"/>
    <n v="0.7"/>
    <n v="9.68"/>
    <n v="10.77"/>
    <m/>
    <n v="11"/>
    <n v="17.100000000000001"/>
    <n v="17.79"/>
    <n v="18.510000000000002"/>
    <n v="0.90310000000000001"/>
    <n v="14.59"/>
    <n v="-532602.92239057005"/>
    <n v="-19703"/>
    <n v="-9.4465779774807004"/>
  </r>
  <r>
    <s v="3530Providence Newberg Hospital302057074270, PACU"/>
    <m/>
    <x v="3"/>
    <s v="OR"/>
    <s v="OR"/>
    <n v="3530"/>
    <x v="17"/>
    <n v="3020"/>
    <s v="Post Anesthesia Care Unit (PACU)"/>
    <s v="Surgical Services"/>
    <s v="57074270, PACU"/>
    <s v="100 PACU Minutes"/>
    <n v="1399.2"/>
    <n v="3849.94"/>
    <n v="0.6"/>
    <n v="4.8"/>
    <n v="1.94"/>
    <n v="0.1"/>
    <n v="11"/>
    <n v="3.11"/>
    <n v="3.19"/>
    <n v="3.97"/>
    <n v="0.90100000000000002"/>
    <n v="3.99"/>
    <n v="-267152.37193851499"/>
    <n v="-5309"/>
    <n v="-2.54533737505492"/>
  </r>
  <r>
    <s v="3527Providence Portland Medical Center432052278740, SLEEP LAB"/>
    <m/>
    <x v="3"/>
    <s v="OR"/>
    <s v="OR"/>
    <n v="3527"/>
    <x v="18"/>
    <n v="4320"/>
    <s v="Sleep Diagnostic Center"/>
    <s v="Neurodiagnostic Services"/>
    <s v="52278740, SLEEP LAB"/>
    <s v="APC Relative Weight"/>
    <n v="13212.16"/>
    <n v="31949.73"/>
    <n v="0.5"/>
    <n v="0.9"/>
    <n v="0.42"/>
    <m/>
    <n v="11"/>
    <n v="0.77"/>
    <n v="0.77"/>
    <n v="0.84"/>
    <n v="0.84589999999999999"/>
    <n v="7.58"/>
    <n v="-423082.06128557603"/>
    <n v="-13273"/>
    <n v="-6.3639896407719796"/>
  </r>
  <r>
    <s v="3527Providence Portland Medical Center500152284100, 52284500, 52284600 GROUNDS &amp; GARDENS, FACILITY &amp; MAINT"/>
    <m/>
    <x v="3"/>
    <s v="OR"/>
    <s v="OR"/>
    <n v="3527"/>
    <x v="18"/>
    <n v="5001"/>
    <s v="Plant Operations / Plant Maintenance and Grounds"/>
    <s v="Facility Services"/>
    <s v="52284100, 52284500, 52284600 GROUNDS &amp; GARDENS, FACILITY &amp; MAINT"/>
    <s v="1000 Gross Square Feet Maintained"/>
    <n v="2199.7600000000002"/>
    <n v="2199.7600000000002"/>
    <n v="0.5"/>
    <n v="26.14"/>
    <n v="22.771811470342215"/>
    <n v="0.7"/>
    <n v="11"/>
    <n v="23.13"/>
    <n v="24.97"/>
    <n v="27.53"/>
    <n v="0.86539999999999995"/>
    <n v="37.700000000000003"/>
    <n v="-198358.90409059427"/>
    <n v="-5587.5747631153317"/>
    <n v="-2.6789925507576986"/>
  </r>
  <r>
    <s v="3527Providence Portland Medical Center345052276700 52276701, ULTRASOUND"/>
    <m/>
    <x v="3"/>
    <s v="OR"/>
    <s v="OR"/>
    <n v="3527"/>
    <x v="18"/>
    <n v="3450"/>
    <s v="Ultrasound"/>
    <s v="Imaging Services"/>
    <s v="52276700 52276701, ULTRASOUND"/>
    <s v="APC Relative Weight"/>
    <n v="55783.89"/>
    <n v="56571.16"/>
    <n v="0.6"/>
    <n v="0.43"/>
    <n v="0.43"/>
    <n v="0.3"/>
    <n v="11"/>
    <n v="0.42"/>
    <n v="0.44"/>
    <n v="0.47"/>
    <n v="0.91469999999999996"/>
    <n v="12.75"/>
    <n v="-26048.733295087401"/>
    <n v="-620"/>
    <n v="-0.29719761604343398"/>
  </r>
  <r>
    <s v="3852Providence Sacred Heart Medical Center303034574271, AM ADMIT UNIT"/>
    <m/>
    <x v="4"/>
    <s v="PHC"/>
    <s v="WA"/>
    <n v="3852"/>
    <x v="9"/>
    <n v="3030"/>
    <s v="Surgery Pre Op and Post Recovery Only"/>
    <s v="Surgical Services"/>
    <s v="34574271, AM ADMIT UNIT"/>
    <s v="100 Patient Observation Minutes"/>
    <n v="18833.52"/>
    <n v="19983.599999999999"/>
    <n v="0.6"/>
    <n v="2.2400000000000002"/>
    <n v="2.2599999999999998"/>
    <n v="0.44440000000000002"/>
    <n v="11"/>
    <n v="2.0499999999999998"/>
    <n v="2.16"/>
    <n v="2.46"/>
    <n v="0.89249999999999996"/>
    <n v="24.35"/>
    <n v="104471.396051171"/>
    <n v="2423"/>
    <n v="1.1617799356401699"/>
  </r>
  <r>
    <s v="3852Providence Sacred Heart Medical Center341234576490, INTERVENTIONAL RADIOLOGY"/>
    <m/>
    <x v="4"/>
    <s v="PHC"/>
    <s v="WA"/>
    <n v="3852"/>
    <x v="9"/>
    <n v="3412"/>
    <s v="Interventional Radiology"/>
    <s v="Imaging Services"/>
    <s v="34576490, INTERVENTIONAL RADIOLOGY"/>
    <s v="APC Relative Weight"/>
    <n v="204560.95"/>
    <n v="217962.02"/>
    <n v="0.8"/>
    <n v="0.12"/>
    <n v="0.12"/>
    <n v="0.2"/>
    <n v="11"/>
    <n v="0.12"/>
    <n v="0.14000000000000001"/>
    <n v="0.15"/>
    <n v="0.876"/>
    <n v="14.09"/>
    <n v="-251078.00479494"/>
    <n v="-5447"/>
    <n v="-2.61140134505832"/>
  </r>
  <r>
    <s v="3852Providence Sacred Heart Medical Center229734587901, WOMENS HEALTH CENTER"/>
    <m/>
    <x v="4"/>
    <s v="PHC"/>
    <s v="WA"/>
    <n v="3852"/>
    <x v="9"/>
    <n v="2297"/>
    <s v="Womens Health Clinic"/>
    <s v="Ambulatory Care Clinics"/>
    <s v="34587901, WOMENS HEALTH CENTER"/>
    <s v="Patient Visits"/>
    <n v="4790"/>
    <n v="5291"/>
    <n v="0.6"/>
    <n v="2.34"/>
    <n v="2.12"/>
    <n v="0.5"/>
    <n v="11"/>
    <n v="1.08"/>
    <n v="1.48"/>
    <n v="2.12"/>
    <n v="0.84209999999999996"/>
    <n v="6.41"/>
    <n v="209661.499559777"/>
    <n v="4070"/>
    <n v="1.95154930301991"/>
  </r>
  <r>
    <s v="3852Providence Sacred Heart Medical Center431034576200, ELECTRO NEURO DIAGNOSTICS"/>
    <m/>
    <x v="4"/>
    <s v="PHC"/>
    <s v="WA"/>
    <n v="3852"/>
    <x v="9"/>
    <n v="4310"/>
    <s v="Neurodiagnostic Laboratory (EEG)"/>
    <s v="Neurodiagnostic Services"/>
    <s v="34576200, ELECTRO NEURO DIAGNOSTICS"/>
    <s v="APC Relative Weight"/>
    <n v="14973.93"/>
    <n v="17150.59"/>
    <n v="0.5"/>
    <n v="0.63"/>
    <n v="0.55000000000000004"/>
    <n v="0.1111"/>
    <n v="11"/>
    <n v="0.61"/>
    <n v="0.68"/>
    <n v="0.78"/>
    <n v="0.88639999999999997"/>
    <n v="5.14"/>
    <n v="-94380.177451977695"/>
    <n v="-2437"/>
    <n v="-1.1682135805638201"/>
  </r>
  <r>
    <s v="3854Providence Saint Mary Medical Center226732576430, MEDICAL ONCOLOGY CLINIC"/>
    <m/>
    <x v="4"/>
    <s v="SER"/>
    <s v="WA"/>
    <n v="3854"/>
    <x v="8"/>
    <n v="2267"/>
    <s v="Oncology / Hematology Clinic"/>
    <s v="Ambulatory Care Clinics"/>
    <s v="32576430, MEDICAL ONCOLOGY CLINIC"/>
    <s v="Patient Visits"/>
    <n v="13862"/>
    <n v="8420"/>
    <n v="0.5"/>
    <n v="1.33"/>
    <n v="2.23"/>
    <n v="0.8"/>
    <n v="11"/>
    <n v="1.42"/>
    <n v="1.64"/>
    <n v="1.88"/>
    <n v="0.87070000000000003"/>
    <n v="10.38"/>
    <n v="238965.60469219001"/>
    <n v="5790"/>
    <n v="2.77611475648721"/>
  </r>
  <r>
    <s v="3533Providence San Pedro Peninsula Hospital581077283600 SPH PAT. &amp; FAM. SERV"/>
    <m/>
    <x v="2"/>
    <s v="CA"/>
    <s v="CA"/>
    <n v="3533"/>
    <x v="14"/>
    <n v="5810"/>
    <s v="Social Work"/>
    <s v="Clinical Resource Management Services"/>
    <s v="77283600 SPH PAT. &amp; FAM. SERV"/>
    <s v="Social Work Cases"/>
    <n v="8063"/>
    <n v="13490"/>
    <n v="0.5"/>
    <n v="0.96"/>
    <n v="0.67"/>
    <n v="0.2"/>
    <n v="11"/>
    <n v="0.7"/>
    <n v="0.77"/>
    <n v="0.86"/>
    <n v="0.94399999999999995"/>
    <n v="4.59"/>
    <n v="-53772.558835904398"/>
    <n v="-1430"/>
    <n v="-0.68568478818232104"/>
  </r>
  <r>
    <s v="3533Providence San Pedro Peninsula Hospital481577277700 PHYSICAL THERAPY"/>
    <m/>
    <x v="2"/>
    <s v="CA"/>
    <s v="CA"/>
    <n v="3533"/>
    <x v="14"/>
    <n v="4815"/>
    <s v="Physical Therapy: Inpatient and Outpatient"/>
    <s v="Rehabilitation Services"/>
    <s v="77277700 PHYSICAL THERAPY"/>
    <s v="1000 Baseline Billed Time Units (BTUs)"/>
    <n v="1117.45"/>
    <n v="1359.61"/>
    <n v="0.7"/>
    <n v="29.21"/>
    <n v="25.67"/>
    <n v="0.44440000000000002"/>
    <n v="11"/>
    <n v="25.12"/>
    <n v="25.37"/>
    <n v="26.17"/>
    <n v="0.88749999999999996"/>
    <n v="18.899999999999999"/>
    <n v="20675.847977036901"/>
    <n v="554"/>
    <n v="0.26563428902512998"/>
  </r>
  <r>
    <s v="3533Providence San Pedro Peninsula Hospital111177261713, SPH 3W TELE"/>
    <m/>
    <x v="2"/>
    <s v="CA"/>
    <s v="CA"/>
    <n v="3533"/>
    <x v="14"/>
    <n v="1111"/>
    <s v="Med/Surg/Cardiac Intermediate Care Unit"/>
    <s v="Nursing Services"/>
    <s v="77261713, SPH 3W TELE"/>
    <s v="Equivalent Patient Day"/>
    <n v="7079"/>
    <n v="7999"/>
    <n v="0.5"/>
    <n v="13.08"/>
    <n v="12.88"/>
    <n v="0.55559999999999998"/>
    <n v="11"/>
    <n v="12.32"/>
    <n v="12.74"/>
    <n v="12.83"/>
    <n v="0.93430000000000002"/>
    <n v="53.02"/>
    <n v="61631.296901363399"/>
    <n v="1510"/>
    <n v="0.72418509806724496"/>
  </r>
  <r>
    <s v="3533Providence San Pedro Peninsula Hospital183001830, Centralized Telemetry Normalization (U,N)"/>
    <m/>
    <x v="2"/>
    <s v="CA"/>
    <s v="CA"/>
    <n v="3533"/>
    <x v="14"/>
    <n v="1830"/>
    <s v="Centralized Telemetry"/>
    <s v="Nursing Services"/>
    <s v="01830, Centralized Telemetry Normalization (U,N)"/>
    <s v="Telemetry Days Supported"/>
    <n v="6786"/>
    <n v="7600"/>
    <n v="0.58750000000000002"/>
    <n v="1.01"/>
    <n v="1.08"/>
    <n v="0.50180000000000002"/>
    <n v="11"/>
    <n v="0.77"/>
    <n v="0.84"/>
    <n v="1.07"/>
    <n v="0.90749999999999997"/>
    <n v="4.3600000000000003"/>
    <n v="45955.280693276203"/>
    <n v="2059"/>
    <n v="0.98717037742644997"/>
  </r>
  <r>
    <s v="3526Providence Seaside Hospital300151074200, SURGICAL SERVICES"/>
    <m/>
    <x v="3"/>
    <s v="OR"/>
    <s v="OR"/>
    <n v="3526"/>
    <x v="19"/>
    <n v="3001"/>
    <s v="Surgical Services Combined Without Anesthesia"/>
    <s v="Surgical Services"/>
    <s v="51074200, SURGICAL SERVICES"/>
    <s v="100 Operating Room Minutes"/>
    <n v="3141.66"/>
    <n v="757"/>
    <n v="0.6"/>
    <n v="6.31"/>
    <n v="29.75"/>
    <n v="0.6"/>
    <n v="11"/>
    <n v="21.29"/>
    <n v="23.06"/>
    <n v="24.1"/>
    <n v="0.89790000000000003"/>
    <n v="12.06"/>
    <n v="246458.47235362499"/>
    <n v="5712"/>
    <n v="2.73872395121521"/>
  </r>
  <r>
    <s v="2719Providence St Joseph Medical Center584071087550 - 05840 - PSJMC CASE MANAGEMENT"/>
    <m/>
    <x v="2"/>
    <s v="CA"/>
    <s v="CA"/>
    <n v="2719"/>
    <x v="6"/>
    <n v="5840"/>
    <s v="Case Management"/>
    <s v="Clinical Resource Management Services"/>
    <s v="71087550 - 05840 - PSJMC CASE MANAGEMENT"/>
    <s v="Cases Managed"/>
    <n v="30161"/>
    <n v="43404"/>
    <n v="0.7"/>
    <n v="1.56"/>
    <n v="1.17"/>
    <n v="0.125"/>
    <n v="11"/>
    <n v="1.22"/>
    <n v="1.23"/>
    <n v="1.25"/>
    <n v="0.90839999999999999"/>
    <n v="26.87"/>
    <n v="-116118.987390767"/>
    <n v="-2728"/>
    <n v="-1.3077232635720499"/>
  </r>
  <r>
    <s v="2719Providence St Joseph Medical Center127271063800 - 01272 - PSJMC 4NE (OB) and Nursery"/>
    <m/>
    <x v="2"/>
    <s v="CA"/>
    <s v="CA"/>
    <n v="2719"/>
    <x v="6"/>
    <n v="1272"/>
    <s v="Mother/Baby Unit"/>
    <s v="Nursing Services"/>
    <s v="71063800 - 01272 - PSJMC 4NE (OB) and Nursery"/>
    <s v="Equivalent Patient Day"/>
    <n v="13328"/>
    <n v="12244"/>
    <n v="0.6"/>
    <n v="7.69"/>
    <n v="7.78"/>
    <n v="0.85709999999999997"/>
    <n v="11"/>
    <n v="7.32"/>
    <n v="7.4"/>
    <n v="7.47"/>
    <n v="0.87990000000000002"/>
    <n v="52.06"/>
    <n v="268085.04251319502"/>
    <n v="5609"/>
    <n v="2.6892321408049198"/>
  </r>
  <r>
    <s v="2719Providence St Joseph Medical Center511071083400 - 05110 - PSJMC DIETARY PATIENT SRVS"/>
    <m/>
    <x v="2"/>
    <s v="CA"/>
    <s v="CA"/>
    <n v="2719"/>
    <x v="6"/>
    <n v="5110"/>
    <s v="Patient Food Services"/>
    <s v="Food and Nutrition Services"/>
    <s v="71083400 - 05110 - PSJMC DIETARY PATIENT SRVS"/>
    <s v="ART: Total Patient Meal Equivalents"/>
    <n v="267421.51"/>
    <n v="275162.14"/>
    <n v="0.6"/>
    <n v="0.32"/>
    <n v="0.32"/>
    <n v="0.25"/>
    <n v="11"/>
    <n v="0.32"/>
    <n v="0.34"/>
    <n v="0.36"/>
    <n v="0.92269999999999996"/>
    <n v="46.58"/>
    <n v="-83346.005583795501"/>
    <n v="-4241"/>
    <n v="-2.0333146134957998"/>
  </r>
  <r>
    <s v="3853Providence St Joseph's Hospital Chewelah201037570100, 70101 EMERGENCY SERVICES"/>
    <m/>
    <x v="4"/>
    <s v="PHC"/>
    <s v="WA"/>
    <n v="3853"/>
    <x v="20"/>
    <n v="2010"/>
    <s v="Emergency Department"/>
    <s v="Emergency Services"/>
    <s v="37570100, 70101 EMERGENCY SERVICES"/>
    <s v="Patient Visits"/>
    <n v="4363"/>
    <n v="4881"/>
    <n v="0.4"/>
    <n v="3.39"/>
    <n v="3.08"/>
    <n v="0.3"/>
    <n v="11"/>
    <n v="3.03"/>
    <n v="3.35"/>
    <n v="3.96"/>
    <n v="0.85919999999999996"/>
    <n v="8.4"/>
    <n v="-56187.9439589877"/>
    <n v="-1511"/>
    <n v="-0.72446700771387496"/>
  </r>
  <r>
    <s v="3524Providence St Peter Hospital335033075000 33075001 33075020 33075091 33075097 Combined Lab Service"/>
    <m/>
    <x v="1"/>
    <s v="SWR"/>
    <s v="WA"/>
    <n v="3524"/>
    <x v="2"/>
    <n v="3350"/>
    <s v="Laboratory Services: Clinical Operations and Blood Bank Combined"/>
    <s v="Laboratory Services"/>
    <s v="33075000 33075001 33075020 33075091 33075097 Combined Lab Service"/>
    <s v="100 Billed Tests"/>
    <n v="20525.16"/>
    <n v="20978.77"/>
    <n v="0.9"/>
    <n v="6.26"/>
    <n v="6.02"/>
    <n v="0"/>
    <n v="11"/>
    <n v="10.63"/>
    <n v="11.31"/>
    <n v="13.02"/>
    <n v="0.89280000000000004"/>
    <n v="67.959999999999994"/>
    <n v="-3804228.6563216001"/>
    <n v="-124016"/>
    <n v="-59.459707502599599"/>
  </r>
  <r>
    <s v="3524Providence St Peter Hospital221633070800, Anticoagulant Clinic"/>
    <m/>
    <x v="1"/>
    <s v="SWR"/>
    <s v="WA"/>
    <n v="3524"/>
    <x v="2"/>
    <n v="2216"/>
    <s v="Anticoagulant Clinic"/>
    <s v="Ambulatory Care Clinics"/>
    <s v="33070800, Anticoagulant Clinic"/>
    <s v="Patient Visits"/>
    <n v="13190"/>
    <n v="14312"/>
    <n v="0.5"/>
    <n v="0.23"/>
    <n v="0.47"/>
    <n v="0.18179999999999999"/>
    <n v="11"/>
    <n v="0.49"/>
    <n v="0.56000000000000005"/>
    <n v="0.59"/>
    <n v="0.88829999999999998"/>
    <n v="3.64"/>
    <n v="-80181.6403453081"/>
    <n v="-1431"/>
    <n v="-0.68590374025414502"/>
  </r>
  <r>
    <s v="3524Providence St Peter Hospital124033061770, ORTHOPEDICS ACUTE"/>
    <m/>
    <x v="1"/>
    <s v="SWR"/>
    <s v="WA"/>
    <n v="3524"/>
    <x v="2"/>
    <n v="1240"/>
    <s v="Orthopedic Acute Care Unit"/>
    <s v="Nursing Services"/>
    <s v="33061770, ORTHOPEDICS ACUTE"/>
    <s v="Equivalent Patient Day"/>
    <n v="7388.08"/>
    <n v="7725.62"/>
    <n v="0.5"/>
    <n v="10.79"/>
    <n v="10.83"/>
    <n v="0.2"/>
    <n v="11"/>
    <n v="10.87"/>
    <n v="10.92"/>
    <n v="11.4"/>
    <n v="0.86880000000000002"/>
    <n v="46.29"/>
    <n v="-21416.822186958601"/>
    <n v="-557"/>
    <n v="-0.26692922894840598"/>
  </r>
  <r>
    <s v="3535Providence St Vincent Medical Center521153084400, ENVIRONMENTAL SERVICES"/>
    <m/>
    <x v="3"/>
    <s v="OR"/>
    <s v="OR"/>
    <n v="3535"/>
    <x v="22"/>
    <n v="5211"/>
    <s v="Environmental Services"/>
    <s v="Environmental Services"/>
    <s v="53084400, ENVIRONMENTAL SERVICES"/>
    <s v="1000 Net Sq Ft Cleaned"/>
    <n v="902.79"/>
    <n v="902.79"/>
    <n v="0.6"/>
    <n v="208.97"/>
    <n v="250.13170283233089"/>
    <n v="0.66669999999999996"/>
    <n v="11"/>
    <n v="212.62"/>
    <n v="215.81"/>
    <n v="228.44"/>
    <n v="0.90090000000000003"/>
    <n v="111.74"/>
    <n v="1229575.003968254"/>
    <n v="34393.706404706405"/>
    <n v="16.490246154627417"/>
  </r>
  <r>
    <s v="3535Providence St Vincent Medical Center301153074200, SURGICAL SERVICES"/>
    <m/>
    <x v="3"/>
    <s v="OR"/>
    <s v="OR"/>
    <n v="3535"/>
    <x v="22"/>
    <n v="3011"/>
    <s v="Operating Room"/>
    <s v="Surgical Services"/>
    <s v="53074200, SURGICAL SERVICES"/>
    <s v="100 Operating Room Minutes"/>
    <n v="19489.2"/>
    <n v="19506.95"/>
    <n v="0.5"/>
    <n v="10.16"/>
    <n v="10.41"/>
    <n v="0.18179999999999999"/>
    <n v="11"/>
    <n v="10.62"/>
    <n v="10.83"/>
    <n v="11.39"/>
    <n v="0.87080000000000002"/>
    <n v="112.09"/>
    <n v="-341879.99918015802"/>
    <n v="-8819"/>
    <n v="-4.2281713309096602"/>
  </r>
  <r>
    <s v="3535Providence St Vincent Medical Center482553077900, OCCUPATIONAL THERAPY"/>
    <m/>
    <x v="3"/>
    <s v="OR"/>
    <s v="OR"/>
    <n v="3535"/>
    <x v="22"/>
    <n v="4825"/>
    <s v="Occupational Therapy: Inpatient and Outpatient"/>
    <s v="Rehabilitation Services"/>
    <s v="53077900, OCCUPATIONAL THERAPY"/>
    <s v="1000 Baseline Billed Time Units (BTUs)"/>
    <n v="1187.75"/>
    <n v="1557.52"/>
    <n v="0.9"/>
    <n v="23.05"/>
    <n v="18.8"/>
    <n v="0"/>
    <n v="11"/>
    <n v="22.37"/>
    <n v="22.55"/>
    <n v="23.75"/>
    <n v="0.89949999999999997"/>
    <n v="15.65"/>
    <n v="-236615.87081375701"/>
    <n v="-6405"/>
    <n v="-3.0709192280859701"/>
  </r>
  <r>
    <s v="3535Providence St Vincent Medical Center339053075400, BLOOD BANK"/>
    <m/>
    <x v="3"/>
    <s v="OR"/>
    <s v="OR"/>
    <n v="3535"/>
    <x v="22"/>
    <n v="3390"/>
    <s v="Laboratory Services: Blood Bank"/>
    <s v="Laboratory Services"/>
    <s v="53075400, BLOOD BANK"/>
    <s v="100 Billed Tests"/>
    <n v="717.6"/>
    <n v="741.01"/>
    <n v="0.6"/>
    <n v="16.22"/>
    <n v="15.54"/>
    <n v="0.33329999999999999"/>
    <n v="11"/>
    <n v="13.25"/>
    <n v="15.94"/>
    <n v="18.48"/>
    <n v="0.90669999999999995"/>
    <n v="6.11"/>
    <n v="-9901.2745582578009"/>
    <n v="-284"/>
    <n v="-0.13592735950735699"/>
  </r>
  <r>
    <s v="3535Providence St Vincent Medical Center346053076500, NUCLEAR MEDICINE"/>
    <m/>
    <x v="3"/>
    <s v="OR"/>
    <s v="OR"/>
    <n v="3535"/>
    <x v="22"/>
    <n v="3460"/>
    <s v="Nuclear Medicine"/>
    <s v="Imaging Services"/>
    <s v="53076500, NUCLEAR MEDICINE"/>
    <s v="APC Relative Weight"/>
    <n v="57900.68"/>
    <n v="62819.93"/>
    <n v="0.7"/>
    <n v="0.23"/>
    <n v="0.21"/>
    <n v="0.375"/>
    <n v="11"/>
    <n v="0.2"/>
    <n v="0.21"/>
    <n v="0.22"/>
    <n v="0.90210000000000001"/>
    <n v="7.16"/>
    <n v="13571.1532096183"/>
    <n v="310"/>
    <n v="0.14851161548721301"/>
  </r>
  <r>
    <s v="3535Providence St Vincent Medical Center481253077710, SPORTS CENTER REHAB"/>
    <m/>
    <x v="3"/>
    <s v="OR"/>
    <s v="OR"/>
    <n v="3535"/>
    <x v="22"/>
    <n v="4812"/>
    <s v="Physical Therapy: Outpatient"/>
    <s v="Rehabilitation Services"/>
    <s v="53077710, SPORTS CENTER REHAB"/>
    <s v="1000 Baseline Billed Time Units (BTUs)"/>
    <n v="920.2"/>
    <n v="1349.29"/>
    <n v="0.58209999999999995"/>
    <n v="26.71"/>
    <n v="22.22"/>
    <n v="0.70169999999999999"/>
    <n v="11"/>
    <n v="20.62"/>
    <n v="21.54"/>
    <n v="21.88"/>
    <n v="0.87880000000000003"/>
    <n v="16.399999999999999"/>
    <n v="40365.762453820003"/>
    <n v="1133"/>
    <n v="0.54343503322328601"/>
  </r>
  <r>
    <s v="3535Providence St Vincent Medical Center103553060105, NEURO CRITICAL CARE"/>
    <m/>
    <x v="3"/>
    <s v="OR"/>
    <s v="OR"/>
    <n v="3535"/>
    <x v="22"/>
    <n v="1035"/>
    <s v="Neurology/Neurosurgical Intensive Care Unit"/>
    <s v="Nursing Services"/>
    <s v="53060105, NEURO CRITICAL CARE"/>
    <s v="Equivalent Patient Day"/>
    <n v="2460.62"/>
    <n v="3000"/>
    <n v="0.5"/>
    <n v="20.3"/>
    <n v="20.22"/>
    <n v="0.7"/>
    <n v="11"/>
    <n v="18.649999999999999"/>
    <n v="18.79"/>
    <n v="19.3"/>
    <n v="0.91900000000000004"/>
    <n v="31.73"/>
    <n v="267826.74672923097"/>
    <n v="4841"/>
    <n v="2.3209712246974501"/>
  </r>
  <r>
    <s v="3535Providence St Vincent Medical Center349953076395, DIAG IMAGING ADM SUPPORT"/>
    <m/>
    <x v="3"/>
    <s v="OR"/>
    <s v="OR"/>
    <n v="3535"/>
    <x v="22"/>
    <n v="3499"/>
    <s v="Imaging Services Administration"/>
    <s v="Imaging Services"/>
    <s v="53076395, DIAG IMAGING ADM SUPPORT"/>
    <s v="APC Relative Weight Supported"/>
    <n v="429359.47"/>
    <n v="442002.1287"/>
    <n v="0.5"/>
    <n v="0.1"/>
    <n v="0.1"/>
    <n v="0.9"/>
    <n v="11"/>
    <n v="0.04"/>
    <n v="0.05"/>
    <n v="0.06"/>
    <n v="0.87590000000000001"/>
    <n v="24.71"/>
    <n v="681820.19830051705"/>
    <n v="26306"/>
    <n v="12.612712619161099"/>
  </r>
  <r>
    <s v="3535Providence St Vincent Medical Center511153083410, NUTRITION SERVICES"/>
    <m/>
    <x v="3"/>
    <s v="OR"/>
    <s v="OR"/>
    <n v="3535"/>
    <x v="22"/>
    <n v="5111"/>
    <s v="Clinical Nutrition Services"/>
    <s v="Food and Nutrition Services"/>
    <s v="53083410, NUTRITION SERVICES"/>
    <s v="Total Medical Nutritional Therapy Interventions"/>
    <n v="59084"/>
    <n v="62547"/>
    <n v="0.5"/>
    <n v="0.48"/>
    <n v="0.44"/>
    <n v="1"/>
    <n v="11"/>
    <n v="0.27"/>
    <n v="0.28000000000000003"/>
    <n v="0.32"/>
    <n v="0.86809999999999998"/>
    <n v="15.27"/>
    <n v="352440.58322351403"/>
    <n v="11675"/>
    <n v="5.5974069115036302"/>
  </r>
  <r>
    <s v="4283Providence St. John's Health Center481273577710, SJHC OUTPATIENT REHAB (U)"/>
    <m/>
    <x v="2"/>
    <s v="CA"/>
    <s v="CA"/>
    <n v="4283"/>
    <x v="23"/>
    <n v="4812"/>
    <s v="Physical Therapy: Outpatient"/>
    <s v="Rehabilitation Services"/>
    <s v="73577710, SJHC OUTPATIENT REHAB (U)"/>
    <s v="1000 Baseline Billed Time Units (BTUs)"/>
    <n v="272.26"/>
    <n v="297.92"/>
    <n v="0.64880000000000004"/>
    <n v="0"/>
    <n v="1.51"/>
    <m/>
    <n v="11"/>
    <n v="21.23"/>
    <n v="23.53"/>
    <n v="24.71"/>
    <n v="0.9486"/>
    <n v="0.91"/>
    <n v="-40671.511714576802"/>
    <n v="-6915.401626554929"/>
    <n v="-13.262504917399299"/>
  </r>
  <r>
    <s v="3755Providence Tarzana Medical Center423072575700, CARDIAC CATH LAB"/>
    <m/>
    <x v="2"/>
    <s v="CA"/>
    <s v="CA"/>
    <n v="3755"/>
    <x v="3"/>
    <n v="4230"/>
    <s v="Combined Invasive Cardiology and Vascular Services"/>
    <s v="Cardiology and Vascular Services Series"/>
    <s v="72575700, CARDIAC CATH LAB"/>
    <s v="Procedure Minutes"/>
    <n v="120151"/>
    <n v="143547"/>
    <n v="0.4"/>
    <n v="0.13"/>
    <n v="0.13"/>
    <n v="0.1429"/>
    <n v="11"/>
    <n v="0.14000000000000001"/>
    <n v="0.15"/>
    <n v="0.17"/>
    <n v="0.87960000000000005"/>
    <n v="10.06"/>
    <n v="-217850.48395403399"/>
    <n v="-3497"/>
    <n v="-1.67676253571305"/>
  </r>
  <r>
    <s v="3755Providence Tarzana Medical Center581072583600, SOCIAL SERVICES"/>
    <m/>
    <x v="2"/>
    <s v="CA"/>
    <s v="CA"/>
    <n v="3755"/>
    <x v="3"/>
    <n v="5810"/>
    <s v="Social Work"/>
    <s v="Clinical Resource Management Services"/>
    <s v="72583600, SOCIAL SERVICES"/>
    <s v="Social Work Cases"/>
    <n v="10449"/>
    <n v="9699"/>
    <n v="0.5"/>
    <n v="0.9"/>
    <n v="0.99"/>
    <n v="0.41670000000000001"/>
    <n v="11"/>
    <n v="0.8"/>
    <n v="0.97"/>
    <n v="1.0900000000000001"/>
    <n v="0.89710000000000001"/>
    <n v="5.16"/>
    <n v="13506.487163824901"/>
    <n v="275"/>
    <n v="0.131875810410329"/>
  </r>
  <r>
    <s v="3849Providence Willamette Falls Medical Center560853505608, CENTRALIZED SCHEDULING (U,N)"/>
    <m/>
    <x v="3"/>
    <s v="OR"/>
    <s v="OR"/>
    <n v="3849"/>
    <x v="7"/>
    <n v="5608"/>
    <s v="Centralized Scheduling"/>
    <s v="Revenue Cycle Management"/>
    <s v="53505608, CENTRALIZED SCHEDULING (U,N)"/>
    <s v="Adjusted Discharges"/>
    <n v="11107.16"/>
    <n v="11776.13"/>
    <n v="0.51600000000000001"/>
    <n v="0.79"/>
    <n v="0.77"/>
    <n v="0.28660000000000002"/>
    <n v="11"/>
    <n v="0.65"/>
    <n v="1"/>
    <n v="1.21"/>
    <n v="0.90039999999999998"/>
    <n v="4.8499999999999996"/>
    <n v="-57402.026128673198"/>
    <n v="-2963"/>
    <n v="-1.420689025033"/>
  </r>
  <r>
    <s v="3849Providence Willamette Falls Medical Center482553577900, OCCUPATIONAL THERAPY"/>
    <m/>
    <x v="3"/>
    <s v="OR"/>
    <s v="OR"/>
    <n v="3849"/>
    <x v="7"/>
    <n v="4825"/>
    <s v="Occupational Therapy: Inpatient and Outpatient"/>
    <s v="Rehabilitation Services"/>
    <s v="53577900, OCCUPATIONAL THERAPY"/>
    <s v="1000 Baseline Billed Time Units (BTUs)"/>
    <n v="193.34"/>
    <n v="306.18"/>
    <n v="0.5"/>
    <n v="25"/>
    <n v="20.88"/>
    <n v="0.2"/>
    <n v="11"/>
    <n v="22.45"/>
    <n v="24.04"/>
    <n v="25.31"/>
    <n v="0.92330000000000001"/>
    <n v="3.33"/>
    <n v="-39622.919495972201"/>
    <n v="-1027"/>
    <n v="-0.49222813837233698"/>
  </r>
  <r>
    <s v="3849Providence Willamette Falls Medical Center342053576800, CTT SCANNER"/>
    <m/>
    <x v="3"/>
    <s v="OR"/>
    <s v="OR"/>
    <n v="3849"/>
    <x v="7"/>
    <n v="3420"/>
    <s v="Computerized Tomography"/>
    <s v="Imaging Services"/>
    <s v="53576800, CTT SCANNER"/>
    <s v="APC Relative Weight"/>
    <n v="33440.89"/>
    <n v="33248.19"/>
    <n v="1"/>
    <n v="0.25"/>
    <n v="0.27"/>
    <n v="0.33329999999999999"/>
    <n v="11"/>
    <n v="0.27"/>
    <n v="0.28000000000000003"/>
    <n v="0.33"/>
    <n v="0.91739999999999999"/>
    <n v="4.78"/>
    <n v="-7082.4978967303196"/>
    <n v="-178"/>
    <n v="-8.5365397491837094E-2"/>
  </r>
  <r>
    <s v="3849Providence Willamette Falls Medical Center307053583800, STERILE PROCESSING"/>
    <m/>
    <x v="3"/>
    <s v="OR"/>
    <s v="OR"/>
    <n v="3849"/>
    <x v="7"/>
    <n v="3070"/>
    <s v="Sterile Processing"/>
    <s v="Surgical Services"/>
    <s v="53583800, STERILE PROCESSING"/>
    <s v="100 Items Processed"/>
    <n v="835.47"/>
    <n v="869.01"/>
    <n v="0.6"/>
    <n v="18.489999999999998"/>
    <n v="18.34"/>
    <n v="0.4"/>
    <n v="11"/>
    <n v="15.67"/>
    <n v="17.350000000000001"/>
    <n v="19.87"/>
    <n v="0.89810000000000001"/>
    <n v="8.5299999999999994"/>
    <n v="21342.497662706301"/>
    <n v="1003"/>
    <n v="0.48089272251125198"/>
  </r>
  <r>
    <s v="3930Swedish Ballard3499Imaging Services Administration (N)"/>
    <m/>
    <x v="1"/>
    <s v="SHS"/>
    <s v="WA"/>
    <n v="3930"/>
    <x v="24"/>
    <n v="3499"/>
    <s v="Imaging Services Administration"/>
    <s v="Imaging Services"/>
    <s v="Imaging Services Administration (N)"/>
    <s v="APC Relative Weight Supported"/>
    <n v="79264.710000000006"/>
    <n v="87903.26"/>
    <n v="0.5"/>
    <n v="7.0000000000000007E-2"/>
    <n v="0.05"/>
    <n v="0.1111"/>
    <n v="11"/>
    <n v="0.05"/>
    <n v="0.06"/>
    <n v="7.0000000000000007E-2"/>
    <n v="0.89339999999999997"/>
    <n v="2.2200000000000002"/>
    <n v="-51158.712768411402"/>
    <n v="-1273"/>
    <n v="-0.61046926119731804"/>
  </r>
  <r>
    <s v="3928Swedish Cherry Hill181022077158 INTRAVENOUS NURSES"/>
    <m/>
    <x v="1"/>
    <s v="SHS"/>
    <s v="WA"/>
    <n v="3928"/>
    <x v="25"/>
    <n v="1810"/>
    <s v="IV Team (Vascular Access)"/>
    <s v="Nursing Services"/>
    <s v="22077158 INTRAVENOUS NURSES"/>
    <s v="100 Procedures"/>
    <n v="0.3"/>
    <n v="9.6"/>
    <n v="0.3"/>
    <n v="57142.45"/>
    <n v="2001.69"/>
    <n v="0.8"/>
    <n v="11"/>
    <n v="32.18"/>
    <n v="44.77"/>
    <n v="565.85"/>
    <n v="0.87009999999999998"/>
    <n v="10.62"/>
    <n v="1225921.24999818"/>
    <n v="21656"/>
    <n v="10.3831696713646"/>
  </r>
  <r>
    <s v="3929Swedish Edmonds304023074291 EYE SURGERY"/>
    <m/>
    <x v="1"/>
    <s v="SHS"/>
    <s v="WA"/>
    <n v="3929"/>
    <x v="31"/>
    <n v="3040"/>
    <s v="Ambulatory Surgery Center"/>
    <s v="Surgical Services"/>
    <s v="23074291 EYE SURGERY"/>
    <s v="100 Operating Room Minutes"/>
    <n v="319.89999999999998"/>
    <n v="297.25"/>
    <n v="0.2"/>
    <n v="24.55"/>
    <n v="21.36"/>
    <n v="0.3"/>
    <n v="11"/>
    <n v="20.239999999999998"/>
    <n v="22.83"/>
    <n v="24.77"/>
    <n v="0.86070000000000002"/>
    <n v="3.55"/>
    <n v="-25150.195946314499"/>
    <n v="-480"/>
    <n v="-0.230281410704335"/>
  </r>
  <r>
    <s v="3929Swedish Edmonds5608Centralized Scheduling (N)"/>
    <m/>
    <x v="1"/>
    <s v="SHS"/>
    <s v="WA"/>
    <n v="3929"/>
    <x v="31"/>
    <n v="5608"/>
    <s v="Centralized Scheduling"/>
    <s v="Revenue Cycle Management"/>
    <s v="Centralized Scheduling (N)"/>
    <s v="Adjusted Discharges"/>
    <n v="14737.7"/>
    <n v="17352.55"/>
    <n v="0.47760000000000002"/>
    <n v="1.1100000000000001"/>
    <n v="1.45"/>
    <n v="0.9153"/>
    <n v="11"/>
    <n v="0.42"/>
    <n v="0.46"/>
    <n v="0.77"/>
    <n v="0.89100000000000001"/>
    <n v="13.53"/>
    <n v="449681.695132792"/>
    <n v="19261"/>
    <n v="9.2347189006083692"/>
  </r>
  <r>
    <s v="3927Swedish First Hill127721060700-1 NEONATAL INTENSIVE CARE/INTERMEDIATE CARE"/>
    <m/>
    <x v="1"/>
    <s v="SHS"/>
    <s v="WA"/>
    <n v="3927"/>
    <x v="26"/>
    <n v="1277"/>
    <s v="Neonatal Intensive Care Unit (NICU)"/>
    <s v="Nursing Services"/>
    <s v="21060700-1 NEONATAL INTENSIVE CARE/INTERMEDIATE CARE"/>
    <s v="Patient Days (Neonate)"/>
    <n v="9371"/>
    <n v="22204"/>
    <n v="1"/>
    <n v="14.9"/>
    <n v="12.31"/>
    <n v="0.2"/>
    <n v="11"/>
    <n v="12.34"/>
    <n v="12.88"/>
    <n v="13.56"/>
    <n v="0.89490000000000003"/>
    <n v="146.81"/>
    <n v="-695378.47397324897"/>
    <n v="-13373"/>
    <n v="-6.4118608510882797"/>
  </r>
  <r>
    <s v="3927Swedish First Hill127621063801 ANTEPARTUM"/>
    <m/>
    <x v="1"/>
    <s v="SHS"/>
    <s v="WA"/>
    <n v="3927"/>
    <x v="26"/>
    <n v="1276"/>
    <s v="High Risk Obstetrical Unit"/>
    <s v="Nursing Services"/>
    <s v="21063801 ANTEPARTUM"/>
    <s v="Equivalent Patient Day"/>
    <n v="5163.67"/>
    <n v="5201"/>
    <n v="0.5"/>
    <n v="9.92"/>
    <n v="9.99"/>
    <n v="0.2"/>
    <n v="11"/>
    <n v="10.19"/>
    <n v="10.83"/>
    <n v="11.97"/>
    <n v="0.85809999999999997"/>
    <n v="29.12"/>
    <n v="-289807.911319573"/>
    <n v="-4906"/>
    <n v="-2.35208875134582"/>
  </r>
  <r>
    <s v="3931Swedish Issaquah126022562900 PEDIATRIC UNIT"/>
    <m/>
    <x v="1"/>
    <s v="SHS"/>
    <s v="WA"/>
    <n v="3931"/>
    <x v="28"/>
    <n v="1260"/>
    <s v="Pediatric Acute Care Unit"/>
    <s v="Nursing Services"/>
    <s v="22562900 PEDIATRIC UNIT"/>
    <s v="Equivalent Patient Day"/>
    <n v="377.33"/>
    <n v="444"/>
    <n v="0.5"/>
    <n v="25.86"/>
    <n v="28.27"/>
    <n v="0.66669999999999996"/>
    <n v="11"/>
    <n v="18.440000000000001"/>
    <n v="18.87"/>
    <n v="21.83"/>
    <n v="0.92969999999999997"/>
    <n v="6.49"/>
    <n v="234651.50883834"/>
    <n v="4524"/>
    <n v="2.1692394585153001"/>
  </r>
  <r>
    <s v="3531Providence Medford Medical Center127059074000, MATERNITY SERVICES"/>
    <m/>
    <x v="3"/>
    <s v="OR"/>
    <s v="OR"/>
    <n v="3531"/>
    <x v="29"/>
    <n v="1270"/>
    <s v="Labor/Delivery/Recovery/Postpartum/Nursery"/>
    <s v="Nursing Services"/>
    <s v="59074000, MATERNITY SERVICES"/>
    <s v="Neonate Deliveries"/>
    <n v="521"/>
    <n v="433"/>
    <n v="0.5"/>
    <n v="72.55"/>
    <n v="86.38"/>
    <n v="1"/>
    <n v="11"/>
    <n v="68.94"/>
    <n v="70.13"/>
    <n v="70.95"/>
    <n v="0.8609"/>
    <n v="20.89"/>
    <n v="374442.407268329"/>
    <n v="8298"/>
    <n v="3.9783031036343099"/>
  </r>
  <r>
    <s v="2947Providence Alaska Medical Center5925TRANSPORT AND LOGISTICS"/>
    <m/>
    <x v="0"/>
    <s v="AK"/>
    <s v="AK"/>
    <n v="2947"/>
    <x v="0"/>
    <n v="5925"/>
    <s v="Patient Escort (Transport) Service"/>
    <s v="Other Support Services"/>
    <s v="TRANSPORT AND LOGISTICS"/>
    <s v="100 Patient Transports Performed"/>
    <n v="1035.03"/>
    <n v="1051.06"/>
    <n v="0.54549999999999998"/>
    <n v="31.06"/>
    <n v="31.9"/>
    <n v="0.18179999999999999"/>
    <n v="12"/>
    <n v="33.65"/>
    <n v="35.97"/>
    <n v="41.04"/>
    <n v="0.90169999999999995"/>
    <n v="17.88"/>
    <n v="-82514.148431148395"/>
    <n v="-4636"/>
    <n v="-2.2226835200916502"/>
  </r>
  <r>
    <s v="2947Providence Alaska Medical Center4630Endoscopy"/>
    <m/>
    <x v="0"/>
    <s v="AK"/>
    <s v="AK"/>
    <n v="2947"/>
    <x v="0"/>
    <n v="4630"/>
    <s v="Endoscopy (GI) Laboratory"/>
    <s v="Other Clinical Support Services"/>
    <s v="Endoscopy"/>
    <s v="Procedure Minutes"/>
    <m/>
    <n v="161556"/>
    <n v="0.54549999999999998"/>
    <m/>
    <n v="0.12"/>
    <n v="0.1"/>
    <n v="12"/>
    <n v="0.13"/>
    <n v="0.14000000000000001"/>
    <n v="0.16"/>
    <n v="0.89970000000000006"/>
    <n v="10.47"/>
    <n v="-150048.66848207699"/>
    <n v="-3302"/>
    <n v="-1.58317788002499"/>
  </r>
  <r>
    <s v="2947Providence Alaska Medical Center111119860101, IMCU"/>
    <m/>
    <x v="0"/>
    <s v="AK"/>
    <s v="AK"/>
    <n v="2947"/>
    <x v="0"/>
    <n v="1111"/>
    <s v="Med/Surg/Cardiac Intermediate Care Unit"/>
    <s v="Nursing Services"/>
    <s v="19860101, IMCU"/>
    <s v="Equivalent Patient Day"/>
    <m/>
    <n v="3026"/>
    <n v="0.54549999999999998"/>
    <m/>
    <n v="14.11"/>
    <n v="0.6"/>
    <n v="12"/>
    <n v="12.55"/>
    <n v="12.95"/>
    <n v="13.57"/>
    <n v="0.99939999999999996"/>
    <n v="20.54"/>
    <n v="134240.54486156499"/>
    <n v="3630"/>
    <n v="1.7404477462332"/>
  </r>
  <r>
    <s v="3525Providence Centralia Hospital521134084400, ENVIRONMENTAL SERVICES"/>
    <m/>
    <x v="1"/>
    <s v="SWR"/>
    <s v="WA"/>
    <n v="3525"/>
    <x v="10"/>
    <n v="5211"/>
    <s v="Environmental Services"/>
    <s v="Environmental Services"/>
    <s v="34084400, ENVIRONMENTAL SERVICES"/>
    <s v="1000 Net Sq Ft Cleaned"/>
    <n v="183.09"/>
    <n v="183.09"/>
    <n v="0.54549999999999998"/>
    <n v="293.55"/>
    <n v="306.27"/>
    <n v="0.90910000000000002"/>
    <n v="12"/>
    <n v="163.5"/>
    <n v="174.31"/>
    <n v="190.18"/>
    <n v="0.89419999999999999"/>
    <n v="30.15"/>
    <n v="473650.73034844"/>
    <n v="27194"/>
    <n v="13.0380138170643"/>
  </r>
  <r>
    <s v="3525Providence Centralia Hospital304034074300, AMBULATORY SURGERY SERVICES"/>
    <m/>
    <x v="1"/>
    <s v="SWR"/>
    <s v="WA"/>
    <n v="3525"/>
    <x v="10"/>
    <n v="3040"/>
    <s v="Ambulatory Surgery Center"/>
    <s v="Surgical Services"/>
    <s v="34074300, AMBULATORY SURGERY SERVICES"/>
    <s v="100 Operating Room Minutes"/>
    <n v="2374.0700000000002"/>
    <n v="2460.21"/>
    <n v="0.54549999999999998"/>
    <n v="11.61"/>
    <n v="11.91"/>
    <n v="0"/>
    <n v="12"/>
    <n v="15.7"/>
    <n v="17.239999999999998"/>
    <n v="19.04"/>
    <n v="0.88170000000000004"/>
    <n v="15.98"/>
    <n v="-654164.99741855206"/>
    <n v="-14775"/>
    <n v="-7.0841130974294497"/>
  </r>
  <r>
    <s v="3525Providence Centralia Hospital101134060300, CRITICAL CARE UNIT (U)"/>
    <m/>
    <x v="1"/>
    <s v="SWR"/>
    <s v="WA"/>
    <n v="3525"/>
    <x v="10"/>
    <n v="1011"/>
    <s v="Medical Intensive Care Unit"/>
    <s v="Nursing Services"/>
    <s v="34060300, CRITICAL CARE UNIT (U)"/>
    <s v="Equivalent Patient Day"/>
    <n v="1415.83"/>
    <n v="1423.65"/>
    <n v="0.57299999999999995"/>
    <n v="18.28"/>
    <n v="16.88"/>
    <m/>
    <n v="12"/>
    <n v="19.36"/>
    <n v="20.04"/>
    <n v="22.32"/>
    <n v="0.95979999999999999"/>
    <n v="12.04"/>
    <n v="-209405.20577007401"/>
    <n v="-4613"/>
    <n v="-2.2117554944018298"/>
  </r>
  <r>
    <s v="3525Providence Centralia Hospital422034075910,34076200 ELECTROCARDIOLOGY and EEG"/>
    <m/>
    <x v="1"/>
    <s v="SWR"/>
    <s v="WA"/>
    <n v="3525"/>
    <x v="10"/>
    <n v="4220"/>
    <s v="Combined Noninvasive Cardiology and Vascular Services"/>
    <s v="Cardiology and Vascular Services Series"/>
    <s v="34075910,34076200 ELECTROCARDIOLOGY and EEG"/>
    <s v="APC Relative Weight"/>
    <n v="19470.29"/>
    <n v="28508.720000000001"/>
    <n v="0.54549999999999998"/>
    <n v="0.25"/>
    <n v="0.17"/>
    <n v="9.0899999999999995E-2"/>
    <n v="12"/>
    <n v="0.23"/>
    <n v="0.25"/>
    <n v="0.28000000000000003"/>
    <n v="0.93430000000000002"/>
    <n v="2.56"/>
    <n v="-81267.620485746404"/>
    <n v="-2289"/>
    <n v="-1.09745959662498"/>
  </r>
  <r>
    <s v="3525Providence Centralia Hospital121234061720, SURGICAL ACUTE"/>
    <m/>
    <x v="1"/>
    <s v="SWR"/>
    <s v="WA"/>
    <n v="3525"/>
    <x v="10"/>
    <n v="1212"/>
    <s v="General Surgical Acute Care Unit"/>
    <s v="Nursing Services"/>
    <s v="34061720, SURGICAL ACUTE"/>
    <s v="Equivalent Patient Day"/>
    <n v="5030.3900000000003"/>
    <n v="4890.33"/>
    <n v="0.54549999999999998"/>
    <n v="10.49"/>
    <n v="10.73"/>
    <n v="0.1"/>
    <n v="12"/>
    <n v="10.97"/>
    <n v="11.1"/>
    <n v="11.44"/>
    <n v="0.85419999999999996"/>
    <n v="29.54"/>
    <n v="-81046.038584843904"/>
    <n v="-1936"/>
    <n v="-0.92840620008608699"/>
  </r>
  <r>
    <s v="3525Providence Centralia Hospital621034086520 EDUCATION"/>
    <m/>
    <x v="1"/>
    <s v="SWR"/>
    <s v="WA"/>
    <n v="3525"/>
    <x v="10"/>
    <n v="6210"/>
    <s v="Clinical Staff Education"/>
    <s v="Educational Services"/>
    <s v="34086520 EDUCATION"/>
    <s v="Adjusted Discharges"/>
    <n v="14540.1"/>
    <n v="12790.03"/>
    <n v="0.45450000000000002"/>
    <n v="0.56999999999999995"/>
    <n v="0.54"/>
    <n v="0.5"/>
    <n v="12"/>
    <n v="0.4"/>
    <n v="0.5"/>
    <n v="0.54"/>
    <n v="0.88280000000000003"/>
    <n v="3.78"/>
    <n v="28544.740462803202"/>
    <n v="640"/>
    <n v="0.30681911753322899"/>
  </r>
  <r>
    <s v="3523Providence Everett Medical Center441131695503, Valley View Pharmacy"/>
    <m/>
    <x v="1"/>
    <s v="NWR"/>
    <s v="WA"/>
    <n v="3523"/>
    <x v="1"/>
    <n v="4411"/>
    <s v="Pharmacy Retail/Prescription Services"/>
    <s v="Pharmacy Services"/>
    <s v="31695503, Valley View Pharmacy"/>
    <s v="Retail Prescriptions Processed"/>
    <n v="106978"/>
    <n v="110557"/>
    <n v="0.81820000000000004"/>
    <n v="0.21"/>
    <n v="0.2"/>
    <n v="0.18179999999999999"/>
    <n v="12"/>
    <n v="0.21"/>
    <n v="0.22"/>
    <n v="0.25"/>
    <n v="0.9143"/>
    <n v="11.68"/>
    <n v="-71265.738084627403"/>
    <n v="-2241"/>
    <n v="-1.0746447058956301"/>
  </r>
  <r>
    <s v="3523Providence Everett Medical Center637031686700 Volunteer Services"/>
    <m/>
    <x v="1"/>
    <s v="NWR"/>
    <s v="WA"/>
    <n v="3523"/>
    <x v="1"/>
    <n v="6370"/>
    <s v="Volunteer Services"/>
    <s v="Community Outreach"/>
    <s v="31686700 Volunteer Services"/>
    <s v="100 Volunteer Service Hours"/>
    <n v="750.64"/>
    <n v="871.81"/>
    <n v="0.81820000000000004"/>
    <n v="6.97"/>
    <n v="5.85"/>
    <n v="0.3"/>
    <n v="12"/>
    <n v="5.82"/>
    <n v="7.3"/>
    <n v="9.41"/>
    <n v="0.90649999999999997"/>
    <n v="2.7"/>
    <n v="-39250.015748940903"/>
    <n v="-1389"/>
    <n v="-0.66608483143733299"/>
  </r>
  <r>
    <s v="3523Providence Everett Medical Center441131695501, MOB Pharmacy"/>
    <m/>
    <x v="1"/>
    <s v="NWR"/>
    <s v="WA"/>
    <n v="3523"/>
    <x v="1"/>
    <n v="4411"/>
    <s v="Pharmacy Retail/Prescription Services"/>
    <s v="Pharmacy Services"/>
    <s v="31695501, MOB Pharmacy"/>
    <s v="Retail Prescriptions Processed"/>
    <n v="46314"/>
    <n v="50162"/>
    <n v="0.63639999999999997"/>
    <n v="0.22"/>
    <n v="0.2"/>
    <n v="9.0899999999999995E-2"/>
    <n v="12"/>
    <n v="0.21"/>
    <n v="0.22"/>
    <n v="0.25"/>
    <n v="0.86970000000000003"/>
    <n v="5.53"/>
    <n v="-46536.219882260797"/>
    <n v="-1155"/>
    <n v="-0.55381799972368295"/>
  </r>
  <r>
    <s v="3523Providence Everett Medical Center441131677109, Pharmacy - Mill Creek"/>
    <m/>
    <x v="1"/>
    <s v="NWR"/>
    <s v="WA"/>
    <n v="3523"/>
    <x v="1"/>
    <n v="4411"/>
    <s v="Pharmacy Retail/Prescription Services"/>
    <s v="Pharmacy Services"/>
    <s v="31677109, Pharmacy - Mill Creek"/>
    <s v="Retail Prescriptions Processed"/>
    <n v="35676"/>
    <n v="35775"/>
    <n v="0.45450000000000002"/>
    <n v="0.21"/>
    <n v="0.21"/>
    <n v="0.2727"/>
    <n v="12"/>
    <n v="0.21"/>
    <n v="0.22"/>
    <n v="0.25"/>
    <n v="0.94210000000000005"/>
    <n v="3.84"/>
    <n v="-13734.681407025"/>
    <n v="-345"/>
    <n v="-0.165469953842869"/>
  </r>
  <r>
    <s v="3523Providence Everett Medical Center424131675930, Cardiac Rehabilitation"/>
    <m/>
    <x v="1"/>
    <s v="NWR"/>
    <s v="WA"/>
    <n v="3523"/>
    <x v="1"/>
    <n v="4241"/>
    <s v="Cardiac Rehabilitation Services"/>
    <s v="Cardiology and Vascular Services Series"/>
    <s v="31675930, Cardiac Rehabilitation"/>
    <s v="Patient Visits"/>
    <n v="6004"/>
    <n v="7074"/>
    <n v="0.36359999999999998"/>
    <m/>
    <n v="1.1599999999999999"/>
    <n v="0.66669999999999996"/>
    <n v="12"/>
    <n v="0.75"/>
    <n v="0.8"/>
    <n v="0.97"/>
    <n v="0.93779999999999997"/>
    <n v="4.21"/>
    <n v="98233.277722940606"/>
    <n v="2746"/>
    <n v="1.3167032917783901"/>
  </r>
  <r>
    <s v="3851Providence Holy Family Hospital581036583600, SOCIAL WORK SRVS"/>
    <m/>
    <x v="4"/>
    <s v="PHC"/>
    <s v="WA"/>
    <n v="3851"/>
    <x v="11"/>
    <n v="5810"/>
    <s v="Social Work"/>
    <s v="Clinical Resource Management Services"/>
    <s v="36583600, SOCIAL WORK SRVS"/>
    <s v="Social Work Cases"/>
    <m/>
    <n v="8555"/>
    <n v="0.36359999999999998"/>
    <m/>
    <n v="1.61"/>
    <n v="0.61539999999999995"/>
    <n v="12"/>
    <n v="0.84"/>
    <n v="0.98"/>
    <n v="1.05"/>
    <n v="0.88529999999999998"/>
    <n v="7.49"/>
    <n v="191496.46092322801"/>
    <n v="6152"/>
    <n v="2.9494989106268901"/>
  </r>
  <r>
    <s v="3851Providence Holy Family Hospital466536574201, SURG PROC CALL CTR"/>
    <m/>
    <x v="4"/>
    <s v="PHC"/>
    <s v="WA"/>
    <n v="3851"/>
    <x v="11"/>
    <n v="4665"/>
    <s v="Pre Admission / Pre Procedure Testing"/>
    <s v="Other Clinical Support Services"/>
    <s v="36574201, SURG PROC CALL CTR"/>
    <s v="Patient Visits"/>
    <n v="1186"/>
    <n v="1359"/>
    <n v="0.36359999999999998"/>
    <n v="7.65"/>
    <n v="6.73"/>
    <n v="0.63639999999999997"/>
    <n v="12"/>
    <n v="4.2"/>
    <n v="4.34"/>
    <n v="5.82"/>
    <n v="0.87070000000000003"/>
    <n v="5.05"/>
    <n v="176152.176458292"/>
    <n v="3759"/>
    <n v="1.8022035658889199"/>
  </r>
  <r>
    <s v="3851Providence Holy Family Hospital181036577150, IV THERAPY"/>
    <m/>
    <x v="4"/>
    <s v="PHC"/>
    <s v="WA"/>
    <n v="3851"/>
    <x v="11"/>
    <n v="1810"/>
    <s v="IV Team (Vascular Access)"/>
    <s v="Nursing Services"/>
    <s v="36577150, IV THERAPY"/>
    <s v="100 Procedures"/>
    <n v="206.11"/>
    <n v="207.54"/>
    <n v="0.63639999999999997"/>
    <n v="53.69"/>
    <n v="47.77"/>
    <n v="0.3"/>
    <n v="12"/>
    <n v="45.56"/>
    <n v="48.25"/>
    <n v="70.95"/>
    <n v="0.90610000000000002"/>
    <n v="5.26"/>
    <n v="-3845.6309082979701"/>
    <n v="-81"/>
    <n v="-3.8722291472472699E-2"/>
  </r>
  <r>
    <s v="3528Providence Hood River Memorial Hospital227756078400, OP MENTAL HEALTH"/>
    <m/>
    <x v="3"/>
    <s v="OR"/>
    <s v="OR"/>
    <n v="3528"/>
    <x v="12"/>
    <n v="2277"/>
    <s v="Psychiatry / Psychology Clinic"/>
    <s v="Ambulatory Care Clinics"/>
    <s v="56078400, OP MENTAL HEALTH"/>
    <s v="Patient Visits"/>
    <n v="5842"/>
    <n v="4546"/>
    <n v="0.54549999999999998"/>
    <n v="1.08"/>
    <n v="1.1599999999999999"/>
    <n v="0.36359999999999998"/>
    <n v="12"/>
    <n v="1.04"/>
    <n v="1.1599999999999999"/>
    <n v="1.52"/>
    <n v="0.89390000000000003"/>
    <n v="2.85"/>
    <n v="1746.79591253681"/>
    <n v="45"/>
    <n v="2.1562137741763601E-2"/>
  </r>
  <r>
    <s v="4282Providence Kodiak Hospital201018970100, 70101 EMERGENCY DEPARTMENT / Trauma"/>
    <m/>
    <x v="0"/>
    <s v="AK"/>
    <s v="AK"/>
    <n v="4282"/>
    <x v="5"/>
    <n v="2010"/>
    <s v="Emergency Department"/>
    <s v="Emergency Services"/>
    <s v="18970100, 70101 EMERGENCY DEPARTMENT / Trauma"/>
    <s v="Patient Visits"/>
    <n v="3959"/>
    <n v="3908"/>
    <n v="0.18179999999999999"/>
    <n v="5.23"/>
    <n v="5.25"/>
    <n v="0.72729999999999995"/>
    <n v="12"/>
    <n v="2.92"/>
    <n v="3.06"/>
    <n v="4.28"/>
    <n v="0.88009999999999999"/>
    <n v="11.21"/>
    <n v="555790.41759544797"/>
    <n v="9793"/>
    <n v="4.6953345311236498"/>
  </r>
  <r>
    <s v="3532Providence Little Company of Mary Hospital153076269200 01530 TCU"/>
    <m/>
    <x v="2"/>
    <s v="CA"/>
    <s v="CA"/>
    <n v="3532"/>
    <x v="13"/>
    <n v="1530"/>
    <s v="Skilled Nursing Unit"/>
    <s v="Nursing Services"/>
    <s v="76269200 01530 TCU"/>
    <s v="Patient Days"/>
    <n v="6083"/>
    <n v="6306"/>
    <n v="0.45450000000000002"/>
    <n v="6.7"/>
    <n v="6.71"/>
    <n v="0.2727"/>
    <n v="12"/>
    <n v="6.69"/>
    <n v="7.19"/>
    <n v="7.7"/>
    <n v="0.92010000000000003"/>
    <n v="22.1"/>
    <n v="-95843.051402799494"/>
    <n v="-3183"/>
    <n v="-1.5263147288351799"/>
  </r>
  <r>
    <s v="3532Providence Little Company of Mary Hospital401076276421 04010 RADIATION THERAPY"/>
    <m/>
    <x v="2"/>
    <s v="CA"/>
    <s v="CA"/>
    <n v="3532"/>
    <x v="13"/>
    <n v="4010"/>
    <s v="Radiation Therapy (Oncology)"/>
    <s v="Radiation Therapy Services"/>
    <s v="76276421 04010 RADIATION THERAPY"/>
    <s v="APC Relative Weight"/>
    <n v="0"/>
    <n v="15839"/>
    <n v="0.45450000000000002"/>
    <m/>
    <n v="1.08"/>
    <m/>
    <n v="12"/>
    <n v="0.39"/>
    <n v="0.42"/>
    <n v="0.46"/>
    <n v="0.86629999999999996"/>
    <n v="9.52"/>
    <n v="608954.62715118297"/>
    <n v="12177"/>
    <n v="5.8382279738020904"/>
  </r>
  <r>
    <s v="3850Providence Mount Carmel Hospital127037074000, LABOR AND DELIVERY"/>
    <m/>
    <x v="4"/>
    <s v="PHC"/>
    <s v="WA"/>
    <n v="3850"/>
    <x v="16"/>
    <n v="1270"/>
    <s v="Labor/Delivery/Recovery/Postpartum/Nursery"/>
    <s v="Nursing Services"/>
    <s v="37074000, LABOR AND DELIVERY"/>
    <s v="Neonate Deliveries"/>
    <n v="269"/>
    <n v="228"/>
    <n v="0.2727"/>
    <n v="39.29"/>
    <n v="50.66"/>
    <m/>
    <n v="12"/>
    <n v="77.55"/>
    <n v="81.89"/>
    <n v="85.64"/>
    <n v="0.90600000000000003"/>
    <n v="6.13"/>
    <n v="-366878.74149633199"/>
    <n v="-7823"/>
    <n v="-3.7506537230659598"/>
  </r>
  <r>
    <s v="3850Providence Mount Carmel Hospital5608Centralized Sheduling (U,N)"/>
    <m/>
    <x v="4"/>
    <s v="PHC"/>
    <s v="WA"/>
    <n v="3850"/>
    <x v="16"/>
    <n v="5608"/>
    <s v="Centralized Scheduling"/>
    <s v="Revenue Cycle Management"/>
    <s v="Centralized Sheduling (U,N)"/>
    <s v="Adjusted Discharges"/>
    <n v="5166.1899999999996"/>
    <n v="5142.01"/>
    <m/>
    <n v="1.1499999999999999"/>
    <n v="1.27"/>
    <n v="0.66090000000000004"/>
    <n v="12"/>
    <n v="0.57999999999999996"/>
    <n v="0.81"/>
    <n v="1.2"/>
    <n v="0.89239999999999997"/>
    <n v="3.52"/>
    <n v="70567.487707884793"/>
    <n v="2674"/>
    <n v="1.2822759317266801"/>
  </r>
  <r>
    <s v="3850Providence Mount Carmel Hospital201037070100, 70101 EMERGENCY SERVICES"/>
    <m/>
    <x v="4"/>
    <s v="PHC"/>
    <s v="WA"/>
    <n v="3850"/>
    <x v="16"/>
    <n v="2010"/>
    <s v="Emergency Department"/>
    <s v="Emergency Services"/>
    <s v="37070100, 70101 EMERGENCY SERVICES"/>
    <s v="Patient Visits"/>
    <n v="9378"/>
    <n v="10194"/>
    <n v="0.18179999999999999"/>
    <n v="3.12"/>
    <n v="2.87"/>
    <n v="0.23080000000000001"/>
    <n v="12"/>
    <n v="2.91"/>
    <n v="3.03"/>
    <n v="3.31"/>
    <n v="0.88560000000000005"/>
    <n v="15.91"/>
    <n v="-60151.811607260599"/>
    <n v="-1694"/>
    <n v="-0.81236924219939899"/>
  </r>
  <r>
    <s v="3527Providence Portland Medical Center623052206230, COMBO ALL STAFF EDUC (U,N)"/>
    <m/>
    <x v="3"/>
    <s v="OR"/>
    <s v="OR"/>
    <n v="3527"/>
    <x v="18"/>
    <n v="6230"/>
    <s v="Staff Education Combined"/>
    <s v="Educational Services"/>
    <s v="52206230, COMBO ALL STAFF EDUC (U,N)"/>
    <s v="Adjusted Discharges"/>
    <n v="40409.06"/>
    <n v="38569.760000000002"/>
    <n v="0.73809999999999998"/>
    <n v="0.28000000000000003"/>
    <n v="0.28999999999999998"/>
    <n v="0.1416"/>
    <n v="12"/>
    <n v="0.36"/>
    <n v="0.39"/>
    <n v="0.46"/>
    <n v="0.8387"/>
    <n v="6.31"/>
    <n v="-244447.77564372501"/>
    <n v="-4774"/>
    <n v="-2.28910118616519"/>
  </r>
  <r>
    <s v="3527Providence Portland Medical Center136052264200, CHEMICAL DEPENDENCY - ATP"/>
    <m/>
    <x v="3"/>
    <s v="OR"/>
    <s v="OR"/>
    <n v="3527"/>
    <x v="18"/>
    <n v="1360"/>
    <s v="Chemical Dependency Unit"/>
    <s v="Nursing Services"/>
    <s v="52264200, CHEMICAL DEPENDENCY - ATP"/>
    <s v="Patient Days"/>
    <n v="8303"/>
    <n v="4976"/>
    <n v="0.54549999999999998"/>
    <n v="3.66"/>
    <n v="6.44"/>
    <n v="0.3"/>
    <n v="12"/>
    <n v="6.05"/>
    <n v="6.65"/>
    <n v="7.45"/>
    <n v="0.91269999999999996"/>
    <n v="16.89"/>
    <n v="-40409.155991081403"/>
    <n v="-1028"/>
    <n v="-0.49289573888809102"/>
  </r>
  <r>
    <s v="3529Providence Milwaukie Hospital511255083400, PT_NON PT FOOD SVC"/>
    <m/>
    <x v="3"/>
    <s v="OR"/>
    <s v="OR"/>
    <n v="3529"/>
    <x v="15"/>
    <n v="5112"/>
    <s v="Patient and Nonpatient Food Services"/>
    <s v="Food and Nutrition Services"/>
    <s v="55083400, PT_NON PT FOOD SVC"/>
    <s v="ART: Total Meal Equivalents"/>
    <n v="209097.75"/>
    <n v="205155.82"/>
    <n v="0.45450000000000002"/>
    <n v="0.15"/>
    <n v="0.16"/>
    <n v="0.45450000000000002"/>
    <n v="12"/>
    <n v="0.13"/>
    <n v="0.15"/>
    <n v="0.16"/>
    <n v="0.89980000000000004"/>
    <n v="17.64"/>
    <n v="46654.479648525899"/>
    <n v="2592"/>
    <n v="1.2425139189380301"/>
  </r>
  <r>
    <s v="3527Providence Portland Medical Center426052278710, NON-INVASIVE LAB"/>
    <m/>
    <x v="3"/>
    <s v="OR"/>
    <s v="OR"/>
    <n v="3527"/>
    <x v="18"/>
    <n v="4260"/>
    <s v="Vascular Laboratory"/>
    <s v="Cardiology and Vascular Services Series"/>
    <s v="52278710, NON-INVASIVE LAB"/>
    <s v="APC Relative Weight"/>
    <n v="15890.86"/>
    <n v="16385.740000000002"/>
    <n v="0.63639999999999997"/>
    <n v="0.69"/>
    <n v="0.6"/>
    <n v="0.61539999999999995"/>
    <n v="12"/>
    <n v="0.45"/>
    <n v="0.54"/>
    <n v="0.57999999999999996"/>
    <n v="0.85540000000000005"/>
    <n v="5.52"/>
    <n v="59947.794652295299"/>
    <n v="1169"/>
    <n v="0.56049043494446105"/>
  </r>
  <r>
    <s v="3527Providence Portland Medical Center301152274200, SURGICAL SERVICES"/>
    <m/>
    <x v="3"/>
    <s v="OR"/>
    <s v="OR"/>
    <n v="3527"/>
    <x v="18"/>
    <n v="3011"/>
    <s v="Operating Room"/>
    <s v="Surgical Services"/>
    <s v="52274200, SURGICAL SERVICES"/>
    <s v="100 Operating Room Minutes"/>
    <n v="19080.900000000001"/>
    <n v="18973.21"/>
    <n v="0.63639999999999997"/>
    <n v="10.78"/>
    <n v="10.86"/>
    <n v="0.45450000000000002"/>
    <n v="12"/>
    <n v="10.27"/>
    <n v="10.64"/>
    <n v="11.06"/>
    <n v="0.88439999999999996"/>
    <n v="111.97"/>
    <n v="228226.150924841"/>
    <n v="5274"/>
    <n v="2.5285429172270302"/>
  </r>
  <r>
    <s v="3527Providence Portland Medical Center139052263400, MENTAL HEALTH-ADULT - 5E &amp; 5L"/>
    <m/>
    <x v="3"/>
    <s v="OR"/>
    <s v="OR"/>
    <n v="3527"/>
    <x v="18"/>
    <n v="1390"/>
    <s v="Behavioral Health Unit"/>
    <s v="Nursing Services"/>
    <s v="52263400, MENTAL HEALTH-ADULT - 5E &amp; 5L"/>
    <s v="Patient Days"/>
    <n v="8097"/>
    <n v="10111"/>
    <n v="0.54549999999999998"/>
    <n v="10.54"/>
    <n v="11.92"/>
    <n v="1"/>
    <n v="12"/>
    <n v="9.26"/>
    <n v="9.56"/>
    <n v="9.8699999999999992"/>
    <n v="0.90129999999999999"/>
    <n v="64.28"/>
    <n v="1064693.95762299"/>
    <n v="26823"/>
    <n v="12.8601517692921"/>
  </r>
  <r>
    <s v="3852Providence Sacred Heart Medical Center423034575700, CARDIOVASCULAR"/>
    <m/>
    <x v="4"/>
    <s v="PHC"/>
    <s v="WA"/>
    <n v="3852"/>
    <x v="9"/>
    <n v="4230"/>
    <s v="Combined Invasive Cardiology and Vascular Services"/>
    <s v="Cardiology and Vascular Services Series"/>
    <s v="34575700, CARDIOVASCULAR"/>
    <s v="Procedure Minutes"/>
    <n v="273702"/>
    <n v="290580"/>
    <n v="0.45450000000000002"/>
    <n v="0.18"/>
    <n v="0.17"/>
    <n v="0.7"/>
    <n v="12"/>
    <n v="0.14000000000000001"/>
    <n v="0.14000000000000001"/>
    <n v="0.15"/>
    <n v="0.86109999999999998"/>
    <n v="28"/>
    <n v="591510.49567574402"/>
    <n v="11156"/>
    <n v="5.3489507302818602"/>
  </r>
  <r>
    <s v="3852Providence Sacred Heart Medical Center5608Centralized Scheduling (U,N)"/>
    <m/>
    <x v="4"/>
    <s v="PHC"/>
    <s v="WA"/>
    <n v="3852"/>
    <x v="9"/>
    <n v="5608"/>
    <s v="Centralized Scheduling"/>
    <s v="Revenue Cycle Management"/>
    <s v="Centralized Scheduling (U,N)"/>
    <s v="Adjusted Discharges"/>
    <n v="43290.89"/>
    <n v="42100.12"/>
    <n v="0.49640000000000001"/>
    <n v="0.42"/>
    <n v="0.41"/>
    <m/>
    <n v="12"/>
    <n v="0.6"/>
    <n v="0.66"/>
    <n v="0.87"/>
    <n v="0.8498"/>
    <n v="9.86"/>
    <n v="-248314.662934191"/>
    <n v="-12132"/>
    <n v="-5.8168463343834"/>
  </r>
  <r>
    <s v="3852Providence Sacred Heart Medical Center553034584700, COMMUNICATIONS (U)"/>
    <m/>
    <x v="4"/>
    <s v="PHC"/>
    <s v="WA"/>
    <n v="3852"/>
    <x v="9"/>
    <n v="5530"/>
    <s v="Call Center / Switchboard"/>
    <s v="Information Technology"/>
    <s v="34584700, COMMUNICATIONS (U)"/>
    <s v="Adjusted Discharges"/>
    <n v="43290.89"/>
    <n v="42100.12"/>
    <n v="0.57310000000000005"/>
    <n v="0.36"/>
    <n v="0.38"/>
    <n v="0.31709999999999999"/>
    <n v="12"/>
    <n v="0.37"/>
    <n v="0.38"/>
    <n v="0.39"/>
    <n v="0.876"/>
    <n v="8.77"/>
    <n v="496.01970291623797"/>
    <n v="29"/>
    <n v="1.3894552227023699E-2"/>
  </r>
  <r>
    <s v="3854Providence Saint Mary Medical Center623032582908, 87101 ORGANIZATIONAL DEVELOPMENT"/>
    <m/>
    <x v="4"/>
    <s v="SER"/>
    <s v="WA"/>
    <n v="3854"/>
    <x v="8"/>
    <n v="6230"/>
    <s v="Staff Education Combined"/>
    <s v="Educational Services"/>
    <s v="32582908, 87101 ORGANIZATIONAL DEVELOPMENT"/>
    <s v="Adjusted Discharges"/>
    <n v="10301.549999999999"/>
    <n v="10410.790000000001"/>
    <n v="0.54549999999999998"/>
    <n v="0.7"/>
    <n v="0.93"/>
    <n v="0.72729999999999995"/>
    <n v="12"/>
    <n v="0.38"/>
    <n v="0.4"/>
    <n v="0.63"/>
    <n v="0.91410000000000002"/>
    <n v="5.07"/>
    <n v="209777.478132638"/>
    <n v="6019"/>
    <n v="2.8857712084231499"/>
  </r>
  <r>
    <s v="3526Providence Seaside Hospital487051078091, REHAB SERVICES"/>
    <m/>
    <x v="3"/>
    <s v="OR"/>
    <s v="OR"/>
    <n v="3526"/>
    <x v="19"/>
    <n v="4870"/>
    <s v="PT/OT/SLP Combined: Inpatient and Outpatient"/>
    <s v="Rehabilitation Services"/>
    <s v="51078091, REHAB SERVICES"/>
    <s v="1000 Baseline Billed Time Units (BTUs)"/>
    <n v="378.09"/>
    <n v="501.35"/>
    <n v="0.45450000000000002"/>
    <n v="32.909999999999997"/>
    <n v="26.88"/>
    <n v="0.2727"/>
    <n v="12"/>
    <n v="26.86"/>
    <n v="28.25"/>
    <n v="31.63"/>
    <n v="0.89670000000000005"/>
    <n v="7.23"/>
    <n v="-32212.846725557902"/>
    <n v="-715"/>
    <n v="-0.34286928472807998"/>
  </r>
  <r>
    <s v="3526Providence Seaside Hospital101151060100, ICU"/>
    <m/>
    <x v="3"/>
    <s v="OR"/>
    <s v="OR"/>
    <n v="3526"/>
    <x v="19"/>
    <n v="1011"/>
    <s v="Medical Intensive Care Unit"/>
    <s v="Nursing Services"/>
    <s v="51060100, ICU"/>
    <s v="Equivalent Patient Day"/>
    <n v="531.79999999999995"/>
    <n v="580"/>
    <n v="0.2727"/>
    <n v="30.09"/>
    <n v="30.87"/>
    <n v="0.72729999999999995"/>
    <n v="12"/>
    <n v="19.36"/>
    <n v="20.04"/>
    <n v="22.32"/>
    <n v="0.86509999999999998"/>
    <n v="9.9499999999999993"/>
    <n v="360414.44558989798"/>
    <n v="7317"/>
    <n v="3.5081952454202501"/>
  </r>
  <r>
    <s v="2719Providence St Joseph Medical Center127771060700 - 01277 - PSJMC NICU"/>
    <m/>
    <x v="2"/>
    <s v="CA"/>
    <s v="CA"/>
    <n v="2719"/>
    <x v="6"/>
    <n v="1277"/>
    <s v="Neonatal Intensive Care Unit (NICU)"/>
    <s v="Nursing Services"/>
    <s v="71060700 - 01277 - PSJMC NICU"/>
    <s v="Patient Days (Neonate)"/>
    <n v="4990"/>
    <n v="3903"/>
    <n v="0.45450000000000002"/>
    <n v="14.72"/>
    <n v="14.27"/>
    <n v="0.2727"/>
    <n v="12"/>
    <n v="13.97"/>
    <n v="15.89"/>
    <n v="16.829999999999998"/>
    <n v="0.86639999999999995"/>
    <n v="30.91"/>
    <n v="-355816.914976108"/>
    <n v="-7113"/>
    <n v="-3.4103860027197501"/>
  </r>
  <r>
    <s v="3848Providence St Patrick Hospital &amp; Health Science Ce307146074701, STERILE PROCESSING"/>
    <m/>
    <x v="4"/>
    <s v="WMR"/>
    <s v="MT"/>
    <n v="3848"/>
    <x v="21"/>
    <n v="3071"/>
    <s v="Central Sterile Services - Reprocessing Only"/>
    <s v="Surgical Services"/>
    <s v="46074701, STERILE PROCESSING"/>
    <s v="100 Items Processed"/>
    <n v="1403.03"/>
    <n v="1437.24"/>
    <n v="0.72729999999999995"/>
    <n v="19.02"/>
    <n v="19.989999999999998"/>
    <n v="0.2727"/>
    <n v="12"/>
    <n v="19.93"/>
    <n v="20.010000000000002"/>
    <n v="23.67"/>
    <n v="0.90890000000000004"/>
    <n v="15.19"/>
    <n v="665.25128541646097"/>
    <n v="40"/>
    <n v="1.92015130532237E-2"/>
  </r>
  <r>
    <s v="3848Providence St Patrick Hospital &amp; Health Science Ce121446061730, MEDICAL ONCOLOGY"/>
    <m/>
    <x v="4"/>
    <s v="WMR"/>
    <s v="MT"/>
    <n v="3848"/>
    <x v="21"/>
    <n v="1214"/>
    <s v="Medical/Surgical/Oncology Acute Care Unit"/>
    <s v="Nursing Services"/>
    <s v="46061730, MEDICAL ONCOLOGY"/>
    <s v="Equivalent Patient Day"/>
    <n v="9001"/>
    <n v="9309"/>
    <n v="0.72729999999999995"/>
    <n v="11.06"/>
    <n v="10.87"/>
    <n v="0.45450000000000002"/>
    <n v="12"/>
    <n v="9.6300000000000008"/>
    <n v="10.4"/>
    <n v="10.98"/>
    <n v="0.91269999999999996"/>
    <n v="53.29"/>
    <n v="138197.03446886901"/>
    <n v="5073"/>
    <n v="2.4323278380915299"/>
  </r>
  <r>
    <s v="3524Providence St Peter Hospital101333060100, INTENSIVE CARE UNIT"/>
    <m/>
    <x v="1"/>
    <s v="SWR"/>
    <s v="WA"/>
    <n v="3524"/>
    <x v="2"/>
    <n v="1013"/>
    <s v="Med/Surg/Cardiac Intensive Care Unit"/>
    <s v="Nursing Services"/>
    <s v="33060100, INTENSIVE CARE UNIT"/>
    <s v="Equivalent Patient Day"/>
    <n v="7200.31"/>
    <n v="7689.75"/>
    <n v="0.54549999999999998"/>
    <n v="17.38"/>
    <n v="17.23"/>
    <n v="9.0899999999999995E-2"/>
    <n v="12"/>
    <n v="18.3"/>
    <n v="18.510000000000002"/>
    <n v="19.11"/>
    <n v="0.85499999999999998"/>
    <n v="74.5"/>
    <n v="-535791.673830705"/>
    <n v="-11092"/>
    <n v="-5.3179709954754797"/>
  </r>
  <r>
    <s v="3524Providence St Peter Hospital592533083700, PATIENT TRANSPORT"/>
    <m/>
    <x v="1"/>
    <s v="SWR"/>
    <s v="WA"/>
    <n v="3524"/>
    <x v="2"/>
    <n v="5925"/>
    <s v="Patient Escort (Transport) Service"/>
    <s v="Other Support Services"/>
    <s v="33083700, PATIENT TRANSPORT"/>
    <s v="100 Patient Transports Performed"/>
    <n v="3353.34"/>
    <n v="3406.2"/>
    <n v="0.72729999999999995"/>
    <n v="21.31"/>
    <n v="23.75"/>
    <n v="0.18179999999999999"/>
    <n v="12"/>
    <n v="24.89"/>
    <n v="26.74"/>
    <n v="35.86"/>
    <n v="0.92059999999999997"/>
    <n v="42.25"/>
    <n v="-218328.184793925"/>
    <n v="-10817"/>
    <n v="-5.1860737759584898"/>
  </r>
  <r>
    <s v="3524Providence St Peter Hospital171033061500, CLINICAL OBSERVATION UNIT"/>
    <m/>
    <x v="1"/>
    <s v="SWR"/>
    <s v="WA"/>
    <n v="3524"/>
    <x v="2"/>
    <n v="1710"/>
    <s v="Observation Unit"/>
    <s v="Nursing Services"/>
    <s v="33061500, CLINICAL OBSERVATION UNIT"/>
    <s v="Outpatient Observation Days"/>
    <n v="623.46"/>
    <n v="1434.07"/>
    <n v="0.54549999999999998"/>
    <n v="14.81"/>
    <n v="11.9"/>
    <n v="9.0899999999999995E-2"/>
    <n v="12"/>
    <n v="13.43"/>
    <n v="15.73"/>
    <n v="19.05"/>
    <n v="0.85499999999999998"/>
    <n v="9.59"/>
    <n v="-305476.21283796697"/>
    <n v="-6382"/>
    <n v="-3.0597259674413402"/>
  </r>
  <r>
    <s v="3524Providence St Peter Hospital5810Social Work Services (U,N)"/>
    <m/>
    <x v="1"/>
    <s v="SWR"/>
    <s v="WA"/>
    <n v="3524"/>
    <x v="2"/>
    <n v="5810"/>
    <s v="Social Work"/>
    <s v="Clinical Resource Management Services"/>
    <s v="Social Work Services (U,N)"/>
    <s v="Social Work Cases"/>
    <n v="4996"/>
    <n v="9863"/>
    <n v="0.59109999999999996"/>
    <n v="3.28"/>
    <n v="1.64"/>
    <n v="0.54930000000000001"/>
    <n v="12"/>
    <n v="1.01"/>
    <n v="1.29"/>
    <n v="1.48"/>
    <n v="0.92230000000000001"/>
    <n v="8.43"/>
    <n v="149296.62579202701"/>
    <n v="3787"/>
    <n v="1.81584004372832"/>
  </r>
  <r>
    <s v="3849Providence Willamette Falls Medical Center303053574300, SHORT STAY SURGICAL UNIT"/>
    <m/>
    <x v="3"/>
    <s v="OR"/>
    <s v="OR"/>
    <n v="3849"/>
    <x v="7"/>
    <n v="3030"/>
    <s v="Surgery Pre Op and Post Recovery Only"/>
    <s v="Surgical Services"/>
    <s v="53574300, SHORT STAY SURGICAL UNIT"/>
    <s v="100 Patient Observation Minutes"/>
    <n v="7712.7"/>
    <n v="7067.3"/>
    <n v="0.63639999999999997"/>
    <n v="3.25"/>
    <n v="4.03"/>
    <n v="0.4"/>
    <n v="12"/>
    <n v="3.52"/>
    <n v="3.83"/>
    <n v="4.0599999999999996"/>
    <n v="0.85389999999999999"/>
    <n v="12.84"/>
    <n v="74071.725870416994"/>
    <n v="1393"/>
    <n v="0.66766214516718303"/>
  </r>
  <r>
    <s v="3535Providence St Vincent Medical Center487253070818, TANASBOURNE REHAB"/>
    <m/>
    <x v="3"/>
    <s v="OR"/>
    <s v="OR"/>
    <n v="3535"/>
    <x v="22"/>
    <n v="4872"/>
    <s v="PT/OT/SLP Combined: Outpatient"/>
    <s v="Rehabilitation Services"/>
    <s v="53070818, TANASBOURNE REHAB"/>
    <s v="1000 Baseline Billed Time Units (BTUs)"/>
    <n v="589.23"/>
    <n v="865.48"/>
    <n v="0.54549999999999998"/>
    <n v="22.1"/>
    <n v="18.64"/>
    <n v="0"/>
    <n v="12"/>
    <n v="21.68"/>
    <n v="22.27"/>
    <n v="22.64"/>
    <n v="0.88739999999999997"/>
    <n v="8.74"/>
    <n v="-129464.642812714"/>
    <n v="-3491"/>
    <n v="-1.6737221954939701"/>
  </r>
  <r>
    <s v="3535Providence St Vincent Medical Center111053061712, MEDSURG INTERM - 7W"/>
    <m/>
    <x v="3"/>
    <s v="OR"/>
    <s v="OR"/>
    <n v="3535"/>
    <x v="22"/>
    <n v="1110"/>
    <s v="Medical/Surgical Intermediate Care Unit"/>
    <s v="Nursing Services"/>
    <s v="53061712, MEDSURG INTERM - 7W"/>
    <s v="Equivalent Patient Day"/>
    <n v="9180.42"/>
    <n v="9527"/>
    <n v="0.45450000000000002"/>
    <n v="11.04"/>
    <n v="11.3"/>
    <n v="0.66669999999999996"/>
    <n v="12"/>
    <n v="11.06"/>
    <n v="11.11"/>
    <n v="11.2"/>
    <n v="0.89439999999999997"/>
    <n v="57.86"/>
    <n v="90261.215288570806"/>
    <n v="2337"/>
    <n v="1.12035784350766"/>
  </r>
  <r>
    <s v="3535Providence St Vincent Medical Center463053077610, ENDOSCOPY"/>
    <m/>
    <x v="3"/>
    <s v="OR"/>
    <s v="OR"/>
    <n v="3535"/>
    <x v="22"/>
    <n v="4630"/>
    <s v="Endoscopy (GI) Laboratory"/>
    <s v="Other Clinical Support Services"/>
    <s v="53077610, ENDOSCOPY"/>
    <s v="Procedure Minutes"/>
    <m/>
    <n v="155431"/>
    <n v="0.5"/>
    <s v=" "/>
    <n v="0.16"/>
    <n v="0.45450000000000002"/>
    <n v="12"/>
    <n v="0.14000000000000001"/>
    <n v="0.14000000000000001"/>
    <n v="0.17"/>
    <n v="0.8669"/>
    <n v="14.11"/>
    <n v="180550.25608490012"/>
    <n v="3585.9037951320779"/>
    <n v="1.7192807187668784"/>
  </r>
  <r>
    <s v="3524Providence St Peter Hospital512033083300, 33083391Combined Cafeteria &amp; Espresso"/>
    <m/>
    <x v="1"/>
    <s v="SWR"/>
    <s v="WA"/>
    <n v="3524"/>
    <x v="2"/>
    <n v="5120"/>
    <s v="Nonpatient Food Services"/>
    <s v="Food and Nutrition Services"/>
    <s v="33083300, 33083391Combined Cafeteria &amp; Espresso"/>
    <s v="ART: Total Non Patient Meal Equivalents"/>
    <n v="686054.67"/>
    <n v="700316.71"/>
    <n v="0.54549999999999998"/>
    <n v="0.06"/>
    <n v="0.06"/>
    <n v="0.54549999999999998"/>
    <n v="12"/>
    <n v="0.05"/>
    <n v="0.06"/>
    <n v="0.06"/>
    <n v="0.88859999999999995"/>
    <n v="22.98"/>
    <n v="12862.809981833199"/>
    <n v="643"/>
    <n v="0.30811712255444901"/>
  </r>
  <r>
    <s v="3535Providence St Vincent Medical Center181053077150, IV THERAPY"/>
    <m/>
    <x v="3"/>
    <s v="OR"/>
    <s v="OR"/>
    <n v="3535"/>
    <x v="22"/>
    <n v="1810"/>
    <s v="IV Team (Vascular Access)"/>
    <s v="Nursing Services"/>
    <s v="53077150, IV THERAPY"/>
    <s v="100 Procedures"/>
    <n v="1461.12"/>
    <n v="5.57"/>
    <n v="0.45450000000000002"/>
    <n v="21.86"/>
    <n v="5418.93"/>
    <n v="0.91669999999999996"/>
    <n v="12"/>
    <n v="704.15"/>
    <n v="931.41"/>
    <n v="1020.02"/>
    <n v="0.8982"/>
    <n v="16.16"/>
    <n v="1610728.7258323"/>
    <n v="27929"/>
    <n v="13.3906923863549"/>
  </r>
  <r>
    <s v="3535Providence St Vincent Medical Center309953003099, SURG SVCS ADMIN (U,N)"/>
    <m/>
    <x v="3"/>
    <s v="OR"/>
    <s v="OR"/>
    <n v="3535"/>
    <x v="22"/>
    <n v="3099"/>
    <s v="Surgical Services Administration"/>
    <s v="Surgical Services"/>
    <s v="53003099, SURG SVCS ADMIN (U,N)"/>
    <s v="Cases Supported"/>
    <n v="20850"/>
    <n v="21035"/>
    <n v="0.55630000000000002"/>
    <n v="2.13"/>
    <n v="2"/>
    <m/>
    <n v="12"/>
    <n v="0.5"/>
    <n v="0.72"/>
    <n v="0.85"/>
    <n v="0.8639"/>
    <n v="23.45"/>
    <n v="1205608.8229823699"/>
    <n v="31379"/>
    <n v="15.044574607926499"/>
  </r>
  <r>
    <s v="4283Providence St. John's Health Center463073577600, SJHC GASTROINTESTINAL SERVICES (U)"/>
    <m/>
    <x v="2"/>
    <s v="CA"/>
    <s v="CA"/>
    <n v="4283"/>
    <x v="23"/>
    <n v="4630"/>
    <s v="Endoscopy (GI) Laboratory"/>
    <s v="Other Clinical Support Services"/>
    <s v="73577600, SJHC GASTROINTESTINAL SERVICES (U)"/>
    <s v="APC Relative Weight"/>
    <m/>
    <n v="1637.05"/>
    <n v="0.68069999999999997"/>
    <m/>
    <n v="7.74"/>
    <n v="0.1431"/>
    <n v="12"/>
    <n v="8.4700000000000006"/>
    <n v="8.7799999999999994"/>
    <n v="9.42"/>
    <n v="0.91769999999999996"/>
    <n v="6.64"/>
    <n v="-107092.926492795"/>
    <n v="-1813"/>
    <n v="-0.86937663810315602"/>
  </r>
  <r>
    <s v="4283Providence St. John's Health Center591073584200, SJHC SECURITY (U)"/>
    <m/>
    <x v="2"/>
    <s v="CA"/>
    <s v="CA"/>
    <n v="4283"/>
    <x v="23"/>
    <n v="5910"/>
    <s v="Security"/>
    <s v="Other Support Services"/>
    <s v="73584200, SJHC SECURITY (U)"/>
    <s v="Assistance Calls Completed"/>
    <m/>
    <n v="7527"/>
    <n v="0.54549999999999998"/>
    <m/>
    <n v="1.8"/>
    <n v="90.91"/>
    <n v="12"/>
    <n v="0.28999999999999998"/>
    <n v="0.96"/>
    <n v="1.1299999999999999"/>
    <n v="0.72729999999999995"/>
    <n v="28.01"/>
    <n v="199860.32338787295"/>
    <n v="8693.3589990375367"/>
    <n v="4.1680773836302141"/>
  </r>
  <r>
    <s v="3929Swedish Edmonds335023075000/23075020/23075090/23075400 LAB MICROBIOLOGY BLOOD"/>
    <m/>
    <x v="1"/>
    <s v="SHS"/>
    <s v="WA"/>
    <n v="3929"/>
    <x v="31"/>
    <n v="3350"/>
    <s v="Laboratory Services: Clinical Operations and Blood Bank Combined"/>
    <s v="Laboratory Services"/>
    <s v="23075000/23075020/23075090/23075400 LAB MICROBIOLOGY BLOOD"/>
    <s v="100 Billed Tests"/>
    <n v="8087"/>
    <n v="8678.66"/>
    <n v="0.54549999999999998"/>
    <n v="14.2"/>
    <n v="12.25"/>
    <n v="0"/>
    <n v="12"/>
    <n v="12.59"/>
    <n v="12.91"/>
    <n v="13.51"/>
    <n v="0.89459999999999995"/>
    <n v="57.12"/>
    <n v="-176229.22986126001"/>
    <n v="-6107"/>
    <n v="-2.92794949985778"/>
  </r>
  <r>
    <s v="3929Swedish Edmonds121423061731 SURGERY ONCOLOGY"/>
    <m/>
    <x v="1"/>
    <s v="SHS"/>
    <s v="WA"/>
    <n v="3929"/>
    <x v="31"/>
    <n v="1214"/>
    <s v="Medical/Surgical/Oncology Acute Care Unit"/>
    <s v="Nursing Services"/>
    <s v="23061731 SURGERY ONCOLOGY"/>
    <s v="Equivalent Patient Day"/>
    <n v="7944.42"/>
    <n v="8473"/>
    <n v="0.36359999999999998"/>
    <n v="11.4"/>
    <n v="11.01"/>
    <n v="0.6"/>
    <n v="12"/>
    <n v="10.41"/>
    <n v="10.67"/>
    <n v="10.97"/>
    <n v="0.89190000000000003"/>
    <n v="50.28"/>
    <n v="145361.545607857"/>
    <n v="3505"/>
    <n v="1.68029638070136"/>
  </r>
  <r>
    <s v="3927Swedish First Hill227021070708 PAIN SERVICES"/>
    <m/>
    <x v="1"/>
    <s v="SHS"/>
    <s v="WA"/>
    <n v="3927"/>
    <x v="26"/>
    <n v="2270"/>
    <s v="Pain Management"/>
    <s v="Ambulatory Care Clinics"/>
    <s v="21070708 PAIN SERVICES"/>
    <s v="Patient Visits"/>
    <n v="5660"/>
    <n v="5366"/>
    <n v="0.63639999999999997"/>
    <n v="2.64"/>
    <n v="2.44"/>
    <n v="0.5"/>
    <n v="12"/>
    <n v="2.2599999999999998"/>
    <n v="2.38"/>
    <n v="2.44"/>
    <n v="0.86970000000000003"/>
    <n v="7.25"/>
    <n v="18756.025709811202"/>
    <n v="437"/>
    <n v="0.20945442403783199"/>
  </r>
  <r>
    <s v="3927Swedish First Hill226721076413 EASTSIDE MEDICAL ONCOLOGY"/>
    <m/>
    <x v="1"/>
    <s v="SHS"/>
    <s v="WA"/>
    <n v="3927"/>
    <x v="26"/>
    <n v="2267"/>
    <s v="Oncology / Hematology Clinic"/>
    <s v="Ambulatory Care Clinics"/>
    <s v="21076413 EASTSIDE MEDICAL ONCOLOGY"/>
    <s v="Patient Visits"/>
    <n v="2083"/>
    <n v="1906"/>
    <m/>
    <n v="1.95"/>
    <n v="2.35"/>
    <n v="0.69259999999999999"/>
    <n v="12"/>
    <n v="1.87"/>
    <n v="2.09"/>
    <n v="2.14"/>
    <n v="0.90780000000000005"/>
    <n v="2.38"/>
    <n v="32120.241649822699"/>
    <n v="576"/>
    <n v="0.27608997569375798"/>
  </r>
  <r>
    <s v="3927Swedish First Hill411021077200 RESPIRATORY THERAPY"/>
    <m/>
    <x v="1"/>
    <s v="SHS"/>
    <s v="WA"/>
    <n v="3927"/>
    <x v="26"/>
    <n v="4110"/>
    <s v="Respiratory Care"/>
    <s v="Respiratory and Pulmonary Care Services"/>
    <s v="21077200 RESPIRATORY THERAPY"/>
    <s v="CMI Weighted Total Facility Discharges"/>
    <n v="45095.44"/>
    <n v="47943.21"/>
    <n v="1"/>
    <n v="2.2999999999999998"/>
    <n v="2.61"/>
    <n v="0.36359999999999998"/>
    <n v="12"/>
    <n v="2.4"/>
    <n v="2.59"/>
    <n v="2.72"/>
    <n v="0.90329999999999999"/>
    <n v="66.67"/>
    <n v="66645.2597823213"/>
    <n v="1588"/>
    <n v="0.76125816931148904"/>
  </r>
  <r>
    <s v="3927Swedish First Hill221621070800 ANTICOAGULATION THERAPY SVCS"/>
    <m/>
    <x v="1"/>
    <s v="SHS"/>
    <s v="WA"/>
    <n v="3927"/>
    <x v="26"/>
    <n v="2216"/>
    <s v="Anticoagulant Clinic"/>
    <s v="Ambulatory Care Clinics"/>
    <s v="21070800 ANTICOAGULATION THERAPY SVCS"/>
    <s v="Patient Visits"/>
    <n v="2615"/>
    <n v="4025"/>
    <n v="0.45450000000000002"/>
    <n v="2.96"/>
    <n v="1.32"/>
    <n v="1"/>
    <n v="12"/>
    <n v="0.59"/>
    <n v="0.64"/>
    <n v="0.66"/>
    <n v="0.93730000000000002"/>
    <n v="2.74"/>
    <n v="180062.960732754"/>
    <n v="2967"/>
    <n v="1.42230347532074"/>
  </r>
  <r>
    <s v="3932Swedish Health Services Corp (S)504020584601 CLINICAL ENGINEERING/20584615 MEDICAL IMAGING ENGINEERS"/>
    <m/>
    <x v="1"/>
    <s v="SHS"/>
    <s v="WA"/>
    <n v="3932"/>
    <x v="27"/>
    <n v="5040"/>
    <s v="Biomedical Engineering"/>
    <s v="Facility Services"/>
    <s v="20584601 CLINICAL ENGINEERING/20584615 MEDICAL IMAGING ENGINEERS"/>
    <s v="100 Equipment and Devices Maintained"/>
    <n v="340.38"/>
    <n v="419.12"/>
    <n v="0.90910000000000002"/>
    <n v="220.55"/>
    <n v="163.61000000000001"/>
    <n v="0.6"/>
    <n v="12"/>
    <n v="156.34"/>
    <n v="157.69"/>
    <n v="160.52000000000001"/>
    <n v="0.86229999999999996"/>
    <n v="38.229999999999997"/>
    <n v="125503.307872941"/>
    <n v="3091"/>
    <n v="1.4821181508952701"/>
  </r>
  <r>
    <s v="3931Swedish Issaquah306022574500 ANESTHESIA"/>
    <m/>
    <x v="1"/>
    <s v="SHS"/>
    <s v="WA"/>
    <n v="3931"/>
    <x v="28"/>
    <n v="3060"/>
    <s v="Anesthesia"/>
    <s v="Surgical Services"/>
    <s v="22574500 ANESTHESIA"/>
    <s v="100 Minutes Patient Enter To Leave"/>
    <n v="5477.88"/>
    <n v="6244.34"/>
    <n v="0.54549999999999998"/>
    <n v="1.05"/>
    <n v="0.95"/>
    <n v="0.81820000000000004"/>
    <n v="12"/>
    <n v="0.42"/>
    <n v="0.56000000000000005"/>
    <n v="0.71"/>
    <n v="0.87929999999999997"/>
    <n v="3.24"/>
    <n v="106057.54167183"/>
    <n v="2781"/>
    <n v="1.3332855635942999"/>
  </r>
  <r>
    <s v="3531Providence Medford Medical Center500159084500, FACILITY SERVICES"/>
    <m/>
    <x v="3"/>
    <s v="OR"/>
    <s v="OR"/>
    <n v="3531"/>
    <x v="29"/>
    <n v="5001"/>
    <s v="Plant Operations / Plant Maintenance and Grounds"/>
    <s v="Facility Services"/>
    <s v="59084500, FACILITY SERVICES"/>
    <s v="1000 Gross Square Feet Maintained"/>
    <n v="459.92"/>
    <n v="488.9"/>
    <n v="0.63639999999999997"/>
    <n v="45.14"/>
    <n v="52.43"/>
    <n v="0.81820000000000004"/>
    <n v="12"/>
    <n v="26.21"/>
    <n v="28.62"/>
    <n v="36.659999999999997"/>
    <n v="0.90269999999999995"/>
    <n v="13.65"/>
    <n v="301286.64882918599"/>
    <n v="12969"/>
    <n v="6.2181936785414997"/>
  </r>
  <r>
    <s v="3531Providence Medford Medical Center339959003399, LAB SVCS ADMIN AND SUPPORT (U,N)"/>
    <m/>
    <x v="3"/>
    <s v="OR"/>
    <s v="OR"/>
    <n v="3531"/>
    <x v="29"/>
    <n v="3399"/>
    <s v="Laboratory Services Administration"/>
    <s v="Laboratory Services"/>
    <s v="59003399, LAB SVCS ADMIN AND SUPPORT (U,N)"/>
    <s v="100 Billed Tests Supported"/>
    <n v="5124.8100000000004"/>
    <n v="4570.13"/>
    <n v="0.39400000000000002"/>
    <n v="1.39"/>
    <n v="1.35"/>
    <n v="0.4304"/>
    <n v="12"/>
    <n v="0.68"/>
    <n v="1.21"/>
    <n v="1.39"/>
    <n v="0.90169999999999995"/>
    <n v="3.28"/>
    <n v="23096.464910724208"/>
    <n v="709.56881446157331"/>
    <n v="0.34020655629360569"/>
  </r>
  <r>
    <s v="3531Providence Medford Medical Center581059005810, SOCIAL WORK SVCS (U,N)"/>
    <m/>
    <x v="3"/>
    <s v="OR"/>
    <s v="OR"/>
    <n v="3531"/>
    <x v="29"/>
    <n v="5810"/>
    <s v="Social Work"/>
    <s v="Clinical Resource Management Services"/>
    <s v="59005810, SOCIAL WORK SVCS (U,N)"/>
    <s v="Social Work Cases"/>
    <n v="121"/>
    <n v="4806"/>
    <n v="0.45710000000000001"/>
    <n v="57.55"/>
    <n v="2.02"/>
    <m/>
    <n v="12"/>
    <n v="1.83"/>
    <n v="1.98"/>
    <n v="2.15"/>
    <n v="0.91159999999999997"/>
    <n v="2.29"/>
    <n v="8152.6967968407271"/>
    <n v="210.88196577446269"/>
    <n v="0.10110848433353919"/>
  </r>
  <r>
    <s v="3927Swedish First Hill512021083300 CAFETERIA/21083301 DOCTORS DINING ROOM/21083340 CATERING"/>
    <m/>
    <x v="1"/>
    <s v="SHS"/>
    <s v="WA"/>
    <n v="3927"/>
    <x v="26"/>
    <n v="5120"/>
    <s v="Nonpatient Food Services"/>
    <s v="Food and Nutrition Services"/>
    <s v="21083300 CAFETERIA/21083301 DOCTORS DINING ROOM/21083340 CATERING"/>
    <s v="ART: Total Non Patient Meal Equivalents"/>
    <n v="665445.37"/>
    <n v="638728.07999999996"/>
    <n v="0.54549999999999998"/>
    <n v="0.09"/>
    <n v="0.09"/>
    <n v="0.63639999999999997"/>
    <n v="12"/>
    <n v="0.06"/>
    <n v="7.0000000000000007E-2"/>
    <n v="0.08"/>
    <n v="0.86229999999999996"/>
    <n v="31.71"/>
    <n v="346781.95209858799"/>
    <n v="14287"/>
    <n v="6.8498455793508803"/>
  </r>
  <r>
    <s v="2947Providence Alaska Medical Center5111Nutrition Services"/>
    <m/>
    <x v="0"/>
    <s v="AK"/>
    <s v="AK"/>
    <n v="2947"/>
    <x v="0"/>
    <n v="5111"/>
    <s v="Clinical Nutrition Services"/>
    <s v="Food and Nutrition Services"/>
    <s v="Nutrition Services"/>
    <s v="Total Medical Nutritional Therapy Interventions"/>
    <m/>
    <n v="100616"/>
    <n v="0.91669999999999996"/>
    <m/>
    <n v="0.19"/>
    <n v="0"/>
    <n v="13"/>
    <n v="0.28000000000000003"/>
    <n v="0.28999999999999998"/>
    <n v="0.34"/>
    <n v="0.91849999999999998"/>
    <n v="10.25"/>
    <n v="-325047.62195027899"/>
    <n v="-10389"/>
    <n v="-4.9811973054244598"/>
  </r>
  <r>
    <s v="2947Providence Alaska Medical Center1276PRENATAL UNIT"/>
    <m/>
    <x v="0"/>
    <s v="AK"/>
    <s v="AK"/>
    <n v="2947"/>
    <x v="0"/>
    <n v="1276"/>
    <s v="High Risk Obstetrical Unit"/>
    <s v="Nursing Services"/>
    <s v="PRENATAL UNIT"/>
    <s v="Equivalent Patient Day"/>
    <m/>
    <n v="3429"/>
    <n v="0.69230000000000003"/>
    <m/>
    <n v="11.744453193350832"/>
    <n v="0.91669999999999996"/>
    <n v="13"/>
    <n v="9.06"/>
    <n v="9.6300000000000008"/>
    <n v="9.99"/>
    <n v="0.90780000000000005"/>
    <n v="21.33"/>
    <n v="355734.17977528088"/>
    <n v="7986.8473231989428"/>
    <n v="3.8293182288999632"/>
  </r>
  <r>
    <s v="3525Providence Centralia Hospital1830Centralized Telemetry (U,N)"/>
    <m/>
    <x v="1"/>
    <s v="SWR"/>
    <s v="WA"/>
    <n v="3525"/>
    <x v="10"/>
    <n v="1830"/>
    <s v="Centralized Telemetry"/>
    <s v="Nursing Services"/>
    <s v="Centralized Telemetry (U,N)"/>
    <s v="Telemetry Days Supported"/>
    <n v="4527"/>
    <n v="12791"/>
    <n v="0.54349999999999998"/>
    <n v="2.3199999999999998"/>
    <n v="0.82"/>
    <n v="0.48230000000000001"/>
    <n v="13"/>
    <n v="0.74"/>
    <n v="0.77"/>
    <n v="0.84"/>
    <n v="0.87309999999999999"/>
    <n v="5.79"/>
    <n v="18255.625502335501"/>
    <n v="796"/>
    <n v="0.38146811009430198"/>
  </r>
  <r>
    <s v="3525Providence Centralia Hospital136034064202, Chemical Dependency Detox"/>
    <m/>
    <x v="1"/>
    <s v="SWR"/>
    <s v="WA"/>
    <n v="3525"/>
    <x v="10"/>
    <n v="1360"/>
    <s v="Chemical Dependency Unit"/>
    <s v="Nursing Services"/>
    <s v="34064202, Chemical Dependency Detox"/>
    <s v="Patient Days"/>
    <m/>
    <n v="916"/>
    <m/>
    <m/>
    <n v="18.059999999999999"/>
    <n v="0.92310000000000003"/>
    <n v="13"/>
    <n v="5.85"/>
    <n v="6.67"/>
    <n v="7.91"/>
    <n v="0.89710000000000001"/>
    <n v="8.8699999999999992"/>
    <n v="439364.90588492103"/>
    <n v="11690"/>
    <n v="5.6046584860358797"/>
  </r>
  <r>
    <s v="3525Providence Centralia Hospital4490Pharmacy Support Services (U,N)"/>
    <m/>
    <x v="1"/>
    <s v="SWR"/>
    <s v="WA"/>
    <n v="3525"/>
    <x v="10"/>
    <n v="4490"/>
    <s v="Pharmacy Administration and Support"/>
    <s v="Pharmacy Services"/>
    <s v="Pharmacy Support Services (U,N)"/>
    <s v="CMI Weighted Adjusted Discharges"/>
    <n v="19101.330000000002"/>
    <n v="15987.53"/>
    <n v="0.48659999999999998"/>
    <n v="1"/>
    <n v="1.19"/>
    <m/>
    <n v="13"/>
    <n v="0.18"/>
    <n v="0.22"/>
    <n v="0.26"/>
    <n v="0.91110000000000002"/>
    <n v="10.029999999999999"/>
    <n v="733404.65244718804"/>
    <n v="17059"/>
    <n v="8.1790863192057905"/>
  </r>
  <r>
    <s v="3523Providence Everett Medical Center222231672208, O/P Chemical Dependency - Paci"/>
    <m/>
    <x v="1"/>
    <s v="NWR"/>
    <s v="WA"/>
    <n v="3523"/>
    <x v="1"/>
    <n v="2222"/>
    <s v="Chemical Dependency Clinic"/>
    <s v="Ambulatory Care Clinics"/>
    <s v="31672208, O/P Chemical Dependency - Paci"/>
    <s v="Patient Visits"/>
    <n v="9200"/>
    <n v="9219"/>
    <n v="0.75"/>
    <n v="0.69"/>
    <n v="0.59"/>
    <n v="0"/>
    <n v="13"/>
    <n v="1.22"/>
    <n v="1.49"/>
    <n v="1.89"/>
    <n v="0.90620000000000001"/>
    <n v="2.91"/>
    <n v="-278563.74780001002"/>
    <n v="-9089"/>
    <n v="-4.3576530170179604"/>
  </r>
  <r>
    <s v="3523Providence Everett Medical Center183031661711, Central Monitoring Unit (U)"/>
    <m/>
    <x v="1"/>
    <s v="NWR"/>
    <s v="WA"/>
    <n v="3523"/>
    <x v="1"/>
    <n v="1830"/>
    <s v="Centralized Telemetry"/>
    <s v="Nursing Services"/>
    <s v="31661711, Central Monitoring Unit (U)"/>
    <s v="Telemetry Days Supported"/>
    <n v="51174"/>
    <n v="51740"/>
    <n v="0.80869999999999997"/>
    <n v="0.37"/>
    <n v="0.4"/>
    <n v="2.1399999999999999E-2"/>
    <n v="13"/>
    <n v="0.49"/>
    <n v="0.51"/>
    <n v="0.55000000000000004"/>
    <n v="0.96640000000000004"/>
    <n v="10.24"/>
    <n v="-201937.27601072899"/>
    <n v="-5947"/>
    <n v="-2.85145261314273"/>
  </r>
  <r>
    <s v="3523Providence Everett Medical Center633031690300 Foundation"/>
    <m/>
    <x v="1"/>
    <s v="NWR"/>
    <s v="WA"/>
    <n v="3523"/>
    <x v="1"/>
    <n v="6330"/>
    <s v="Foundation"/>
    <s v="Community Outreach"/>
    <s v="31690300 Foundation"/>
    <s v="$1000 New Commitments Pledged"/>
    <m/>
    <n v="727.97"/>
    <n v="1"/>
    <m/>
    <n v="13.83"/>
    <n v="0.25"/>
    <n v="13"/>
    <n v="13.83"/>
    <n v="14.77"/>
    <n v="22.68"/>
    <n v="0.87429999999999997"/>
    <n v="5.54"/>
    <n v="-32349.850573748899"/>
    <n v="-743"/>
    <n v="-0.356328320267568"/>
  </r>
  <r>
    <s v="3523Providence Everett Medical Center487231677709 Therapy OutPatient"/>
    <m/>
    <x v="1"/>
    <s v="NWR"/>
    <s v="WA"/>
    <n v="3523"/>
    <x v="1"/>
    <n v="4872"/>
    <s v="PT/OT/SLP Combined: Outpatient"/>
    <s v="Rehabilitation Services"/>
    <s v="31677709 Therapy OutPatient"/>
    <s v="1000 Baseline Billed Time Units (BTUs)"/>
    <n v="644.13"/>
    <n v="575.6"/>
    <n v="0.25"/>
    <n v="17.97"/>
    <n v="19.739999999999998"/>
    <n v="0.15379999999999999"/>
    <n v="13"/>
    <n v="19.920000000000002"/>
    <n v="20.399999999999999"/>
    <n v="21.58"/>
    <n v="0.85660000000000003"/>
    <n v="6.38"/>
    <n v="-16978.508729467299"/>
    <n v="-401"/>
    <n v="-0.19235542459721999"/>
  </r>
  <r>
    <s v="3523Providence Everett Medical Center464031672320 Infusion Srv"/>
    <m/>
    <x v="1"/>
    <s v="NWR"/>
    <s v="WA"/>
    <n v="3523"/>
    <x v="1"/>
    <n v="4640"/>
    <s v="Hematology Oncology Infusion Therapy (Hema/Onc)"/>
    <s v="Other Clinical Support Services"/>
    <s v="31672320 Infusion Srv"/>
    <s v="Infusions"/>
    <n v="7005"/>
    <n v="11051"/>
    <n v="0.41670000000000001"/>
    <n v="2.31"/>
    <n v="1.64"/>
    <n v="0.5"/>
    <n v="13"/>
    <n v="1.08"/>
    <n v="1.46"/>
    <n v="1.64"/>
    <n v="0.87660000000000005"/>
    <n v="9.93"/>
    <n v="114071.92272618999"/>
    <n v="2305"/>
    <n v="1.10527608417809"/>
  </r>
  <r>
    <s v="3523Providence Everett Medical Center227531662908, Childrens Center"/>
    <m/>
    <x v="1"/>
    <s v="NWR"/>
    <s v="WA"/>
    <n v="3523"/>
    <x v="1"/>
    <n v="2275"/>
    <s v="Pediatric Clinic"/>
    <s v="Ambulatory Care Clinics"/>
    <s v="31662908, Childrens Center"/>
    <s v="Patient Visits"/>
    <n v="23211"/>
    <n v="29103"/>
    <n v="0.91669999999999996"/>
    <n v="1.35"/>
    <n v="0.98"/>
    <n v="0.5"/>
    <n v="13"/>
    <n v="0.74"/>
    <n v="0.82"/>
    <n v="0.98"/>
    <n v="0.87129999999999996"/>
    <n v="15.79"/>
    <n v="203951.14477199901"/>
    <n v="5544"/>
    <n v="2.6579642453430998"/>
  </r>
  <r>
    <s v="3523Providence Everett Medical Center582031684805, Utilization Management"/>
    <m/>
    <x v="1"/>
    <s v="NWR"/>
    <s v="WA"/>
    <n v="3523"/>
    <x v="1"/>
    <n v="5820"/>
    <s v="Utilization Management"/>
    <s v="Clinical Resource Management Services"/>
    <s v="31684805, Utilization Management"/>
    <s v="Cases Tracked by Utilization Review"/>
    <n v="41577"/>
    <n v="50302"/>
    <n v="0.91669999999999996"/>
    <n v="0.5"/>
    <n v="0.65"/>
    <n v="0.45450000000000002"/>
    <n v="13"/>
    <n v="0.47"/>
    <n v="0.5"/>
    <n v="0.69"/>
    <n v="0.90229999999999999"/>
    <n v="17.45"/>
    <n v="403115.01793201402"/>
    <n v="8521"/>
    <n v="4.0855078970088297"/>
  </r>
  <r>
    <s v="3851Providence Holy Family Hospital3399Laboratory Services Administration (U,N)"/>
    <m/>
    <x v="4"/>
    <s v="PHC"/>
    <s v="WA"/>
    <n v="3851"/>
    <x v="11"/>
    <n v="3399"/>
    <s v="Laboratory Services Administration"/>
    <s v="Laboratory Services"/>
    <s v="Laboratory Services Administration (U,N)"/>
    <s v="100 Billed Tests Supported"/>
    <n v="3684.73"/>
    <n v="3830.62"/>
    <n v="0.54869999999999997"/>
    <n v="2.31"/>
    <n v="2.58"/>
    <n v="0.92600000000000005"/>
    <n v="13"/>
    <n v="0.57999999999999996"/>
    <n v="0.71"/>
    <n v="0.83"/>
    <n v="0.96040000000000003"/>
    <n v="4.95"/>
    <n v="284683.82063738501"/>
    <n v="7492"/>
    <n v="3.59223869339574"/>
  </r>
  <r>
    <s v="3851Providence Holy Family Hospital5608Centralized Scheduling (U,N)"/>
    <m/>
    <x v="4"/>
    <s v="PHC"/>
    <s v="WA"/>
    <n v="3851"/>
    <x v="11"/>
    <n v="5608"/>
    <s v="Centralized Scheduling"/>
    <s v="Revenue Cycle Management"/>
    <s v="Centralized Scheduling (U,N)"/>
    <s v="Adjusted Discharges"/>
    <n v="19196.98"/>
    <n v="18392"/>
    <n v="0.41810000000000003"/>
    <n v="0.42"/>
    <n v="0.37"/>
    <n v="0.12529999999999999"/>
    <n v="13"/>
    <n v="0.49"/>
    <n v="0.63"/>
    <n v="0.8"/>
    <n v="0.8639"/>
    <n v="3.8"/>
    <n v="-103820.85607127"/>
    <n v="-5487"/>
    <n v="-2.6306399255830302"/>
  </r>
  <r>
    <s v="3532Providence Little Company of Mary Hospital231076272900 02310 HOME HEALTH"/>
    <m/>
    <x v="2"/>
    <s v="CA"/>
    <s v="CA"/>
    <n v="3532"/>
    <x v="13"/>
    <n v="2310"/>
    <s v="Home Health"/>
    <s v="Home Care Services"/>
    <s v="76272900 02310 HOME HEALTH"/>
    <s v="Home Care Patient Visits"/>
    <n v="22447"/>
    <n v="26274"/>
    <n v="0.58330000000000004"/>
    <n v="3.31"/>
    <n v="2.73"/>
    <n v="1"/>
    <n v="13"/>
    <n v="2.5099999999999998"/>
    <n v="2.5299999999999998"/>
    <n v="2.6"/>
    <n v="0.86180000000000001"/>
    <n v="40.049999999999997"/>
    <n v="315550.20109676197"/>
    <n v="6399"/>
    <n v="3.068171023533"/>
  </r>
  <r>
    <s v="3532Providence Little Company of Mary Hospital337076275001 03370 CONSOLIDATED LABORATORY"/>
    <m/>
    <x v="2"/>
    <s v="CA"/>
    <s v="CA"/>
    <n v="3532"/>
    <x v="13"/>
    <n v="3370"/>
    <s v="Laboratory Services: Clinical Operations"/>
    <s v="Laboratory Services"/>
    <s v="76275001 03370 CONSOLIDATED LABORATORY"/>
    <s v="100 Billed Tests"/>
    <n v="10256.700000000001"/>
    <n v="12616.24"/>
    <n v="0.41670000000000001"/>
    <n v="15.03"/>
    <n v="12.58"/>
    <n v="1"/>
    <n v="13"/>
    <n v="10.73"/>
    <n v="11.01"/>
    <n v="11.65"/>
    <n v="0.91500000000000004"/>
    <n v="83.4"/>
    <n v="750394.62764559698"/>
    <n v="22139"/>
    <n v="10.6145911621447"/>
  </r>
  <r>
    <s v="4282Providence Kodiak Hospital511218983400, DIETARY"/>
    <m/>
    <x v="0"/>
    <s v="AK"/>
    <s v="AK"/>
    <n v="4282"/>
    <x v="5"/>
    <n v="5112"/>
    <s v="Patient and Nonpatient Food Services"/>
    <s v="Food and Nutrition Services"/>
    <s v="18983400, DIETARY"/>
    <s v="ART: Total Meal Equivalents"/>
    <n v="90465.83"/>
    <n v="100887.7"/>
    <n v="8.3299999999999999E-2"/>
    <n v="0.23"/>
    <n v="0.21"/>
    <n v="0.6"/>
    <n v="13"/>
    <n v="0.17"/>
    <n v="0.18"/>
    <n v="0.21"/>
    <n v="0.88929999999999998"/>
    <n v="11.41"/>
    <n v="71305.825346024198"/>
    <n v="3378"/>
    <n v="1.6193710244139401"/>
  </r>
  <r>
    <s v="3529Providence Milwaukie Hospital521155084400, ENVIRONMENTAL SERVICES"/>
    <m/>
    <x v="3"/>
    <s v="OR"/>
    <s v="OR"/>
    <n v="3529"/>
    <x v="15"/>
    <n v="5211"/>
    <s v="Environmental Services"/>
    <s v="Environmental Services"/>
    <s v="55084400, ENVIRONMENTAL SERVICES"/>
    <s v="1000 Net Sq Ft Cleaned"/>
    <n v="132.49"/>
    <n v="139.91"/>
    <n v="0.75"/>
    <n v="191.58"/>
    <n v="180.18"/>
    <n v="0.66669999999999996"/>
    <n v="13"/>
    <n v="148.4"/>
    <n v="152.08000000000001"/>
    <n v="177.1"/>
    <n v="0.90159999999999996"/>
    <n v="13.44"/>
    <n v="71831.886001815903"/>
    <n v="4432"/>
    <n v="2.1249854625482598"/>
  </r>
  <r>
    <s v="3850Providence Mount Carmel Hospital4899Rehabilitation Services Administration (U,N)"/>
    <m/>
    <x v="4"/>
    <s v="PHC"/>
    <s v="WA"/>
    <n v="3850"/>
    <x v="16"/>
    <n v="4899"/>
    <s v="Rehabilitation Services Administration"/>
    <s v="Rehabilitation Services"/>
    <s v="Rehabilitation Services Administration (U,N)"/>
    <s v="1000 Baseline Billed Time Units (BTUs) Supported"/>
    <m/>
    <n v="549.53"/>
    <n v="0.2984"/>
    <m/>
    <n v="10.79"/>
    <n v="0.93779999999999997"/>
    <n v="13"/>
    <n v="1.46"/>
    <n v="5.43"/>
    <n v="5.86"/>
    <n v="0.89749999999999996"/>
    <n v="3.18"/>
    <n v="83743.882842671606"/>
    <n v="3308"/>
    <n v="1.58593899591902"/>
  </r>
  <r>
    <s v="3530Providence Newberg Hospital591057084200, SECURITY"/>
    <m/>
    <x v="3"/>
    <s v="OR"/>
    <s v="OR"/>
    <n v="3530"/>
    <x v="17"/>
    <n v="5910"/>
    <s v="Security"/>
    <s v="Other Support Services"/>
    <s v="57084200, SECURITY"/>
    <s v="1000 Gross Square Feet Patrolled"/>
    <n v="767.74"/>
    <n v="1620.43"/>
    <n v="0.83330000000000004"/>
    <n v="12.73"/>
    <n v="6.12"/>
    <n v="0.25"/>
    <n v="13"/>
    <n v="6.12"/>
    <n v="6.99"/>
    <n v="10.94"/>
    <n v="0.90580000000000005"/>
    <n v="5.27"/>
    <n v="-43086.061324727903"/>
    <n v="-1513"/>
    <n v="-0.72547081439750505"/>
  </r>
  <r>
    <s v="3530Providence Newberg Hospital584057083600, CS MANAGEMENT"/>
    <m/>
    <x v="3"/>
    <s v="OR"/>
    <s v="OR"/>
    <n v="3530"/>
    <x v="17"/>
    <n v="5840"/>
    <s v="Case Management"/>
    <s v="Clinical Resource Management Services"/>
    <s v="57083600, CS MANAGEMENT"/>
    <s v="Cases Managed"/>
    <m/>
    <n v="16096"/>
    <n v="0.83330000000000004"/>
    <m/>
    <n v="0.28999999999999998"/>
    <n v="0.16669999999999999"/>
    <n v="13"/>
    <n v="0.33"/>
    <n v="0.36"/>
    <n v="1.1599999999999999"/>
    <n v="0.89880000000000004"/>
    <n v="2.5299999999999998"/>
    <n v="-44737.618031170903"/>
    <n v="-1170"/>
    <n v="-0.56104664844395002"/>
  </r>
  <r>
    <s v="3527Providence Portland Medical Center346052276500, NUCLEAR MEDICINE"/>
    <m/>
    <x v="3"/>
    <s v="OR"/>
    <s v="OR"/>
    <n v="3527"/>
    <x v="18"/>
    <n v="3460"/>
    <s v="Nuclear Medicine"/>
    <s v="Imaging Services"/>
    <s v="52276500, NUCLEAR MEDICINE"/>
    <s v="APC Relative Weight"/>
    <n v="46967.839999999997"/>
    <n v="68094.13"/>
    <n v="0.66669999999999996"/>
    <n v="0.25"/>
    <n v="0.19"/>
    <n v="0"/>
    <n v="13"/>
    <n v="0.2"/>
    <n v="0.2"/>
    <n v="0.22"/>
    <n v="0.8871"/>
    <n v="7.07"/>
    <n v="-27458.5295912826"/>
    <n v="-606"/>
    <n v="-0.29063446399020099"/>
  </r>
  <r>
    <s v="3527Providence Portland Medical Center349952276395, DIAGNOSTIC IMAGING ADM SUPPORT"/>
    <m/>
    <x v="3"/>
    <s v="OR"/>
    <s v="OR"/>
    <n v="3527"/>
    <x v="18"/>
    <n v="3499"/>
    <s v="Imaging Services Administration"/>
    <s v="Imaging Services"/>
    <s v="52276395, DIAGNOSTIC IMAGING ADM SUPPORT"/>
    <s v="APC Relative Weight Supported"/>
    <n v="383399.09"/>
    <n v="404466.61070000002"/>
    <n v="0.61539999999999995"/>
    <n v="0.09"/>
    <n v="8.8218777659413855E-2"/>
    <n v="0.91669999999999996"/>
    <n v="13"/>
    <n v="0.04"/>
    <n v="0.04"/>
    <n v="0.05"/>
    <n v="0.8468"/>
    <n v="20.260000000000002"/>
    <n v="634281.37535767595"/>
    <n v="23031.277246102978"/>
    <n v="11.042468833534535"/>
  </r>
  <r>
    <s v="3852Providence Sacred Heart Medical Center181034577150, IV THERAPY"/>
    <m/>
    <x v="4"/>
    <s v="PHC"/>
    <s v="WA"/>
    <n v="3852"/>
    <x v="9"/>
    <n v="1810"/>
    <s v="IV Team (Vascular Access)"/>
    <s v="Nursing Services"/>
    <s v="34577150, IV THERAPY"/>
    <s v="100 Procedures"/>
    <n v="774.67"/>
    <n v="864.82"/>
    <n v="0.41670000000000001"/>
    <n v="42.68"/>
    <n v="39.42"/>
    <n v="0.72729999999999995"/>
    <n v="13"/>
    <n v="25.08"/>
    <n v="29.84"/>
    <n v="35.82"/>
    <n v="0.86850000000000005"/>
    <n v="18.87"/>
    <n v="506808.65479780198"/>
    <n v="9644"/>
    <n v="4.6236739541945999"/>
  </r>
  <r>
    <s v="3852Providence Sacred Heart Medical Center309934574201, SURGERY ADMIN"/>
    <m/>
    <x v="4"/>
    <s v="PHC"/>
    <s v="WA"/>
    <n v="3852"/>
    <x v="9"/>
    <n v="3099"/>
    <s v="Surgical Services Administration"/>
    <s v="Surgical Services"/>
    <s v="34574201, SURGERY ADMIN"/>
    <s v="Cases Supported"/>
    <n v="20163"/>
    <n v="21213"/>
    <n v="0.58330000000000004"/>
    <n v="1.52"/>
    <n v="1.57"/>
    <n v="0.66669999999999996"/>
    <n v="13"/>
    <n v="0.52"/>
    <n v="0.77"/>
    <n v="0.89"/>
    <n v="0.85940000000000005"/>
    <n v="18.579999999999998"/>
    <n v="840487.31117744499"/>
    <n v="19746"/>
    <n v="9.4673303497159704"/>
  </r>
  <r>
    <s v="3852Providence Sacred Heart Medical Center466534574272, PRESURGICAL SCREENING"/>
    <m/>
    <x v="4"/>
    <s v="PHC"/>
    <s v="WA"/>
    <n v="3852"/>
    <x v="9"/>
    <n v="4665"/>
    <s v="Pre Admission / Pre Procedure Testing"/>
    <s v="Other Clinical Support Services"/>
    <s v="34574272, PRESURGICAL SCREENING"/>
    <s v="Patient Visits"/>
    <n v="536"/>
    <n v="1522"/>
    <n v="0.58330000000000004"/>
    <n v="50.05"/>
    <n v="18"/>
    <n v="1"/>
    <n v="13"/>
    <n v="3.79"/>
    <n v="3.87"/>
    <n v="4.29"/>
    <n v="0.84919999999999995"/>
    <n v="15.51"/>
    <n v="1087258.90866325"/>
    <n v="25413"/>
    <n v="12.1844476343644"/>
  </r>
  <r>
    <s v="3850Providence Mount Carmel Hospital511237083400, DIETARY"/>
    <m/>
    <x v="4"/>
    <s v="PHC"/>
    <s v="WA"/>
    <n v="3850"/>
    <x v="16"/>
    <n v="5112"/>
    <s v="Patient and Nonpatient Food Services"/>
    <s v="Food and Nutrition Services"/>
    <s v="37083400, DIETARY"/>
    <s v="ART: Total Meal Equivalents"/>
    <n v="65941.820000000007"/>
    <n v="65344.959999999999"/>
    <n v="0.41670000000000001"/>
    <n v="0.22"/>
    <n v="0.22"/>
    <n v="0.41670000000000001"/>
    <n v="13"/>
    <n v="0.2"/>
    <n v="0.21"/>
    <n v="0.22"/>
    <n v="0.89290000000000003"/>
    <n v="7.68"/>
    <n v="11288.985686663"/>
    <n v="650"/>
    <n v="0.31154005420320602"/>
  </r>
  <r>
    <s v="3533Providence San Pedro Peninsula Hospital141077264400 REHABILITATION"/>
    <m/>
    <x v="2"/>
    <s v="CA"/>
    <s v="CA"/>
    <n v="3533"/>
    <x v="14"/>
    <n v="1410"/>
    <s v="Acute Rehabilitation Unit"/>
    <s v="Nursing Services"/>
    <s v="77264400 REHABILITATION"/>
    <s v="Equivalent Patient Day"/>
    <n v="4105"/>
    <n v="4946"/>
    <n v="0.58330000000000004"/>
    <n v="10.47"/>
    <n v="10.58"/>
    <n v="0.3"/>
    <n v="13"/>
    <n v="10.51"/>
    <n v="10.59"/>
    <n v="10.79"/>
    <n v="0.91610000000000003"/>
    <n v="27.47"/>
    <n v="5074.2170657942697"/>
    <n v="119"/>
    <n v="5.7076895514065001E-2"/>
  </r>
  <r>
    <s v="2719Providence St Joseph Medical Center231071072910 - 02310 - Home Health 71072910 to 71072980 (U)"/>
    <m/>
    <x v="2"/>
    <s v="CA"/>
    <s v="CA"/>
    <n v="2719"/>
    <x v="6"/>
    <n v="2310"/>
    <s v="Home Health"/>
    <s v="Home Care Services"/>
    <s v="71072910 - 02310 - Home Health 71072910 to 71072980 (U)"/>
    <s v="Home Care Patient Visits"/>
    <n v="39447"/>
    <n v="39744"/>
    <n v="0.42849999999999999"/>
    <n v="2.16"/>
    <n v="2.15"/>
    <n v="0.33839999999999998"/>
    <n v="13"/>
    <n v="2.09"/>
    <n v="2.19"/>
    <n v="2.48"/>
    <n v="0.90129999999999999"/>
    <n v="45.53"/>
    <n v="-69662.1480319806"/>
    <n v="-1609"/>
    <n v="-0.77143773670780302"/>
  </r>
  <r>
    <s v="2719Providence St Joseph Medical Center641071087560 - 06410 - PSJMC EPIDEMIOLOGY"/>
    <m/>
    <x v="2"/>
    <s v="CA"/>
    <s v="CA"/>
    <n v="2719"/>
    <x v="6"/>
    <n v="6410"/>
    <s v="Infection Prevention and Control and Healthcare Epidemiology"/>
    <s v="Quality Management and Patient Safety Services"/>
    <s v="71087560 - 06410 - PSJMC EPIDEMIOLOGY"/>
    <s v="Total Healthcare-associated Infections (HAIs)"/>
    <n v="195"/>
    <n v="234"/>
    <n v="0.75"/>
    <n v="23.26"/>
    <n v="23.39"/>
    <n v="0.41670000000000001"/>
    <n v="13"/>
    <n v="21.03"/>
    <n v="22.86"/>
    <n v="24.84"/>
    <n v="0.89390000000000003"/>
    <n v="2.94"/>
    <n v="7898.6599638071602"/>
    <n v="148"/>
    <n v="7.0862874845212698E-2"/>
  </r>
  <r>
    <s v="2719Providence St Joseph Medical Center581071083600 - 05810 - PSJMC CLINICAL SOCIAL WORK"/>
    <m/>
    <x v="2"/>
    <s v="CA"/>
    <s v="CA"/>
    <n v="2719"/>
    <x v="6"/>
    <n v="5810"/>
    <s v="Social Work"/>
    <s v="Clinical Resource Management Services"/>
    <s v="71083600 - 05810 - PSJMC CLINICAL SOCIAL WORK"/>
    <s v="Social Work Cases"/>
    <n v="6024"/>
    <n v="6758"/>
    <n v="0.58330000000000004"/>
    <n v="2.79"/>
    <n v="2.69"/>
    <n v="0.75"/>
    <n v="13"/>
    <n v="2"/>
    <n v="2.23"/>
    <n v="2.44"/>
    <n v="0.88480000000000003"/>
    <n v="9.89"/>
    <n v="134683.26720571"/>
    <n v="3595"/>
    <n v="1.7236856130712199"/>
  </r>
  <r>
    <s v="3853Providence St Joseph's Hospital Chewelah661037586100, 86102 ADMINISTRATION"/>
    <m/>
    <x v="4"/>
    <s v="PHC"/>
    <s v="WA"/>
    <n v="3853"/>
    <x v="20"/>
    <n v="6610"/>
    <s v="Administration"/>
    <s v="Administration"/>
    <s v="37586100, 86102 ADMINISTRATION"/>
    <s v="100 Adjusted Discharges"/>
    <n v="15.25"/>
    <n v="14.77"/>
    <n v="0.16669999999999999"/>
    <n v="187.47"/>
    <n v="276.35000000000002"/>
    <n v="0.5"/>
    <n v="13"/>
    <n v="124.73"/>
    <n v="155.36000000000001"/>
    <n v="276.35000000000002"/>
    <n v="0.88149999999999995"/>
    <n v="2.23"/>
    <n v="84225.161034268996"/>
    <n v="2048"/>
    <n v="0.98191101569989103"/>
  </r>
  <r>
    <s v="3848Providence St Patrick Hospital &amp; Health Science Ce5530COMMUNICATIONS PC (U)"/>
    <m/>
    <x v="4"/>
    <s v="WMR"/>
    <s v="MT"/>
    <n v="3848"/>
    <x v="21"/>
    <n v="5530"/>
    <s v="Call Center / Switchboard"/>
    <s v="Information Technology"/>
    <s v="COMMUNICATIONS PC (U)"/>
    <s v="100 Incoming Calls"/>
    <n v="5021.26"/>
    <n v="5069.5600000000004"/>
    <n v="0.47399999999999998"/>
    <n v="0.83"/>
    <n v="2.98"/>
    <n v="0.45090000000000002"/>
    <n v="13"/>
    <n v="2.58"/>
    <n v="2.77"/>
    <n v="3.12"/>
    <n v="0.89759999999999995"/>
    <n v="8.08"/>
    <n v="18447.710764167801"/>
    <n v="1208"/>
    <n v="0.579065874001359"/>
  </r>
  <r>
    <s v="3848Providence St Patrick Hospital &amp; Health Science Ce449046004490, Pharmacy Administration and Support (U)"/>
    <m/>
    <x v="4"/>
    <s v="WMR"/>
    <s v="MT"/>
    <n v="3848"/>
    <x v="21"/>
    <n v="4490"/>
    <s v="Pharmacy Administration and Support"/>
    <s v="Pharmacy Services"/>
    <s v="46004490, Pharmacy Administration and Support (U)"/>
    <s v="CMI Weighted Adjusted Discharges"/>
    <n v="33173.42"/>
    <n v="35303.360000000001"/>
    <n v="0.48630000000000001"/>
    <n v="0.17"/>
    <n v="0.19"/>
    <n v="0.66479999999999995"/>
    <n v="13"/>
    <n v="0.14000000000000001"/>
    <n v="0.15"/>
    <n v="0.17"/>
    <n v="0.97889999999999999"/>
    <n v="3.3"/>
    <n v="81567.311151055605"/>
    <n v="1473"/>
    <n v="0.70631559496006702"/>
  </r>
  <r>
    <s v="3848Providence St Patrick Hospital &amp; Health Science Ce12704607400 Family Maternity Center"/>
    <m/>
    <x v="4"/>
    <s v="WMR"/>
    <s v="MT"/>
    <n v="3848"/>
    <x v="21"/>
    <n v="1270"/>
    <s v="Labor/Delivery/Recovery/Postpartum/Nursery"/>
    <s v="Nursing Services"/>
    <s v="4607400 Family Maternity Center"/>
    <s v="Neonate Deliveries"/>
    <m/>
    <n v="198"/>
    <n v="0"/>
    <m/>
    <n v="174.24"/>
    <m/>
    <n v="13"/>
    <n v="65.36"/>
    <n v="69.010000000000005"/>
    <n v="74.77"/>
    <n v="0.96120000000000005"/>
    <n v="17.260000000000002"/>
    <n v="828401.21717902005"/>
    <n v="21784"/>
    <n v="10.444281981511701"/>
  </r>
  <r>
    <s v="3524Providence St Peter Hospital111133061790, Med/Surg/Cardiac Intermediate Unit"/>
    <m/>
    <x v="1"/>
    <s v="SWR"/>
    <s v="WA"/>
    <n v="3524"/>
    <x v="2"/>
    <n v="1111"/>
    <s v="Med/Surg/Cardiac Intermediate Care Unit"/>
    <s v="Nursing Services"/>
    <s v="33061790, Med/Surg/Cardiac Intermediate Unit"/>
    <s v="Equivalent Patient Day"/>
    <n v="8252.08"/>
    <n v="8739.58"/>
    <n v="0.58330000000000004"/>
    <n v="11.28"/>
    <n v="10.64"/>
    <n v="0.25"/>
    <n v="13"/>
    <n v="10.64"/>
    <n v="11.32"/>
    <n v="12.04"/>
    <n v="0.85519999999999996"/>
    <n v="52.26"/>
    <n v="-285638.54442669102"/>
    <n v="-6684"/>
    <n v="-3.2048005553250101"/>
  </r>
  <r>
    <s v="3524Providence St Peter Hospital463033077610, ENDOSCOPY"/>
    <m/>
    <x v="1"/>
    <s v="SWR"/>
    <s v="WA"/>
    <n v="3524"/>
    <x v="2"/>
    <n v="4630"/>
    <s v="Endoscopy (GI) Laboratory"/>
    <s v="Other Clinical Support Services"/>
    <s v="33077610, ENDOSCOPY"/>
    <s v="APC Relative Weight"/>
    <m/>
    <n v="946.49"/>
    <n v="0.41670000000000001"/>
    <m/>
    <n v="8.74"/>
    <n v="0.2"/>
    <n v="13"/>
    <n v="8.89"/>
    <n v="12.77"/>
    <n v="17.09"/>
    <n v="0.7974"/>
    <n v="4.99"/>
    <n v="-259668.21351486299"/>
    <n v="-4750"/>
    <n v="-2.2773964874021999"/>
  </r>
  <r>
    <s v="3524Providence St Peter Hospital343033076608, Magnetic Resonance Imaging"/>
    <m/>
    <x v="1"/>
    <s v="SWR"/>
    <s v="WA"/>
    <n v="3524"/>
    <x v="2"/>
    <n v="3430"/>
    <s v="Magnetic Resonance Imaging"/>
    <s v="Imaging Services"/>
    <s v="33076608, Magnetic Resonance Imaging"/>
    <s v="APC Relative Weight"/>
    <n v="22045.35"/>
    <n v="23517.46"/>
    <n v="0.58330000000000004"/>
    <n v="0.3"/>
    <n v="0.32"/>
    <n v="0.16669999999999999"/>
    <n v="13"/>
    <n v="0.33"/>
    <n v="0.35"/>
    <n v="0.37"/>
    <n v="0.91749999999999998"/>
    <n v="3.9"/>
    <n v="-34681.627051600801"/>
    <n v="-837"/>
    <n v="-0.40130802471063198"/>
  </r>
  <r>
    <s v="3524Providence St Peter Hospital489933078000 and 33085303 Rehabilitation Services Administration"/>
    <m/>
    <x v="1"/>
    <s v="SWR"/>
    <s v="WA"/>
    <n v="3524"/>
    <x v="2"/>
    <n v="4899"/>
    <s v="Rehabilitation Services Administration"/>
    <s v="Rehabilitation Services"/>
    <s v="33078000 and 33085303 Rehabilitation Services Administration"/>
    <s v="1000 Baseline Billed Time Units (BTUs) Supported"/>
    <n v="5188.67"/>
    <n v="5704.22"/>
    <n v="0.5"/>
    <n v="5.31"/>
    <n v="3.33"/>
    <n v="0.36359999999999998"/>
    <n v="13"/>
    <n v="2.99"/>
    <n v="3.32"/>
    <n v="3.59"/>
    <n v="0.9083"/>
    <n v="10.06"/>
    <n v="4203.1016994913598"/>
    <n v="132"/>
    <n v="6.3379729932092801E-2"/>
  </r>
  <r>
    <s v="3524Providence St Peter Hospital522133083500, LAUNDRY AND LINEN"/>
    <m/>
    <x v="1"/>
    <s v="SWR"/>
    <s v="WA"/>
    <n v="3524"/>
    <x v="2"/>
    <n v="5221"/>
    <s v="Laundry and Linen Distribution Only"/>
    <s v="Environmental Services"/>
    <s v="33083500, LAUNDRY AND LINEN"/>
    <s v="100 Lbs Clean Laundry Distributed"/>
    <n v="26335.1"/>
    <n v="26404.16"/>
    <n v="0.58330000000000004"/>
    <n v="0.35"/>
    <n v="0.35"/>
    <n v="0.5"/>
    <n v="13"/>
    <n v="0.25"/>
    <n v="0.27"/>
    <n v="0.35"/>
    <n v="0.91439999999999999"/>
    <n v="4.92"/>
    <n v="46377.972777823299"/>
    <n v="2465"/>
    <n v="1.1819245639315901"/>
  </r>
  <r>
    <s v="3524Providence St Peter Hospital222233072203, CDC OP Units"/>
    <m/>
    <x v="1"/>
    <s v="SWR"/>
    <s v="WA"/>
    <n v="3524"/>
    <x v="2"/>
    <n v="2222"/>
    <s v="Chemical Dependency Clinic"/>
    <s v="Ambulatory Care Clinics"/>
    <s v="33072203, CDC OP Units"/>
    <s v="Patient Visits"/>
    <n v="10328"/>
    <n v="10324"/>
    <n v="0.5"/>
    <n v="2.2200000000000002"/>
    <n v="2.04"/>
    <n v="0.83330000000000004"/>
    <n v="13"/>
    <n v="1.17"/>
    <n v="1.27"/>
    <n v="1.48"/>
    <n v="0.89319999999999999"/>
    <n v="11.33"/>
    <n v="215753.49741618399"/>
    <n v="8952"/>
    <n v="4.2919692289299602"/>
  </r>
  <r>
    <s v="3535Providence St Vincent Medical Center112253060342, CARDIAC TELEMETRY - 6W"/>
    <m/>
    <x v="3"/>
    <s v="OR"/>
    <s v="OR"/>
    <n v="3535"/>
    <x v="22"/>
    <n v="1122"/>
    <s v="Cardiac Intermediate Care Unit"/>
    <s v="Nursing Services"/>
    <s v="53060342, CARDIAC TELEMETRY - 6W"/>
    <s v="Equivalent Patient Day"/>
    <n v="7946.95"/>
    <n v="8905"/>
    <n v="0.66669999999999996"/>
    <n v="10.65"/>
    <n v="10.59"/>
    <n v="0.16669999999999999"/>
    <n v="13"/>
    <n v="11.04"/>
    <n v="11.27"/>
    <n v="11.33"/>
    <n v="0.89980000000000004"/>
    <n v="50.37"/>
    <n v="-292883.057363867"/>
    <n v="-6478"/>
    <n v="-3.1061348627408001"/>
  </r>
  <r>
    <s v="3535Providence St Vincent Medical Center102353060310, CARDIOVASC INTENSIVE CARE UNIT"/>
    <m/>
    <x v="3"/>
    <s v="OR"/>
    <s v="OR"/>
    <n v="3535"/>
    <x v="22"/>
    <n v="1023"/>
    <s v="Cardiovascular Surgical Intensive Care Unit"/>
    <s v="Nursing Services"/>
    <s v="53060310, CARDIOVASC INTENSIVE CARE UNIT"/>
    <s v="Equivalent Patient Day"/>
    <n v="3501.5"/>
    <n v="3606"/>
    <n v="0.58330000000000004"/>
    <n v="21.75"/>
    <n v="21.85"/>
    <n v="0.61539999999999995"/>
    <n v="13"/>
    <n v="20.260000000000002"/>
    <n v="20.59"/>
    <n v="21.18"/>
    <n v="0.877"/>
    <n v="43.19"/>
    <n v="292426.421864036"/>
    <n v="5421"/>
    <n v="2.59891739913903"/>
  </r>
  <r>
    <s v="3535Providence St Vincent Medical Center201053087308, ER SVCS BEHAVIORAL HLTH"/>
    <m/>
    <x v="3"/>
    <s v="OR"/>
    <s v="OR"/>
    <n v="3535"/>
    <x v="22"/>
    <n v="2010"/>
    <s v="Emergency Department"/>
    <s v="Emergency Services"/>
    <s v="53087308, ER SVCS BEHAVIORAL HLTH"/>
    <s v="Patient Visits"/>
    <n v="5831"/>
    <n v="5452"/>
    <n v="8.3299999999999999E-2"/>
    <n v="8.39"/>
    <n v="6.05"/>
    <n v="0.75"/>
    <n v="13"/>
    <n v="3.02"/>
    <n v="3.17"/>
    <n v="3.74"/>
    <n v="0.88239999999999996"/>
    <n v="17.96"/>
    <n v="0"/>
    <n v="0"/>
    <n v="0"/>
  </r>
  <r>
    <s v="3755Providence Tarzana Medical Center106072560500, PEDS ICU"/>
    <m/>
    <x v="2"/>
    <s v="CA"/>
    <s v="CA"/>
    <n v="3755"/>
    <x v="3"/>
    <n v="1060"/>
    <s v="Pediatric Intensive Care Unit"/>
    <s v="Nursing Services"/>
    <s v="72560500, PEDS ICU"/>
    <s v="Equivalent Patient Day"/>
    <n v="1135.3800000000001"/>
    <n v="1025"/>
    <n v="0.41670000000000001"/>
    <n v="21.13"/>
    <n v="21.11"/>
    <n v="0.33329999999999999"/>
    <n v="13"/>
    <n v="20.350000000000001"/>
    <n v="21.15"/>
    <n v="23.58"/>
    <n v="0.83240000000000003"/>
    <n v="12.5"/>
    <n v="1593.61677139877"/>
    <n v="28"/>
    <n v="1.32239012426112E-2"/>
  </r>
  <r>
    <s v="3928Swedish Cherry Hill301222074230 HEART AND VASCULAR SURGERY/22074232 PERFUSION SERVICES/22074705 HEART A"/>
    <m/>
    <x v="1"/>
    <s v="SHS"/>
    <s v="WA"/>
    <n v="3928"/>
    <x v="25"/>
    <n v="3012"/>
    <s v="Cardiac Operating Room"/>
    <s v="Surgical Services"/>
    <s v="22074230 HEART AND VASCULAR SURGERY/22074232 PERFUSION SERVICES/22074705 HEART A"/>
    <s v="100 Operating Room Minutes"/>
    <n v="3862.14"/>
    <n v="4234.43"/>
    <n v="0.75"/>
    <n v="15.69"/>
    <n v="15.97"/>
    <n v="0.63639999999999997"/>
    <n v="13"/>
    <n v="13.14"/>
    <n v="13.82"/>
    <n v="14.88"/>
    <n v="0.90810000000000002"/>
    <n v="35.799999999999997"/>
    <n v="545624.99081858702"/>
    <n v="10226"/>
    <n v="4.9029166750284796"/>
  </r>
  <r>
    <s v="3928Swedish Cherry Hill306022074500 ANESTHESIA"/>
    <m/>
    <x v="1"/>
    <s v="SHS"/>
    <s v="WA"/>
    <n v="3928"/>
    <x v="25"/>
    <n v="3060"/>
    <s v="Anesthesia"/>
    <s v="Surgical Services"/>
    <s v="22074500 ANESTHESIA"/>
    <s v="100 Minutes Patient Enter To Leave"/>
    <n v="12874.06"/>
    <n v="15518.07"/>
    <n v="0.41670000000000001"/>
    <n v="1.42"/>
    <n v="1.56"/>
    <n v="1"/>
    <n v="13"/>
    <n v="0.72"/>
    <n v="0.83"/>
    <n v="1.03"/>
    <n v="0.9204"/>
    <n v="12.61"/>
    <n v="465758.65418755001"/>
    <n v="12307"/>
    <n v="5.9005434029289496"/>
  </r>
  <r>
    <s v="3929Swedish Edmonds101323060100 INTENSIVE CARE"/>
    <m/>
    <x v="1"/>
    <s v="SHS"/>
    <s v="WA"/>
    <n v="3929"/>
    <x v="31"/>
    <n v="1013"/>
    <s v="Med/Surg/Cardiac Intensive Care Unit"/>
    <s v="Nursing Services"/>
    <s v="23060100 INTENSIVE CARE"/>
    <s v="Equivalent Patient Day"/>
    <n v="2535"/>
    <n v="2931"/>
    <n v="0.5"/>
    <n v="20.91"/>
    <n v="18.690000000000001"/>
    <n v="0.16669999999999999"/>
    <n v="13"/>
    <n v="18.760000000000002"/>
    <n v="19.22"/>
    <n v="21.18"/>
    <n v="0.87670000000000003"/>
    <n v="30.04"/>
    <n v="-85550.842143390604"/>
    <n v="-1602"/>
    <n v="-0.76820206495677801"/>
  </r>
  <r>
    <s v="3929Swedish Edmonds127023063800 FAMILY CHILDBIRTH/23074501 OB ANESTHESIA"/>
    <m/>
    <x v="1"/>
    <s v="SHS"/>
    <s v="WA"/>
    <n v="3929"/>
    <x v="31"/>
    <n v="1270"/>
    <s v="Labor/Delivery/Recovery/Postpartum/Nursery"/>
    <s v="Nursing Services"/>
    <s v="23063800 FAMILY CHILDBIRTH/23074501 OB ANESTHESIA"/>
    <s v="Neonate Deliveries"/>
    <n v="1148"/>
    <n v="1170"/>
    <n v="0.16669999999999999"/>
    <n v="64.39"/>
    <n v="68.69"/>
    <n v="0.58330000000000004"/>
    <n v="13"/>
    <n v="57.12"/>
    <n v="58.53"/>
    <n v="62.83"/>
    <n v="0.87450000000000006"/>
    <n v="44.18"/>
    <n v="682184.76705312799"/>
    <n v="13839"/>
    <n v="6.6349462068380198"/>
  </r>
  <r>
    <s v="3929Swedish Edmonds111123061790 PROGRESSIVE CARE UNIT"/>
    <m/>
    <x v="1"/>
    <s v="SHS"/>
    <s v="WA"/>
    <n v="3929"/>
    <x v="31"/>
    <n v="1111"/>
    <s v="Med/Surg/Cardiac Intermediate Care Unit"/>
    <s v="Nursing Services"/>
    <s v="23061790 PROGRESSIVE CARE UNIT"/>
    <s v="Equivalent Patient Day"/>
    <n v="10677.38"/>
    <n v="12086"/>
    <n v="0.83330000000000004"/>
    <n v="13.31"/>
    <n v="13.46"/>
    <n v="1"/>
    <n v="13"/>
    <n v="12.28"/>
    <n v="12.35"/>
    <n v="12.5"/>
    <n v="0.92079999999999995"/>
    <n v="84.91"/>
    <n v="691474.80203219503"/>
    <n v="14996"/>
    <n v="7.1900708994061402"/>
  </r>
  <r>
    <s v="3927Swedish First Hill128521074000, 21063802 LABOR AND DELIVERY &amp; OB TRIAGE"/>
    <m/>
    <x v="1"/>
    <s v="SHS"/>
    <s v="WA"/>
    <n v="3927"/>
    <x v="26"/>
    <n v="1285"/>
    <s v="Labor/Delivery with Recovery"/>
    <s v="Nursing Services"/>
    <s v="21074000, 21063802 LABOR AND DELIVERY &amp; OB TRIAGE"/>
    <s v="Neonate Deliveries"/>
    <n v="5861"/>
    <n v="7123"/>
    <n v="1"/>
    <n v="32.65"/>
    <n v="34.97"/>
    <n v="0.66669999999999996"/>
    <n v="13"/>
    <n v="32.31"/>
    <n v="32.909999999999997"/>
    <n v="34.090000000000003"/>
    <n v="0.88690000000000002"/>
    <n v="119.76"/>
    <n v="-791806.205823294"/>
    <n v="-14528"/>
    <n v="-6.9655925513063899"/>
  </r>
  <r>
    <s v="3927Swedish First Hill1830Centralized Telemetry (N)"/>
    <m/>
    <x v="1"/>
    <s v="SHS"/>
    <s v="WA"/>
    <n v="3927"/>
    <x v="26"/>
    <n v="1830"/>
    <s v="Centralized Telemetry"/>
    <s v="Nursing Services"/>
    <s v="Centralized Telemetry (N)"/>
    <s v="Telemetry Days Supported"/>
    <n v="21670"/>
    <n v="25940"/>
    <n v="0.5"/>
    <n v="0.13"/>
    <n v="0.27"/>
    <m/>
    <n v="13"/>
    <n v="0.74"/>
    <n v="0.76"/>
    <n v="0.8"/>
    <n v="0.91390000000000005"/>
    <n v="3.64"/>
    <n v="-329245.84861452901"/>
    <n v="-13980"/>
    <n v="-6.7026789910943902"/>
  </r>
  <r>
    <s v="3927Swedish First Hill229021078622 ORGAN TRANSPLANT/78600 KIDNEY ACQ/78621 LIVER/74223-4 POST LIVER KIDNEY"/>
    <m/>
    <x v="1"/>
    <s v="SHS"/>
    <s v="WA"/>
    <n v="3927"/>
    <x v="26"/>
    <n v="2290"/>
    <s v="Transplant Center"/>
    <s v="Ambulatory Care Clinics"/>
    <s v="21078622 ORGAN TRANSPLANT/78600 KIDNEY ACQ/78621 LIVER/74223-4 POST LIVER KIDNEY"/>
    <s v="Patient Visits"/>
    <n v="3498"/>
    <n v="5293"/>
    <n v="0.5"/>
    <n v="12.02"/>
    <n v="9.0399999999999991"/>
    <n v="0.66669999999999996"/>
    <n v="13"/>
    <n v="2.5499999999999998"/>
    <n v="3.32"/>
    <n v="6.5"/>
    <n v="0.92930000000000001"/>
    <n v="24.74"/>
    <n v="1694342.60590668"/>
    <n v="32691"/>
    <n v="15.673655871825799"/>
  </r>
  <r>
    <s v="3932Swedish Health Services Corp (S)191120587302 NURSING RESOURCE OFFICE"/>
    <m/>
    <x v="1"/>
    <s v="SHS"/>
    <s v="WA"/>
    <n v="3932"/>
    <x v="27"/>
    <n v="1911"/>
    <s v="Nurse Staffing Office"/>
    <s v="Nursing Services"/>
    <s v="20587302 NURSING RESOURCE OFFICE"/>
    <s v="Nursing Division Employees"/>
    <n v="2246"/>
    <n v="2456"/>
    <n v="0.91669999999999996"/>
    <n v="19.16"/>
    <n v="17.600000000000001"/>
    <n v="0.33329999999999999"/>
    <n v="13"/>
    <n v="14.84"/>
    <n v="18.670000000000002"/>
    <n v="26.86"/>
    <n v="0.87809999999999999"/>
    <n v="18.600000000000001"/>
    <n v="-367605.10542285099"/>
    <n v="-13425"/>
    <n v="-6.4366871242468102"/>
  </r>
  <r>
    <s v="3931Swedish Issaquah343022576600 MRI"/>
    <m/>
    <x v="1"/>
    <s v="SHS"/>
    <s v="WA"/>
    <n v="3931"/>
    <x v="28"/>
    <n v="3430"/>
    <s v="Magnetic Resonance Imaging"/>
    <s v="Imaging Services"/>
    <s v="22576600 MRI"/>
    <s v="APC Relative Weight"/>
    <n v="37595.99"/>
    <n v="55199.66"/>
    <n v="0.58330000000000004"/>
    <n v="0.26"/>
    <n v="0.19"/>
    <n v="0"/>
    <n v="13"/>
    <n v="0.28000000000000003"/>
    <n v="0.3"/>
    <n v="0.32"/>
    <n v="0.91510000000000002"/>
    <n v="5.49"/>
    <n v="-361122.49460641702"/>
    <n v="-6646"/>
    <n v="-3.18635395586309"/>
  </r>
  <r>
    <s v="3931Swedish Issaquah5925Patient Escort (Transport) Service (N)"/>
    <m/>
    <x v="1"/>
    <s v="SHS"/>
    <s v="WA"/>
    <n v="3931"/>
    <x v="28"/>
    <n v="5925"/>
    <s v="Patient Escort (Transport) Service"/>
    <s v="Other Support Services"/>
    <s v="Patient Escort (Transport) Service (N)"/>
    <s v="100 Patient Transports Performed"/>
    <n v="141.99"/>
    <n v="145.22"/>
    <n v="0.5"/>
    <n v="56.84"/>
    <n v="45.46"/>
    <n v="0.3846"/>
    <n v="13"/>
    <n v="37.340000000000003"/>
    <n v="44.4"/>
    <n v="46.59"/>
    <n v="0.90800000000000003"/>
    <n v="3.5"/>
    <n v="9439.5864749498396"/>
    <n v="199"/>
    <n v="9.5355957570525202E-2"/>
  </r>
  <r>
    <s v="3927Swedish First Hill511021083400 NUTRITION SERVICES"/>
    <m/>
    <x v="1"/>
    <s v="SHS"/>
    <s v="WA"/>
    <n v="3927"/>
    <x v="26"/>
    <n v="5110"/>
    <s v="Patient Food Services"/>
    <s v="Food and Nutrition Services"/>
    <s v="21083400 NUTRITION SERVICES"/>
    <s v="ART: Total Patient Meal Equivalents"/>
    <n v="398602.43"/>
    <n v="479350.01"/>
    <n v="0.66669999999999996"/>
    <n v="0.4"/>
    <n v="0.36"/>
    <n v="0.83330000000000004"/>
    <n v="13"/>
    <n v="0.19"/>
    <n v="0.21"/>
    <n v="0.31"/>
    <n v="0.88"/>
    <n v="94.37"/>
    <n v="1832120.6495860899"/>
    <n v="82438"/>
    <n v="39.524939207242397"/>
  </r>
  <r>
    <s v="3531Providence Medford Medical Center201059070100, 59070101 EMERGENCY SERVICES"/>
    <m/>
    <x v="3"/>
    <s v="OR"/>
    <s v="OR"/>
    <n v="3531"/>
    <x v="29"/>
    <n v="2010"/>
    <s v="Emergency Department"/>
    <s v="Emergency Services"/>
    <s v="59070100, 59070101 EMERGENCY SERVICES"/>
    <s v="Patient Visits"/>
    <n v="34130"/>
    <n v="34013"/>
    <n v="0.46489999999999998"/>
    <n v="2.62"/>
    <n v="2.6024176050333696"/>
    <n v="0.31790000000000002"/>
    <n v="13"/>
    <n v="2.68"/>
    <n v="2.9"/>
    <n v="2.94"/>
    <n v="0.89549999999999996"/>
    <n v="50.25"/>
    <n v="-511113.25226130633"/>
    <n v="-11302.814070351755"/>
    <n v="-5.4191945487614497"/>
  </r>
  <r>
    <s v="3531Providence Medford Medical Center191059087200, NURSING SERVICE ADMIN"/>
    <m/>
    <x v="3"/>
    <s v="OR"/>
    <s v="OR"/>
    <n v="3531"/>
    <x v="29"/>
    <n v="1910"/>
    <s v="Nursing Administration"/>
    <s v="Nursing Services"/>
    <s v="59087200, NURSING SERVICE ADMIN"/>
    <s v="Nursing Division Employees"/>
    <n v="332"/>
    <n v="322"/>
    <n v="0.41670000000000001"/>
    <n v="56.18"/>
    <n v="67.010000000000005"/>
    <n v="0.5"/>
    <n v="13"/>
    <n v="40.75"/>
    <n v="49.23"/>
    <n v="67.010000000000005"/>
    <n v="0.92079999999999995"/>
    <n v="11.26"/>
    <n v="270403.13683753274"/>
    <n v="6217.5933970460501"/>
    <n v="2.9810583482984372"/>
  </r>
  <r>
    <s v="3533Providence San Pedro Peninsula Hospital303077274300 SPH AMBULATORY SURG"/>
    <m/>
    <x v="2"/>
    <s v="CA"/>
    <s v="CA"/>
    <n v="3533"/>
    <x v="14"/>
    <n v="3030"/>
    <s v="Surgery Pre Op and Post Recovery Only"/>
    <s v="Surgical Services"/>
    <s v="77274300 SPH AMBULATORY SURG"/>
    <s v="100 Patient Observation Minutes"/>
    <n v="2977.5"/>
    <n v="3548.62"/>
    <m/>
    <n v="5.54"/>
    <n v="4.5496136526311641"/>
    <n v="0.83330000000000004"/>
    <n v="13"/>
    <n v="3.84"/>
    <n v="3.91"/>
    <n v="4.24"/>
    <n v="0.84740000000000004"/>
    <n v="9.16"/>
    <n v="132290.23490913387"/>
    <n v="2678.4821807882945"/>
    <n v="1.2842125812860405"/>
  </r>
  <r>
    <s v="2947Providence Alaska Medical Center2010Emergency Department"/>
    <m/>
    <x v="0"/>
    <s v="AK"/>
    <s v="AK"/>
    <n v="2947"/>
    <x v="0"/>
    <n v="2010"/>
    <s v="Emergency Department"/>
    <s v="Emergency Services"/>
    <s v="Emergency Department"/>
    <s v="Patient Visits"/>
    <n v="67413"/>
    <n v="72137"/>
    <n v="0.53849999999999998"/>
    <n v="2.75"/>
    <n v="2.73"/>
    <n v="0.30769999999999997"/>
    <n v="14"/>
    <n v="2.69"/>
    <n v="2.74"/>
    <n v="2.84"/>
    <n v="0.90059999999999996"/>
    <n v="104.96"/>
    <n v="-23562.234029585801"/>
    <n v="-556"/>
    <n v="-0.26643478873424398"/>
  </r>
  <r>
    <s v="2947Providence Alaska Medical Center5530Telecommunications (U)"/>
    <m/>
    <x v="0"/>
    <s v="AK"/>
    <s v="AK"/>
    <n v="2947"/>
    <x v="0"/>
    <n v="5530"/>
    <s v="Call Center / Switchboard"/>
    <s v="Information Technology"/>
    <s v="Telecommunications (U)"/>
    <s v="100 Incoming Calls"/>
    <m/>
    <n v="3504.86"/>
    <m/>
    <m/>
    <n v="2.96"/>
    <m/>
    <n v="14"/>
    <n v="3.35"/>
    <n v="3.6"/>
    <n v="3.72"/>
    <n v="0.87729999999999997"/>
    <n v="5.68"/>
    <n v="-57117.870187397959"/>
    <n v="-2535.3580127208511"/>
    <n v="-1.2155851066163805"/>
  </r>
  <r>
    <s v="2947Providence Alaska Medical Center4811PHYSICAL THERAPY IP"/>
    <m/>
    <x v="0"/>
    <s v="AK"/>
    <s v="AK"/>
    <n v="2947"/>
    <x v="0"/>
    <n v="4811"/>
    <s v="Physical Therapy: Inpatient"/>
    <s v="Rehabilitation Services"/>
    <s v="PHYSICAL THERAPY IP"/>
    <s v="1000 Baseline Billed Time Units (BTUs)"/>
    <n v="1055.53"/>
    <n v="1372.97"/>
    <n v="0.46150000000000002"/>
    <n v="33.979999999999997"/>
    <n v="25.68"/>
    <n v="0.22220000000000001"/>
    <n v="14"/>
    <n v="25.68"/>
    <n v="25.74"/>
    <n v="26.26"/>
    <n v="0.9002"/>
    <n v="18.829999999999998"/>
    <n v="721.28925035123905"/>
    <n v="16"/>
    <n v="7.4378138915847103E-3"/>
  </r>
  <r>
    <s v="2947Providence Alaska Medical Center11105W Neuro"/>
    <m/>
    <x v="0"/>
    <s v="AK"/>
    <s v="AK"/>
    <n v="2947"/>
    <x v="0"/>
    <n v="1110"/>
    <s v="Medical/Surgical Intermediate Care Unit"/>
    <s v="Nursing Services"/>
    <s v="5W Neuro"/>
    <s v="Equivalent Patient Day"/>
    <n v="3254"/>
    <n v="3215"/>
    <n v="0.61539999999999995"/>
    <n v="12.22"/>
    <n v="13.68"/>
    <n v="0.53849999999999998"/>
    <n v="14"/>
    <n v="12.2"/>
    <n v="12.87"/>
    <n v="13.55"/>
    <n v="0.90739999999999998"/>
    <n v="23.31"/>
    <n v="117400.377607979"/>
    <n v="3018"/>
    <n v="1.4470426233048499"/>
  </r>
  <r>
    <s v="2947Providence Alaska Medical Center5099Facilities Support"/>
    <m/>
    <x v="0"/>
    <s v="AK"/>
    <s v="AK"/>
    <n v="2947"/>
    <x v="0"/>
    <n v="5099"/>
    <s v="Facility Services Administration"/>
    <s v="Facility Services"/>
    <s v="Facilities Support"/>
    <s v="1000 Gross Square Feet Maintained"/>
    <n v="2144"/>
    <n v="2144"/>
    <n v="0.61539999999999995"/>
    <n v="2.75"/>
    <n v="5.57"/>
    <n v="1"/>
    <n v="14"/>
    <n v="2.0099999999999998"/>
    <n v="2.85"/>
    <n v="3.01"/>
    <n v="0.87180000000000002"/>
    <n v="6.58"/>
    <n v="216424.55690890001"/>
    <n v="6715"/>
    <n v="3.2195229389681699"/>
  </r>
  <r>
    <s v="3525Providence Centralia Hospital3099Surgical Services Administration (U,N)"/>
    <m/>
    <x v="1"/>
    <s v="SWR"/>
    <s v="WA"/>
    <n v="3525"/>
    <x v="10"/>
    <n v="3099"/>
    <s v="Surgical Services Administration"/>
    <s v="Surgical Services"/>
    <s v="Surgical Services Administration (U,N)"/>
    <s v="Cases Supported"/>
    <n v="8756"/>
    <n v="9986"/>
    <n v="0.45369999999999999"/>
    <n v="1.08"/>
    <n v="0.41"/>
    <m/>
    <n v="14"/>
    <n v="0.99"/>
    <n v="1.03"/>
    <n v="1.65"/>
    <n v="0.86929999999999996"/>
    <n v="2.25"/>
    <n v="-315905.45610407699"/>
    <n v="-7139"/>
    <n v="-3.42292792245251"/>
  </r>
  <r>
    <s v="3525Providence Centralia Hospital481534077700, PHYSICAL THERAPY"/>
    <m/>
    <x v="1"/>
    <s v="SWR"/>
    <s v="WA"/>
    <n v="3525"/>
    <x v="10"/>
    <n v="4815"/>
    <s v="Physical Therapy: Inpatient and Outpatient"/>
    <s v="Rehabilitation Services"/>
    <s v="34077700, PHYSICAL THERAPY"/>
    <s v="1000 Baseline Billed Time Units (BTUs)"/>
    <n v="509.95"/>
    <n v="581.58000000000004"/>
    <n v="0.53849999999999998"/>
    <n v="21.53"/>
    <n v="20.78"/>
    <n v="7.6899999999999996E-2"/>
    <n v="14"/>
    <n v="22.55"/>
    <n v="24.28"/>
    <n v="25.87"/>
    <n v="0.88819999999999999"/>
    <n v="6.54"/>
    <n v="-99001.182548351004"/>
    <n v="-2258"/>
    <n v="-1.0824666963423"/>
  </r>
  <r>
    <s v="3525Providence Centralia Hospital4199Respiratory &amp; Pulmonary Care Administration &amp; Support (U,N)"/>
    <m/>
    <x v="1"/>
    <s v="SWR"/>
    <s v="WA"/>
    <n v="3525"/>
    <x v="10"/>
    <n v="4199"/>
    <s v="Respiratory and Pulmonary Care Administration and Support"/>
    <s v="Respiratory and Pulmonary Care Services"/>
    <s v="Respiratory &amp; Pulmonary Care Administration &amp; Support (U,N)"/>
    <s v="CMI Weighted Total Facility Discharges"/>
    <n v="6861.46"/>
    <n v="6688.75"/>
    <n v="0.13700000000000001"/>
    <n v="0.94"/>
    <n v="0.75"/>
    <m/>
    <n v="14"/>
    <n v="0.14000000000000001"/>
    <n v="0.14000000000000001"/>
    <n v="0.18"/>
    <n v="0.90600000000000003"/>
    <n v="2.68"/>
    <n v="84436.934319456093"/>
    <n v="4556"/>
    <n v="2.1844437466058402"/>
  </r>
  <r>
    <s v="3523Providence Everett Medical Center553031684700 Communications"/>
    <m/>
    <x v="1"/>
    <s v="NWR"/>
    <s v="WA"/>
    <n v="3523"/>
    <x v="1"/>
    <n v="5530"/>
    <s v="Call Center / Switchboard"/>
    <s v="Information Technology"/>
    <s v="31684700 Communications"/>
    <s v="Adjusted Discharges"/>
    <n v="50983.06"/>
    <n v="46998.89"/>
    <n v="1"/>
    <n v="0.35"/>
    <n v="0.38"/>
    <n v="8.3299999999999999E-2"/>
    <n v="14"/>
    <n v="0.46"/>
    <n v="0.48"/>
    <n v="0.56999999999999995"/>
    <n v="0.88780000000000003"/>
    <n v="9.74"/>
    <n v="-96608.554273748494"/>
    <n v="-5096"/>
    <n v="-2.44321354816576"/>
  </r>
  <r>
    <s v="3523Providence Everett Medical Center487131677708 Therapy Rehab"/>
    <m/>
    <x v="1"/>
    <s v="NWR"/>
    <s v="WA"/>
    <n v="3523"/>
    <x v="1"/>
    <n v="4871"/>
    <s v="PT/OT/SLP Combined: Inpatient"/>
    <s v="Rehabilitation Services"/>
    <s v="31677708 Therapy Rehab"/>
    <s v="1000 Baseline Billed Time Units (BTUs)"/>
    <n v="910.28"/>
    <n v="720.35"/>
    <n v="1"/>
    <n v="19"/>
    <n v="25.79"/>
    <n v="0.33329999999999999"/>
    <n v="14"/>
    <n v="24.92"/>
    <n v="25.82"/>
    <n v="27.79"/>
    <n v="0.91739999999999999"/>
    <n v="9.74"/>
    <n v="1605.82636351254"/>
    <n v="41"/>
    <n v="1.9486192370880701E-2"/>
  </r>
  <r>
    <s v="3523Providence Everett Medical Center307031674701, Sterile Processing"/>
    <m/>
    <x v="1"/>
    <s v="NWR"/>
    <s v="WA"/>
    <n v="3523"/>
    <x v="1"/>
    <n v="3070"/>
    <s v="Sterile Processing"/>
    <s v="Surgical Services"/>
    <s v="31674701, Sterile Processing"/>
    <s v="100 Items Processed"/>
    <n v="3950.17"/>
    <n v="4252.42"/>
    <n v="0.69230000000000003"/>
    <n v="12.48"/>
    <n v="12.76"/>
    <n v="0.36359999999999998"/>
    <n v="14"/>
    <n v="10.9"/>
    <n v="12.5"/>
    <n v="13.62"/>
    <n v="0.90810000000000002"/>
    <n v="28.73"/>
    <n v="33592.764685835798"/>
    <n v="1388"/>
    <n v="0.66528422607193605"/>
  </r>
  <r>
    <s v="3523Providence Everett Medical Center342031676800, Ct Scan"/>
    <m/>
    <x v="1"/>
    <s v="NWR"/>
    <s v="WA"/>
    <n v="3523"/>
    <x v="1"/>
    <n v="3420"/>
    <s v="Computerized Tomography"/>
    <s v="Imaging Services"/>
    <s v="31676800, Ct Scan"/>
    <s v="APC Relative Weight"/>
    <n v="137493.78"/>
    <n v="134533.85"/>
    <n v="0.69230000000000003"/>
    <n v="0.25"/>
    <n v="0.27"/>
    <n v="0.53849999999999998"/>
    <n v="14"/>
    <n v="0.21"/>
    <n v="0.21"/>
    <n v="0.26"/>
    <n v="0.88629999999999998"/>
    <n v="19.71"/>
    <n v="391330.95514378801"/>
    <n v="9233"/>
    <n v="4.4266599900135004"/>
  </r>
  <r>
    <s v="3523Providence Everett Medical Center591031684200, Security &amp; Safety"/>
    <m/>
    <x v="1"/>
    <s v="NWR"/>
    <s v="WA"/>
    <n v="3523"/>
    <x v="1"/>
    <n v="5910"/>
    <s v="Security"/>
    <s v="Other Support Services"/>
    <s v="31684200, Security &amp; Safety"/>
    <s v="1000 Gross Square Feet Patrolled"/>
    <n v="3183.44"/>
    <n v="3183.44"/>
    <n v="0.23080000000000001"/>
    <n v="18.21"/>
    <n v="21.75"/>
    <n v="0.84619999999999995"/>
    <n v="14"/>
    <n v="9.8800000000000008"/>
    <n v="10.38"/>
    <n v="13.2"/>
    <n v="0.90690000000000004"/>
    <n v="36.71"/>
    <n v="978537.23575206404"/>
    <n v="40130"/>
    <n v="19.240407309760499"/>
  </r>
  <r>
    <s v="2687Providence Holy Cross Medical Center422072076100 Cardiology Non-Invasive Diagnostic"/>
    <m/>
    <x v="2"/>
    <s v="CA"/>
    <s v="CA"/>
    <n v="2687"/>
    <x v="4"/>
    <n v="4220"/>
    <s v="Combined Noninvasive Cardiology and Vascular Services"/>
    <s v="Cardiology and Vascular Services Series"/>
    <s v="72076100 Cardiology Non-Invasive Diagnostic"/>
    <s v="APC Relative Weight"/>
    <n v="51373.66"/>
    <n v="79776"/>
    <n v="0.61539999999999995"/>
    <n v="0.5"/>
    <n v="0.35"/>
    <n v="0.83330000000000004"/>
    <n v="14"/>
    <n v="0.25"/>
    <n v="0.25"/>
    <n v="0.27"/>
    <n v="0.8841"/>
    <n v="15.19"/>
    <n v="299655.94861657597"/>
    <n v="9123"/>
    <n v="4.3741903905273496"/>
  </r>
  <r>
    <s v="3528Providence Hood River Memorial Hospital309956003099, SURG SVCS ADMIN (N)"/>
    <m/>
    <x v="3"/>
    <s v="OR"/>
    <s v="OR"/>
    <n v="3528"/>
    <x v="12"/>
    <n v="3099"/>
    <s v="Surgical Services Administration"/>
    <s v="Surgical Services"/>
    <s v="56003099, SURG SVCS ADMIN (N)"/>
    <s v="Cases Supported"/>
    <n v="2749"/>
    <n v="2813"/>
    <n v="0.61539999999999995"/>
    <n v="2.14"/>
    <n v="1.74"/>
    <n v="0.53849999999999998"/>
    <n v="14"/>
    <n v="1.26"/>
    <n v="1.39"/>
    <n v="1.64"/>
    <n v="0.91579999999999995"/>
    <n v="2.57"/>
    <n v="40250.663571573401"/>
    <n v="1091"/>
    <n v="0.52293302431935895"/>
  </r>
  <r>
    <s v="3528Providence Hood River Memorial Hospital413056077200, RESPIRATORY THERAPY"/>
    <m/>
    <x v="3"/>
    <s v="OR"/>
    <s v="OR"/>
    <n v="3528"/>
    <x v="12"/>
    <n v="4130"/>
    <s v="Respiratory Care and Pulmonary Diagnostics Combined"/>
    <s v="Respiratory and Pulmonary Care Services"/>
    <s v="56077200, RESPIRATORY THERAPY"/>
    <s v="CMI Weighted Total Facility Discharges"/>
    <n v="1749.61"/>
    <n v="1716.39"/>
    <n v="0.23080000000000001"/>
    <n v="6.61"/>
    <n v="6.87"/>
    <n v="0.76919999999999999"/>
    <n v="14"/>
    <n v="2.9"/>
    <n v="2.97"/>
    <n v="3.89"/>
    <n v="0.91820000000000002"/>
    <n v="6.17"/>
    <n v="224263.040344326"/>
    <n v="7317"/>
    <n v="3.5081517359076901"/>
  </r>
  <r>
    <s v="3532Providence Little Company of Mary Hospital341176276300 03411 RADIOLOGY"/>
    <m/>
    <x v="2"/>
    <s v="CA"/>
    <s v="CA"/>
    <n v="3532"/>
    <x v="13"/>
    <n v="3411"/>
    <s v="Diagnostic Radiology Without Interventional Procedures"/>
    <s v="Imaging Services"/>
    <s v="76276300 03411 RADIOLOGY"/>
    <s v="APC Relative Weight"/>
    <n v="53232.33"/>
    <n v="59768.811699999998"/>
    <n v="0.61539999999999995"/>
    <n v="0.86"/>
    <n v="0.77767114115136415"/>
    <n v="1"/>
    <n v="14"/>
    <n v="0.67"/>
    <n v="0.78"/>
    <n v="0.81"/>
    <n v="0.9224"/>
    <n v="33.5"/>
    <n v="-4051.7513368385735"/>
    <n v="-150.90321552471408"/>
    <n v="-7.2351352315632209E-2"/>
  </r>
  <r>
    <s v="3532Providence Little Company of Mary Hospital637076286701 06370 VOLUNTEERS"/>
    <m/>
    <x v="2"/>
    <s v="CA"/>
    <s v="CA"/>
    <n v="3532"/>
    <x v="13"/>
    <n v="6370"/>
    <s v="Volunteer Services"/>
    <s v="Community Outreach"/>
    <s v="76286701 06370 VOLUNTEERS"/>
    <s v="100 Volunteer Service Hours"/>
    <n v="766.14"/>
    <n v="853.95"/>
    <n v="0.61539999999999995"/>
    <n v="6.72"/>
    <n v="6.9"/>
    <n v="0.64290000000000003"/>
    <n v="14"/>
    <n v="5.1100000000000003"/>
    <n v="5.84"/>
    <n v="6.14"/>
    <n v="0.93600000000000005"/>
    <n v="3.03"/>
    <n v="20702.120596091401"/>
    <n v="992"/>
    <n v="0.47543122090228501"/>
  </r>
  <r>
    <s v="3529Providence Milwaukie Hospital441055077100, PHARMACY"/>
    <m/>
    <x v="3"/>
    <s v="OR"/>
    <s v="OR"/>
    <n v="3529"/>
    <x v="15"/>
    <n v="4410"/>
    <s v="Pharmacy Services"/>
    <s v="Pharmacy Services"/>
    <s v="55077100, PHARMACY"/>
    <s v="CMI Weighted Department Adjusted Discharges"/>
    <n v="7982.13"/>
    <n v="8076.54"/>
    <n v="0.61539999999999995"/>
    <n v="1.88"/>
    <n v="1.67"/>
    <n v="0.53849999999999998"/>
    <n v="14"/>
    <n v="1.38"/>
    <n v="1.53"/>
    <n v="1.62"/>
    <n v="0.91830000000000001"/>
    <n v="7.07"/>
    <n v="62974.136485659597"/>
    <n v="1289"/>
    <n v="0.61820805955809499"/>
  </r>
  <r>
    <s v="3530Providence Newberg Hospital121057061700, MEDICAL_SURGICAL"/>
    <m/>
    <x v="3"/>
    <s v="OR"/>
    <s v="OR"/>
    <n v="3530"/>
    <x v="17"/>
    <n v="1210"/>
    <s v="Medical/Surgical Acute Care Unit"/>
    <s v="Nursing Services"/>
    <s v="57061700, MEDICAL_SURGICAL"/>
    <s v="Equivalent Patient Day"/>
    <n v="6808.04"/>
    <n v="7091"/>
    <n v="0.3846"/>
    <n v="10.48"/>
    <n v="10.79"/>
    <n v="0.33329999999999999"/>
    <n v="14"/>
    <n v="9.56"/>
    <n v="10.86"/>
    <n v="11.25"/>
    <n v="0.89870000000000005"/>
    <n v="40.93"/>
    <n v="-12609.6283403948"/>
    <n v="-321"/>
    <n v="-0.15381148737966299"/>
  </r>
  <r>
    <s v="3527Providence Portland Medical Center127752260700, NICU"/>
    <m/>
    <x v="3"/>
    <s v="OR"/>
    <s v="OR"/>
    <n v="3527"/>
    <x v="18"/>
    <n v="1277"/>
    <s v="Neonatal Intensive Care Unit (NICU)"/>
    <s v="Nursing Services"/>
    <s v="52260700, NICU"/>
    <s v="Patient Days (Neonate)"/>
    <n v="1007"/>
    <n v="2647"/>
    <n v="0.53849999999999998"/>
    <n v="23.39"/>
    <n v="17.48"/>
    <n v="0.76919999999999999"/>
    <n v="14"/>
    <n v="14.39"/>
    <n v="15.03"/>
    <n v="16.37"/>
    <n v="0.87960000000000005"/>
    <n v="25.29"/>
    <n v="348628.699210744"/>
    <n v="7517"/>
    <n v="3.6041794305025499"/>
  </r>
  <r>
    <s v="3527Providence Portland Medical Center560852205608, CENTRALIZED SCHEDULING (U,N)"/>
    <m/>
    <x v="3"/>
    <s v="OR"/>
    <s v="OR"/>
    <n v="3527"/>
    <x v="18"/>
    <n v="5608"/>
    <s v="Centralized Scheduling"/>
    <s v="Revenue Cycle Management"/>
    <s v="52205608, CENTRALIZED SCHEDULING (U,N)"/>
    <s v="Adjusted Discharges"/>
    <n v="40409.06"/>
    <n v="38569.760000000002"/>
    <n v="0.54830000000000001"/>
    <n v="0.83"/>
    <n v="0.75"/>
    <n v="0.53039999999999998"/>
    <n v="14"/>
    <n v="0.47"/>
    <n v="0.57999999999999996"/>
    <n v="0.68"/>
    <n v="0.88219999999999998"/>
    <n v="15.81"/>
    <n v="150901.36612726501"/>
    <n v="7617"/>
    <n v="3.6521708676870999"/>
  </r>
  <r>
    <s v="3852Providence Sacred Heart Medical Center201034570100, EMERGENCY SERVICES"/>
    <m/>
    <x v="4"/>
    <s v="PHC"/>
    <s v="WA"/>
    <n v="3852"/>
    <x v="9"/>
    <n v="2010"/>
    <s v="Emergency Department"/>
    <s v="Emergency Services"/>
    <s v="34570100, EMERGENCY SERVICES"/>
    <s v="Patient Visits"/>
    <n v="78723"/>
    <n v="86336"/>
    <n v="0.46150000000000002"/>
    <n v="3.73"/>
    <n v="3.6561569912898442"/>
    <n v="0.92310000000000003"/>
    <n v="14"/>
    <n v="2.74"/>
    <n v="2.78"/>
    <n v="2.95"/>
    <n v="0.8931"/>
    <n v="177.98"/>
    <n v="3828723.4888204788"/>
    <n v="84698.118911656027"/>
    <n v="40.608965293022024"/>
  </r>
  <r>
    <s v="3852Providence Sacred Heart Medical Center139034561705 PSYCH MEDICAL &amp; 34563400 MAIN ADULT PSYCH"/>
    <m/>
    <x v="4"/>
    <s v="PHC"/>
    <s v="WA"/>
    <n v="3852"/>
    <x v="9"/>
    <n v="1390"/>
    <s v="Behavioral Health Unit"/>
    <s v="Nursing Services"/>
    <s v="34561705 PSYCH MEDICAL &amp; 34563400 MAIN ADULT PSYCH"/>
    <s v="Patient Days"/>
    <m/>
    <n v="11314"/>
    <n v="0.53849999999999998"/>
    <m/>
    <n v="9.5"/>
    <n v="0.15379999999999999"/>
    <n v="14"/>
    <n v="9.76"/>
    <n v="10.31"/>
    <n v="11.43"/>
    <n v="0.85670000000000002"/>
    <n v="60.32"/>
    <n v="-399328.48449927702"/>
    <n v="-10350"/>
    <n v="-4.9621173249208503"/>
  </r>
  <r>
    <s v="3852Providence Sacred Heart Medical Center126034560501, PICU INTERMEDIATE"/>
    <m/>
    <x v="4"/>
    <s v="PHC"/>
    <s v="WA"/>
    <n v="3852"/>
    <x v="9"/>
    <n v="1260"/>
    <s v="Pediatric Acute Care Unit"/>
    <s v="Nursing Services"/>
    <s v="34560501, PICU INTERMEDIATE"/>
    <s v="Equivalent Patient Day"/>
    <n v="7214.39"/>
    <n v="7683"/>
    <n v="0.61539999999999995"/>
    <n v="11.22"/>
    <n v="11.86"/>
    <n v="0.5"/>
    <n v="14"/>
    <n v="11.27"/>
    <n v="11.59"/>
    <n v="11.86"/>
    <n v="0.85089999999999999"/>
    <n v="51.5"/>
    <n v="113924.25323022901"/>
    <n v="2764"/>
    <n v="1.32540168133249"/>
  </r>
  <r>
    <s v="3852Providence Sacred Heart Medical Center3399Laboratory Services Administration"/>
    <m/>
    <x v="4"/>
    <s v="PHC"/>
    <s v="WA"/>
    <n v="3852"/>
    <x v="9"/>
    <n v="3399"/>
    <s v="Laboratory Services Administration"/>
    <s v="Laboratory Services"/>
    <s v="Laboratory Services Administration"/>
    <s v="100 Billed Tests Supported"/>
    <n v="27742.22"/>
    <n v="27991.25"/>
    <n v="0.61539999999999995"/>
    <n v="1.63"/>
    <n v="1.39"/>
    <n v="0.41670000000000001"/>
    <n v="14"/>
    <n v="1.07"/>
    <n v="1.21"/>
    <n v="1.41"/>
    <n v="0.85699999999999998"/>
    <n v="21.8"/>
    <n v="191810.30621653699"/>
    <n v="5947"/>
    <n v="2.85149283203079"/>
  </r>
  <r>
    <s v="3852Providence Sacred Heart Medical Center449034582500, PHARMACIST RESIDENCY PROG"/>
    <m/>
    <x v="4"/>
    <s v="PHC"/>
    <s v="WA"/>
    <n v="3852"/>
    <x v="9"/>
    <n v="4490"/>
    <s v="Pharmacy Administration and Support"/>
    <s v="Pharmacy Services"/>
    <s v="34582500, PHARMACIST RESIDENCY PROG"/>
    <s v="CMI Weighted Adjusted Discharges"/>
    <n v="80953.97"/>
    <n v="81253.23"/>
    <n v="0.61539999999999995"/>
    <n v="0.43"/>
    <n v="0.26"/>
    <n v="0.58330000000000004"/>
    <n v="14"/>
    <n v="0.15"/>
    <n v="0.17"/>
    <n v="0.24"/>
    <n v="0.83389999999999997"/>
    <n v="12.33"/>
    <n v="0"/>
    <n v="0"/>
    <n v="0"/>
  </r>
  <r>
    <s v="3852Providence Sacred Heart Medical Center127634563801 ANTEPARTUM"/>
    <m/>
    <x v="4"/>
    <s v="PHC"/>
    <s v="WA"/>
    <n v="3852"/>
    <x v="9"/>
    <n v="1276"/>
    <s v="High Risk Obstetrical Unit"/>
    <s v="Nursing Services"/>
    <s v="34563801 ANTEPARTUM"/>
    <s v="Equivalent Patient Day"/>
    <n v="2145.77"/>
    <n v="2453"/>
    <n v="0.61539999999999995"/>
    <n v="9.15"/>
    <n v="8.9700000000000006"/>
    <n v="0.3846"/>
    <n v="14"/>
    <n v="8.74"/>
    <n v="8.91"/>
    <n v="9.3000000000000007"/>
    <n v="1"/>
    <n v="10.58"/>
    <n v="10836.1938678351"/>
    <n v="210"/>
    <n v="0.100913841875629"/>
  </r>
  <r>
    <s v="3852Providence Sacred Heart Medical Center471034572610, BEST PROGRAM"/>
    <m/>
    <x v="4"/>
    <s v="PHC"/>
    <s v="WA"/>
    <n v="3852"/>
    <x v="9"/>
    <n v="4710"/>
    <s v="Partial Hospitalization"/>
    <s v="Psychiatry and Psychological Services"/>
    <s v="34572610, BEST PROGRAM"/>
    <s v="Patient Sessions"/>
    <n v="641"/>
    <n v="17940"/>
    <n v="0.61539999999999995"/>
    <n v="14.95"/>
    <n v="0.55000000000000004"/>
    <n v="0.1"/>
    <n v="14"/>
    <n v="0.67"/>
    <n v="0.77"/>
    <n v="0.88"/>
    <n v="0.8639"/>
    <n v="5.48"/>
    <n v="-143522.71313945099"/>
    <n v="-4560"/>
    <n v="-2.1865125109622201"/>
  </r>
  <r>
    <s v="3533Providence San Pedro Peninsula Hospital521077284400 83500 SPH EVS LAUNDRY LINEN"/>
    <m/>
    <x v="2"/>
    <s v="CA"/>
    <s v="CA"/>
    <n v="3533"/>
    <x v="14"/>
    <n v="5210"/>
    <s v="Environmental Services and Linen Distribution"/>
    <s v="Environmental Services"/>
    <s v="77284400 83500 SPH EVS LAUNDRY LINEN"/>
    <s v="1000 Net Sq Ft Cleaned"/>
    <n v="452"/>
    <n v="452"/>
    <n v="0.53849999999999998"/>
    <n v="145.75"/>
    <n v="151.01"/>
    <n v="0.41670000000000001"/>
    <n v="14"/>
    <n v="143.53"/>
    <n v="147.66"/>
    <n v="167.52"/>
    <n v="0.9133"/>
    <n v="35.93"/>
    <n v="26888.998082668499"/>
    <n v="1861"/>
    <n v="0.89226689633975598"/>
  </r>
  <r>
    <s v="2719Providence St Joseph Medical Center201071070100 - 02010 - PSJMC EMERGENCY DEPARTMENT"/>
    <m/>
    <x v="2"/>
    <s v="CA"/>
    <s v="CA"/>
    <n v="2719"/>
    <x v="6"/>
    <n v="2010"/>
    <s v="Emergency Department"/>
    <s v="Emergency Services"/>
    <s v="71070100 - 02010 - PSJMC EMERGENCY DEPARTMENT"/>
    <s v="Patient Visits"/>
    <n v="63762"/>
    <n v="65696"/>
    <n v="0.46150000000000002"/>
    <n v="2.35"/>
    <n v="2.41"/>
    <n v="0.23080000000000001"/>
    <n v="14"/>
    <n v="2.44"/>
    <n v="2.7"/>
    <n v="2.91"/>
    <n v="0.9163"/>
    <n v="82.92"/>
    <n v="-1000762.34793525"/>
    <n v="-20636"/>
    <n v="-9.89393039460683"/>
  </r>
  <r>
    <s v="2719Providence St Joseph Medical Center625071073150 - 06250- PSJMC DIABETES EDUCATION"/>
    <m/>
    <x v="2"/>
    <s v="CA"/>
    <s v="CA"/>
    <n v="2719"/>
    <x v="6"/>
    <n v="6250"/>
    <s v="Patient and Family Education"/>
    <s v="Educational Services"/>
    <s v="71073150 - 06250- PSJMC DIABETES EDUCATION"/>
    <s v="Instructional Hours: Patient and Family"/>
    <n v="1716"/>
    <n v="2704"/>
    <n v="0.84619999999999995"/>
    <n v="3.53"/>
    <n v="2.62"/>
    <n v="0.42859999999999998"/>
    <n v="14"/>
    <n v="2.21"/>
    <n v="2.58"/>
    <n v="2.76"/>
    <n v="0.92949999999999999"/>
    <n v="3.66"/>
    <n v="6123.7120818743497"/>
    <n v="128"/>
    <n v="6.1469748547467798E-2"/>
  </r>
  <r>
    <s v="2719Providence St Joseph Medical Center341171076300 - 03411 - PSJMC RADIOLOGY DIAGNOSTIC"/>
    <m/>
    <x v="2"/>
    <s v="CA"/>
    <s v="CA"/>
    <n v="2719"/>
    <x v="6"/>
    <n v="3411"/>
    <s v="Diagnostic Radiology Without Interventional Procedures"/>
    <s v="Imaging Services"/>
    <s v="71076300 - 03411 - PSJMC RADIOLOGY DIAGNOSTIC"/>
    <s v="APC Relative Weight"/>
    <n v="64022"/>
    <n v="62441.32"/>
    <n v="0.61539999999999995"/>
    <n v="0.61"/>
    <n v="0.64"/>
    <n v="0.46150000000000002"/>
    <n v="14"/>
    <n v="0.61"/>
    <n v="0.63"/>
    <n v="0.64"/>
    <n v="0.90029999999999999"/>
    <n v="21.19"/>
    <n v="19831.6233253719"/>
    <n v="502"/>
    <n v="0.24050620242821799"/>
  </r>
  <r>
    <s v="2719Providence St Joseph Medical Center344071076320 - 03440 - PSJMC Breast Center"/>
    <m/>
    <x v="2"/>
    <s v="CA"/>
    <s v="CA"/>
    <n v="2719"/>
    <x v="6"/>
    <n v="3440"/>
    <s v="Mammography"/>
    <s v="Imaging Services"/>
    <s v="71076320 - 03440 - PSJMC Breast Center"/>
    <s v="APC Relative Weight"/>
    <n v="24530.55"/>
    <n v="26515.75"/>
    <n v="0.46150000000000002"/>
    <n v="0.91"/>
    <n v="0.64"/>
    <n v="0.72729999999999995"/>
    <n v="14"/>
    <n v="0.52"/>
    <n v="0.55000000000000004"/>
    <n v="0.56999999999999995"/>
    <n v="0.85350000000000004"/>
    <n v="9.52"/>
    <n v="129951.11252185301"/>
    <n v="2769"/>
    <n v="1.32759830821642"/>
  </r>
  <r>
    <s v="3855Providence St Joseph Medical Center Polson411046577200, RESPIRATORY THERAPY"/>
    <m/>
    <x v="4"/>
    <s v="WMR"/>
    <s v="MT"/>
    <n v="3855"/>
    <x v="30"/>
    <n v="4110"/>
    <s v="Respiratory Care"/>
    <s v="Respiratory and Pulmonary Care Services"/>
    <s v="46577200, RESPIRATORY THERAPY"/>
    <s v="CMI Weighted Total Facility Discharges"/>
    <n v="661.5"/>
    <n v="705"/>
    <n v="0.15379999999999999"/>
    <n v="8.19"/>
    <n v="7.95"/>
    <n v="0.61539999999999995"/>
    <n v="14"/>
    <n v="2.94"/>
    <n v="4.41"/>
    <n v="7.44"/>
    <n v="0.91249999999999998"/>
    <n v="2.95"/>
    <n v="86923.222199007505"/>
    <n v="2746"/>
    <n v="1.3164102784716001"/>
  </r>
  <r>
    <s v="2719Providence St Joseph Medical Center512071083300 - 05120 - PSJMC CAFETERIA (U)"/>
    <m/>
    <x v="2"/>
    <s v="CA"/>
    <s v="CA"/>
    <n v="2719"/>
    <x v="6"/>
    <n v="5120"/>
    <s v="Nonpatient Food Services"/>
    <s v="Food and Nutrition Services"/>
    <s v="71083300 - 05120 - PSJMC CAFETERIA (U)"/>
    <s v="ART: Total Non Patient Meal Equivalents"/>
    <n v="724414.1"/>
    <n v="721665.99"/>
    <n v="0.71509999999999996"/>
    <n v="0.05"/>
    <n v="0.06"/>
    <n v="0.27089999999999997"/>
    <n v="14"/>
    <n v="0.05"/>
    <n v="0.06"/>
    <n v="7.0000000000000007E-2"/>
    <n v="0.93759999999999999"/>
    <n v="21.28"/>
    <n v="-33187.8217415775"/>
    <n v="-1798"/>
    <n v="-0.86206132822874104"/>
  </r>
  <r>
    <s v="3853Providence St Joseph's Hospital Chewelah191037587200, NURSING ADMINISTRATION"/>
    <m/>
    <x v="4"/>
    <s v="PHC"/>
    <s v="WA"/>
    <n v="3853"/>
    <x v="20"/>
    <n v="1910"/>
    <s v="Nursing Administration"/>
    <s v="Nursing Services"/>
    <s v="37587200, NURSING ADMINISTRATION"/>
    <s v="Nursing Division Employees"/>
    <n v="72"/>
    <n v="75"/>
    <n v="0.69230000000000003"/>
    <n v="138.13999999999999"/>
    <n v="145.44"/>
    <n v="0.15379999999999999"/>
    <n v="14"/>
    <n v="153.52000000000001"/>
    <n v="168.98"/>
    <n v="216.58"/>
    <n v="0.87439999999999996"/>
    <n v="4.4400000000000004"/>
    <n v="-232868.76470486401"/>
    <n v="-5233"/>
    <n v="-2.50919628941047"/>
  </r>
  <r>
    <s v="3853Providence St Joseph's Hospital Chewelah4899Rehabilitation Services Administration (U,N)"/>
    <m/>
    <x v="4"/>
    <s v="PHC"/>
    <s v="WA"/>
    <n v="3853"/>
    <x v="20"/>
    <n v="4899"/>
    <s v="Rehabilitation Services Administration"/>
    <s v="Rehabilitation Services"/>
    <s v="Rehabilitation Services Administration (U,N)"/>
    <s v="1000 Baseline Billed Time Units (BTUs) Supported"/>
    <m/>
    <n v="346.19"/>
    <n v="9.8500000000000004E-2"/>
    <m/>
    <n v="14.64"/>
    <n v="0.98619999999999997"/>
    <n v="14"/>
    <n v="1.49"/>
    <n v="2.13"/>
    <n v="6.28"/>
    <n v="0.89829999999999999"/>
    <n v="2.71"/>
    <n v="122503.80390180901"/>
    <n v="4831"/>
    <n v="2.3164310017626102"/>
  </r>
  <r>
    <s v="3848Providence St Patrick Hospital &amp; Health Science Ce464046076430 Chemo OP Services"/>
    <m/>
    <x v="4"/>
    <s v="WMR"/>
    <s v="MT"/>
    <n v="3848"/>
    <x v="21"/>
    <n v="4640"/>
    <s v="Hematology Oncology Infusion Therapy (Hema/Onc)"/>
    <s v="Other Clinical Support Services"/>
    <s v="46076430 Chemo OP Services"/>
    <s v="APC Relative Weight"/>
    <n v="71884.84"/>
    <n v="67959.960000000006"/>
    <n v="0.57140000000000002"/>
    <n v="0.57999999999999996"/>
    <n v="0.59"/>
    <n v="0.3"/>
    <n v="14"/>
    <n v="0.57999999999999996"/>
    <n v="0.6"/>
    <n v="0.62"/>
    <n v="0.89870000000000005"/>
    <n v="21.37"/>
    <n v="-32259.618266384805"/>
    <n v="-756.20295983086748"/>
    <n v="-0.36256380792673359"/>
  </r>
  <r>
    <s v="3848Providence St Patrick Hospital &amp; Health Science Ce482546077900, OCCUPATIONAL THERAPY"/>
    <m/>
    <x v="4"/>
    <s v="WMR"/>
    <s v="MT"/>
    <n v="3848"/>
    <x v="21"/>
    <n v="4825"/>
    <s v="Occupational Therapy: Inpatient and Outpatient"/>
    <s v="Rehabilitation Services"/>
    <s v="46077900, OCCUPATIONAL THERAPY"/>
    <s v="1000 Baseline Billed Time Units (BTUs)"/>
    <n v="409.89"/>
    <n v="421.94"/>
    <n v="0.69230000000000003"/>
    <n v="20.73"/>
    <n v="21.66"/>
    <n v="0.3846"/>
    <n v="14"/>
    <n v="20.11"/>
    <n v="21.54"/>
    <n v="24.38"/>
    <n v="0.92520000000000002"/>
    <n v="4.75"/>
    <n v="2559.9747443531501"/>
    <n v="84"/>
    <n v="4.0129867723184297E-2"/>
  </r>
  <r>
    <s v="3524Providence St Peter Hospital487133078002, PT ST OT Inpatient"/>
    <m/>
    <x v="1"/>
    <s v="SWR"/>
    <s v="WA"/>
    <n v="3524"/>
    <x v="2"/>
    <n v="4871"/>
    <s v="PT/OT/SLP Combined: Inpatient"/>
    <s v="Rehabilitation Services"/>
    <s v="33078002, PT ST OT Inpatient"/>
    <s v="1000 Baseline Billed Time Units (BTUs)"/>
    <n v="1180.68"/>
    <n v="1199.93"/>
    <n v="0.53849999999999998"/>
    <n v="22.23"/>
    <n v="22.51"/>
    <n v="0.25"/>
    <n v="14"/>
    <n v="22.51"/>
    <n v="24.55"/>
    <n v="25.27"/>
    <n v="0.88370000000000004"/>
    <n v="14.69"/>
    <n v="-110641.17932097601"/>
    <n v="-2696"/>
    <n v="-1.29272075946507"/>
  </r>
  <r>
    <s v="3524Providence St Peter Hospital345033076700, ULTRASOUND"/>
    <m/>
    <x v="1"/>
    <s v="SWR"/>
    <s v="WA"/>
    <n v="3524"/>
    <x v="2"/>
    <n v="3450"/>
    <s v="Ultrasound"/>
    <s v="Imaging Services"/>
    <s v="33076700, ULTRASOUND"/>
    <s v="APC Relative Weight"/>
    <n v="37014.379999999997"/>
    <n v="35036.21"/>
    <n v="0.46150000000000002"/>
    <n v="0.41"/>
    <n v="0.46"/>
    <n v="0.16669999999999999"/>
    <n v="14"/>
    <n v="0.47"/>
    <n v="0.48"/>
    <n v="0.5"/>
    <n v="0.84989999999999999"/>
    <n v="9.16"/>
    <n v="-29693.704232084699"/>
    <n v="-682"/>
    <n v="-0.32721379939145101"/>
  </r>
  <r>
    <s v="3524Providence St Peter Hospital347033076306, YELM MOB"/>
    <m/>
    <x v="1"/>
    <s v="SWR"/>
    <s v="WA"/>
    <n v="3524"/>
    <x v="2"/>
    <n v="3470"/>
    <s v="Outpatient Imaging"/>
    <s v="Imaging Services"/>
    <s v="33076306, YELM MOB"/>
    <s v="APC Relative Weight"/>
    <n v="5233.3100000000004"/>
    <n v="5895.85"/>
    <n v="0.53849999999999998"/>
    <n v="0.66"/>
    <n v="0.83"/>
    <n v="0.45450000000000002"/>
    <n v="14"/>
    <n v="0.72"/>
    <n v="0.81"/>
    <n v="0.84"/>
    <n v="0.88890000000000002"/>
    <n v="2.66"/>
    <n v="6871.7460717797803"/>
    <n v="175"/>
    <n v="8.4113652048208198E-2"/>
  </r>
  <r>
    <s v="3524Providence St Peter Hospital342033076800, CT SCAN"/>
    <m/>
    <x v="1"/>
    <s v="SWR"/>
    <s v="WA"/>
    <n v="3524"/>
    <x v="2"/>
    <n v="3420"/>
    <s v="Computerized Tomography"/>
    <s v="Imaging Services"/>
    <s v="33076800, CT SCAN"/>
    <s v="APC Relative Weight"/>
    <n v="74473.429999999993"/>
    <n v="74844.039999999994"/>
    <n v="0.53849999999999998"/>
    <n v="0.23"/>
    <n v="0.24"/>
    <n v="0.5"/>
    <n v="14"/>
    <n v="0.22"/>
    <n v="0.23"/>
    <n v="0.24"/>
    <n v="0.9022"/>
    <n v="9.52"/>
    <n v="30375.585541182802"/>
    <n v="776"/>
    <n v="0.37191072199352199"/>
  </r>
  <r>
    <s v="3535Providence St Vincent Medical Center581053005810, SOCIAL WORK SVCS (U,N)"/>
    <m/>
    <x v="3"/>
    <s v="OR"/>
    <s v="OR"/>
    <n v="3535"/>
    <x v="22"/>
    <n v="5810"/>
    <s v="Social Work"/>
    <s v="Clinical Resource Management Services"/>
    <s v="53005810, SOCIAL WORK SVCS (U,N)"/>
    <s v="Social Work Cases"/>
    <n v="1482"/>
    <n v="20365"/>
    <n v="0.45989999999999998"/>
    <n v="12.24"/>
    <n v="0.95"/>
    <n v="0.36509999999999998"/>
    <n v="14"/>
    <n v="0.86"/>
    <n v="0.92"/>
    <n v="1.0900000000000001"/>
    <n v="0.92620000000000002"/>
    <n v="10.08"/>
    <n v="27349.2966038964"/>
    <n v="795"/>
    <n v="0.38125314675566802"/>
  </r>
  <r>
    <s v="3535Providence St Vincent Medical Center121153061711, MEDICAL - 7E"/>
    <m/>
    <x v="3"/>
    <s v="OR"/>
    <s v="OR"/>
    <n v="3535"/>
    <x v="22"/>
    <n v="1211"/>
    <s v="General Medical Acute Care Unit"/>
    <s v="Nursing Services"/>
    <s v="53061711, MEDICAL - 7E"/>
    <s v="Equivalent Patient Day"/>
    <n v="9122.67"/>
    <n v="9657"/>
    <n v="0.53849999999999998"/>
    <n v="10.14"/>
    <n v="10.06"/>
    <n v="0.3846"/>
    <n v="14"/>
    <n v="9.64"/>
    <n v="9.99"/>
    <n v="11.18"/>
    <n v="0.89229999999999998"/>
    <n v="52.33"/>
    <n v="42919.143407361596"/>
    <n v="1027"/>
    <n v="0.49238814345366"/>
  </r>
  <r>
    <s v="3535Providence St Vincent Medical Center123853061730, ONCOLOGY - 5W"/>
    <m/>
    <x v="3"/>
    <s v="OR"/>
    <s v="OR"/>
    <n v="3535"/>
    <x v="22"/>
    <n v="1238"/>
    <s v="Oncology Acute Care Unit"/>
    <s v="Nursing Services"/>
    <s v="53061730, ONCOLOGY - 5W"/>
    <s v="Equivalent Patient Day"/>
    <n v="5005.5"/>
    <n v="5251"/>
    <n v="0.53849999999999998"/>
    <n v="10.54"/>
    <n v="11.11"/>
    <n v="0.69230000000000003"/>
    <n v="14"/>
    <n v="10.47"/>
    <n v="10.63"/>
    <n v="10.87"/>
    <n v="0.90680000000000005"/>
    <n v="30.94"/>
    <n v="139035.04385190399"/>
    <n v="2977"/>
    <n v="1.4270970150912501"/>
  </r>
  <r>
    <s v="3535Providence St Vincent Medical Center623053006230, COMBO ALL STAFF EDUC (U,N)"/>
    <m/>
    <x v="3"/>
    <s v="OR"/>
    <s v="OR"/>
    <n v="3535"/>
    <x v="22"/>
    <n v="6230"/>
    <s v="Staff Education Combined"/>
    <s v="Educational Services"/>
    <s v="53006230, COMBO ALL STAFF EDUC (U,N)"/>
    <s v="Adjusted Discharges"/>
    <n v="48308.45"/>
    <n v="48912.93"/>
    <n v="0.87090000000000001"/>
    <n v="0.59"/>
    <n v="0.63"/>
    <n v="0.68440000000000001"/>
    <n v="14"/>
    <n v="0.33"/>
    <n v="0.39"/>
    <n v="0.39"/>
    <n v="0.87790000000000001"/>
    <n v="16.98"/>
    <n v="664069.86635533604"/>
    <n v="13686"/>
    <n v="6.5618310576881402"/>
  </r>
  <r>
    <s v="4283Providence St. John's Health Center4199Respiratory and Pulmonary Care Administration and Support (U,N)"/>
    <m/>
    <x v="2"/>
    <s v="CA"/>
    <s v="CA"/>
    <n v="4283"/>
    <x v="23"/>
    <n v="4199"/>
    <s v="Respiratory and Pulmonary Care Administration and Support"/>
    <s v="Respiratory and Pulmonary Care Services"/>
    <s v="Respiratory and Pulmonary Care Administration and Support (U,N)"/>
    <s v="CMI Weighted Total Facility Discharges"/>
    <n v="4725.66"/>
    <n v="5094.6400000000003"/>
    <m/>
    <n v="0.08"/>
    <n v="0.09"/>
    <n v="0.34079999999999999"/>
    <n v="14"/>
    <n v="0.08"/>
    <n v="0.09"/>
    <n v="0.1"/>
    <n v="0.88570000000000004"/>
    <n v="1.01"/>
    <n v="134.077056016048"/>
    <n v="8.9497388788528429"/>
    <n v="1.7164000343007801E-2"/>
  </r>
  <r>
    <s v="3755Providence Tarzana Medical Center422072575900, EKG (U)"/>
    <m/>
    <x v="2"/>
    <s v="CA"/>
    <s v="CA"/>
    <n v="3755"/>
    <x v="3"/>
    <n v="4220"/>
    <s v="Combined Noninvasive Cardiology and Vascular Services"/>
    <s v="Cardiology and Vascular Services Series"/>
    <s v="72575900, EKG (U)"/>
    <s v="APC Relative Weight"/>
    <n v="33566.28"/>
    <n v="45756.82"/>
    <n v="0.49030000000000001"/>
    <n v="0.37"/>
    <n v="0.2"/>
    <n v="0.1143"/>
    <n v="14"/>
    <n v="0.25"/>
    <n v="0.28999999999999998"/>
    <n v="0.32"/>
    <n v="0.88780000000000003"/>
    <n v="4.97"/>
    <n v="-164050.91427515401"/>
    <n v="-4581"/>
    <n v="-2.1961657731901001"/>
  </r>
  <r>
    <s v="3755Providence Tarzana Medical Center426072578710, VASCULAR"/>
    <m/>
    <x v="2"/>
    <s v="CA"/>
    <s v="CA"/>
    <n v="3755"/>
    <x v="3"/>
    <n v="4260"/>
    <s v="Vascular Laboratory"/>
    <s v="Cardiology and Vascular Services Series"/>
    <s v="72578710, VASCULAR"/>
    <s v="APC Relative Weight"/>
    <n v="9508.48"/>
    <n v="9827.82"/>
    <n v="0.61539999999999995"/>
    <n v="0.57999999999999996"/>
    <n v="0.42"/>
    <n v="0"/>
    <n v="14"/>
    <n v="0.59"/>
    <n v="0.67"/>
    <n v="0.74"/>
    <n v="0.89990000000000003"/>
    <n v="2.21"/>
    <n v="-160545.34028918701"/>
    <n v="-2708"/>
    <n v="-1.29821259470622"/>
  </r>
  <r>
    <s v="3755Providence Tarzana Medical Center651072587100 86900 MEDICAL STAFF / MEDICAL LIBRARY"/>
    <m/>
    <x v="2"/>
    <s v="CA"/>
    <s v="CA"/>
    <n v="3755"/>
    <x v="3"/>
    <n v="6510"/>
    <s v="Medical Staff Services"/>
    <s v="Medical Staff Services"/>
    <s v="72587100 86900 MEDICAL STAFF / MEDICAL LIBRARY"/>
    <s v="Physicians On Active Medical Staff"/>
    <n v="216"/>
    <n v="636"/>
    <m/>
    <n v="47.37"/>
    <n v="18.84"/>
    <m/>
    <n v="14"/>
    <n v="12.66"/>
    <n v="13.13"/>
    <n v="16.84"/>
    <n v="0.87009999999999998"/>
    <n v="6.62"/>
    <n v="174262.42360818901"/>
    <n v="4210"/>
    <n v="2.0184851073793402"/>
  </r>
  <r>
    <s v="3755Providence Tarzana Medical Center62106210 Clinical Staff Eucation Normalization Only (U,N)"/>
    <m/>
    <x v="2"/>
    <s v="CA"/>
    <s v="CA"/>
    <n v="3755"/>
    <x v="3"/>
    <n v="6210"/>
    <s v="Clinical Staff Education"/>
    <s v="Educational Services"/>
    <s v="6210 Clinical Staff Eucation Normalization Only (U,N)"/>
    <s v="Adjusted Discharges"/>
    <n v="17618.29"/>
    <n v="19617.5"/>
    <n v="0.59219999999999995"/>
    <n v="0.19"/>
    <n v="0.65"/>
    <n v="0.71020000000000005"/>
    <n v="14"/>
    <n v="0.32"/>
    <n v="0.36"/>
    <n v="0.52"/>
    <n v="0.87419999999999998"/>
    <n v="6.98"/>
    <n v="346990.92679557903"/>
    <n v="6480"/>
    <n v="3.1066787477126701"/>
  </r>
  <r>
    <s v="3849Providence Willamette Falls Medical Center341153576300, DIAGNOSTIC IMAGING"/>
    <m/>
    <x v="3"/>
    <s v="OR"/>
    <s v="OR"/>
    <n v="3849"/>
    <x v="7"/>
    <n v="3411"/>
    <s v="Diagnostic Radiology Without Interventional Procedures"/>
    <s v="Imaging Services"/>
    <s v="53576300, DIAGNOSTIC IMAGING"/>
    <s v="APC Relative Weight"/>
    <n v="24398.83"/>
    <n v="24910.36"/>
    <n v="0.53849999999999998"/>
    <n v="0.61"/>
    <n v="0.68"/>
    <n v="0.36359999999999998"/>
    <n v="14"/>
    <n v="0.64"/>
    <n v="0.68"/>
    <n v="0.76"/>
    <n v="0.90090000000000003"/>
    <n v="9.08"/>
    <n v="4696.9587229757499"/>
    <n v="136"/>
    <n v="6.510882180633E-2"/>
  </r>
  <r>
    <s v="3849Providence Willamette Falls Medical Center623053506230, COMBO ALL STAFF EDUC (U,N)"/>
    <m/>
    <x v="3"/>
    <s v="OR"/>
    <s v="OR"/>
    <n v="3849"/>
    <x v="7"/>
    <n v="6230"/>
    <s v="Staff Education Combined"/>
    <s v="Educational Services"/>
    <s v="53506230, COMBO ALL STAFF EDUC (U,N)"/>
    <s v="Adjusted Discharges"/>
    <n v="11107.16"/>
    <n v="11776.13"/>
    <n v="0.55959999999999999"/>
    <n v="0.51"/>
    <n v="0.57999999999999996"/>
    <n v="0.55640000000000001"/>
    <n v="14"/>
    <n v="0.41"/>
    <n v="0.41"/>
    <n v="0.51"/>
    <n v="0.89649999999999996"/>
    <n v="3.68"/>
    <n v="108526.402546443"/>
    <n v="2290"/>
    <n v="1.09783308060537"/>
  </r>
  <r>
    <s v="3930Swedish Ballard191021587202 NURSING SUPERVISORS"/>
    <m/>
    <x v="1"/>
    <s v="SHS"/>
    <s v="WA"/>
    <n v="3930"/>
    <x v="24"/>
    <n v="1910"/>
    <s v="Nursing Administration"/>
    <s v="Nursing Services"/>
    <s v="21587202 NURSING SUPERVISORS"/>
    <s v="Nursing Division Employees"/>
    <n v="174"/>
    <n v="175"/>
    <n v="0.3846"/>
    <n v="86.77"/>
    <n v="98.73"/>
    <n v="0.44"/>
    <n v="14"/>
    <n v="89.37"/>
    <n v="94.92"/>
    <n v="115"/>
    <n v="0.86860000000000004"/>
    <n v="7.27"/>
    <n v="-227791.165185152"/>
    <n v="-3961"/>
    <n v="-1.89904516662486"/>
  </r>
  <r>
    <s v="3928Swedish Cherry Hill592522083700 CENTRAL DISPATCH AND TRANSPORT"/>
    <m/>
    <x v="1"/>
    <s v="SHS"/>
    <s v="WA"/>
    <n v="3928"/>
    <x v="25"/>
    <n v="5925"/>
    <s v="Patient Escort (Transport) Service"/>
    <s v="Other Support Services"/>
    <s v="22083700 CENTRAL DISPATCH AND TRANSPORT"/>
    <s v="100 Patient Transports Performed"/>
    <n v="981.87"/>
    <n v="1019.3"/>
    <n v="0.53849999999999998"/>
    <n v="23.37"/>
    <n v="26.86"/>
    <n v="0"/>
    <n v="14"/>
    <n v="34.229999999999997"/>
    <n v="38.53"/>
    <n v="43.89"/>
    <n v="0.9032"/>
    <n v="14.57"/>
    <n v="-344911.73140958301"/>
    <n v="-13094"/>
    <n v="-6.2780415141225099"/>
  </r>
  <r>
    <s v="3928Swedish Cherry Hill466522074292 PRE-ADMISSION CENTER"/>
    <m/>
    <x v="1"/>
    <s v="SHS"/>
    <s v="WA"/>
    <n v="3928"/>
    <x v="25"/>
    <n v="4665"/>
    <s v="Pre Admission / Pre Procedure Testing"/>
    <s v="Other Clinical Support Services"/>
    <s v="22074292 PRE-ADMISSION CENTER"/>
    <s v="Patient Visits"/>
    <n v="554"/>
    <n v="1491"/>
    <n v="0"/>
    <n v="15.71"/>
    <n v="6.12"/>
    <n v="0.84619999999999995"/>
    <n v="14"/>
    <n v="1.54"/>
    <n v="1.77"/>
    <n v="2.38"/>
    <n v="0.87270000000000003"/>
    <n v="5.0199999999999996"/>
    <n v="351595.78649674403"/>
    <n v="7446"/>
    <n v="3.5701132109592102"/>
  </r>
  <r>
    <s v="3928Swedish Cherry Hill302022074270 RECOVERY"/>
    <m/>
    <x v="1"/>
    <s v="SHS"/>
    <s v="WA"/>
    <n v="3928"/>
    <x v="25"/>
    <n v="3020"/>
    <s v="Post Anesthesia Care Unit (PACU)"/>
    <s v="Surgical Services"/>
    <s v="22074270 RECOVERY"/>
    <s v="100 PACU Minutes"/>
    <n v="3061.22"/>
    <n v="3873.51"/>
    <n v="0.46150000000000002"/>
    <n v="5.72"/>
    <n v="5.45"/>
    <n v="1"/>
    <n v="14"/>
    <n v="3.22"/>
    <n v="3.45"/>
    <n v="3.65"/>
    <n v="0.83850000000000002"/>
    <n v="12.1"/>
    <n v="530535.60857495805"/>
    <n v="9299"/>
    <n v="4.4586715330382898"/>
  </r>
  <r>
    <s v="3929Swedish Edmonds521023084400 ENVIRONMENTAL SERVICES"/>
    <m/>
    <x v="1"/>
    <s v="SHS"/>
    <s v="WA"/>
    <n v="3929"/>
    <x v="31"/>
    <n v="5210"/>
    <s v="Environmental Services and Linen Distribution"/>
    <s v="Environmental Services"/>
    <s v="23084400 ENVIRONMENTAL SERVICES"/>
    <s v="1000 Net Sq Ft Cleaned"/>
    <n v="380.58"/>
    <n v="429.61"/>
    <n v="0.46150000000000002"/>
    <n v="179.8"/>
    <n v="167.65"/>
    <n v="0.3"/>
    <n v="14"/>
    <n v="167.59"/>
    <n v="168.87"/>
    <n v="170.21"/>
    <n v="0.89480000000000004"/>
    <n v="38.700000000000003"/>
    <n v="-7436.2018275719101"/>
    <n v="-361"/>
    <n v="-0.173090433014188"/>
  </r>
  <r>
    <s v="3929Swedish Edmonds441123077102 RETAIL PHARMACY"/>
    <m/>
    <x v="1"/>
    <s v="SHS"/>
    <s v="WA"/>
    <n v="3929"/>
    <x v="31"/>
    <n v="4411"/>
    <s v="Pharmacy Retail/Prescription Services"/>
    <s v="Pharmacy Services"/>
    <s v="23077102 RETAIL PHARMACY"/>
    <s v="Retail Prescriptions Processed"/>
    <n v="67377"/>
    <n v="59628"/>
    <n v="0.3846"/>
    <n v="0.49"/>
    <n v="0.41"/>
    <n v="1"/>
    <n v="14"/>
    <n v="0.21"/>
    <n v="0.22"/>
    <n v="0.24"/>
    <n v="0.92390000000000005"/>
    <n v="12.71"/>
    <n v="529768.26386541896"/>
    <n v="12311"/>
    <n v="5.90236730557148"/>
  </r>
  <r>
    <s v="3929Swedish Edmonds191123087201 NURSING SUPPORT SERVICES"/>
    <m/>
    <x v="1"/>
    <s v="SHS"/>
    <s v="WA"/>
    <n v="3929"/>
    <x v="31"/>
    <n v="1911"/>
    <s v="Nurse Staffing Office"/>
    <s v="Nursing Services"/>
    <s v="23087201 NURSING SUPPORT SERVICES"/>
    <s v="Nursing Division Employees"/>
    <n v="471"/>
    <n v="460"/>
    <n v="0.46150000000000002"/>
    <n v="61.81"/>
    <n v="64.2"/>
    <n v="0.9"/>
    <n v="14"/>
    <n v="26.27"/>
    <n v="26.63"/>
    <n v="28.81"/>
    <n v="0.86950000000000005"/>
    <n v="13.14"/>
    <n v="615879.27207063604"/>
    <n v="13318"/>
    <n v="6.3852765860397804"/>
  </r>
  <r>
    <s v="3929Swedish Edmonds121023061770 MEDICAL ORTHOPEDICS"/>
    <m/>
    <x v="1"/>
    <s v="SHS"/>
    <s v="WA"/>
    <n v="3929"/>
    <x v="31"/>
    <n v="1210"/>
    <s v="Medical/Surgical Acute Care Unit"/>
    <s v="Nursing Services"/>
    <s v="23061770 MEDICAL ORTHOPEDICS"/>
    <s v="Equivalent Patient Day"/>
    <n v="8502.0400000000009"/>
    <n v="9482"/>
    <n v="0.3846"/>
    <n v="11.13"/>
    <n v="11.69"/>
    <n v="1"/>
    <n v="14"/>
    <n v="9.86"/>
    <n v="10.119999999999999"/>
    <n v="10.23"/>
    <n v="0.91620000000000001"/>
    <n v="58.19"/>
    <n v="708954.63810035097"/>
    <n v="16632"/>
    <n v="7.9744371518251302"/>
  </r>
  <r>
    <s v="3927Swedish First Hill306021074500 ANESTHESIA"/>
    <m/>
    <x v="1"/>
    <s v="SHS"/>
    <s v="WA"/>
    <n v="3927"/>
    <x v="26"/>
    <n v="3060"/>
    <s v="Anesthesia"/>
    <s v="Surgical Services"/>
    <s v="21074500 ANESTHESIA"/>
    <s v="100 Minutes Patient Enter To Leave"/>
    <n v="33306.230000000003"/>
    <n v="36518.61"/>
    <n v="0.46150000000000002"/>
    <n v="0.73"/>
    <n v="0.87"/>
    <n v="0.45450000000000002"/>
    <n v="14"/>
    <n v="0.74"/>
    <n v="0.74"/>
    <n v="0.95"/>
    <n v="0.86519999999999997"/>
    <n v="17.72"/>
    <n v="215944.90631908199"/>
    <n v="5724"/>
    <n v="2.7446284437245398"/>
  </r>
  <r>
    <s v="3927Swedish First Hill444021077109 FIRST HILL CANCER PHARMACY"/>
    <m/>
    <x v="1"/>
    <s v="SHS"/>
    <s v="WA"/>
    <n v="3927"/>
    <x v="26"/>
    <n v="4440"/>
    <s v="Pharmacy Ambulatory/Clinic Services"/>
    <s v="Pharmacy Services"/>
    <s v="21077109 FIRST HILL CANCER PHARMACY"/>
    <s v="Doses Dispensed"/>
    <n v="0"/>
    <n v="62879"/>
    <n v="0.53849999999999998"/>
    <m/>
    <n v="0.22"/>
    <n v="0.46150000000000002"/>
    <n v="14"/>
    <n v="0.11"/>
    <n v="0.13"/>
    <n v="0.23"/>
    <n v="0.92800000000000005"/>
    <n v="7.32"/>
    <n v="347094.92667310499"/>
    <n v="6459"/>
    <n v="3.0967269485313"/>
  </r>
  <r>
    <s v="3927Swedish First Hill401021076428 RADIATION ONCOLOGY"/>
    <m/>
    <x v="1"/>
    <s v="SHS"/>
    <s v="WA"/>
    <n v="3927"/>
    <x v="26"/>
    <n v="4010"/>
    <s v="Radiation Therapy (Oncology)"/>
    <s v="Radiation Therapy Services"/>
    <s v="21076428 RADIATION ONCOLOGY"/>
    <s v="APC Relative Weight"/>
    <n v="108147.13"/>
    <n v="78277.460000000006"/>
    <n v="0.46150000000000002"/>
    <n v="0.42"/>
    <n v="0.53"/>
    <n v="0.84619999999999995"/>
    <n v="14"/>
    <n v="0.38"/>
    <n v="0.4"/>
    <n v="0.46"/>
    <n v="0.87290000000000001"/>
    <n v="22.67"/>
    <n v="723440.22822273697"/>
    <n v="11413"/>
    <n v="5.4719034942693003"/>
  </r>
  <r>
    <s v="3927Swedish First Hill302021074270 RECOVERY 2nd Level"/>
    <m/>
    <x v="1"/>
    <s v="SHS"/>
    <s v="WA"/>
    <n v="3927"/>
    <x v="26"/>
    <n v="3020"/>
    <s v="Post Anesthesia Care Unit (PACU)"/>
    <s v="Surgical Services"/>
    <s v="21074270 RECOVERY 2nd Level"/>
    <s v="100 PACU Minutes"/>
    <n v="8621.75"/>
    <n v="9511.81"/>
    <n v="0.53849999999999998"/>
    <n v="5.9"/>
    <n v="5.29"/>
    <n v="0.92310000000000003"/>
    <n v="14"/>
    <n v="3.07"/>
    <n v="3.41"/>
    <n v="3.7"/>
    <n v="0.88190000000000002"/>
    <n v="27.43"/>
    <n v="1032997.61253913"/>
    <n v="20432"/>
    <n v="9.7961816853682109"/>
  </r>
  <r>
    <s v="3927Swedish First Hill5608Centralized Scheduling (N)"/>
    <m/>
    <x v="1"/>
    <s v="SHS"/>
    <s v="WA"/>
    <n v="3927"/>
    <x v="26"/>
    <n v="5608"/>
    <s v="Centralized Scheduling"/>
    <s v="Revenue Cycle Management"/>
    <s v="Centralized Scheduling (N)"/>
    <s v="Adjusted Discharges"/>
    <n v="48703.86"/>
    <n v="51417.36"/>
    <n v="0.56020000000000003"/>
    <n v="3.15"/>
    <n v="3.46"/>
    <n v="0.74539999999999995"/>
    <n v="14"/>
    <n v="1.0900000000000001"/>
    <n v="1.19"/>
    <n v="1.71"/>
    <n v="0.87760000000000005"/>
    <n v="97.39"/>
    <n v="3174157.5256570601"/>
    <n v="133407"/>
    <n v="63.962162683173702"/>
  </r>
  <r>
    <s v="3932Swedish Health Services Corp (S)661020586100 ADMINISTRATION/20586112 CHIEF NURSING ADMIN"/>
    <m/>
    <x v="1"/>
    <s v="SHS"/>
    <s v="WA"/>
    <n v="3932"/>
    <x v="27"/>
    <n v="6610"/>
    <s v="Administration"/>
    <s v="Administration"/>
    <s v="20586100 ADMINISTRATION/20586112 CHIEF NURSING ADMIN"/>
    <s v="100 Adjusted Discharges"/>
    <n v="1054.32"/>
    <n v="1007.86"/>
    <n v="0.53849999999999998"/>
    <n v="17.71"/>
    <n v="24.62"/>
    <n v="0"/>
    <n v="14"/>
    <n v="31.53"/>
    <n v="37.6"/>
    <n v="58.51"/>
    <n v="0.92359999999999998"/>
    <n v="12.92"/>
    <n v="-540299.74790083803"/>
    <n v="-14083"/>
    <n v="-6.7521709067040403"/>
  </r>
  <r>
    <s v="3932Swedish Health Services Corp (S)5342Courier Service (N)"/>
    <m/>
    <x v="1"/>
    <s v="SHS"/>
    <s v="WA"/>
    <n v="3932"/>
    <x v="27"/>
    <n v="5342"/>
    <s v="Courier Service"/>
    <s v="Supply Chain Services"/>
    <s v="Courier Service (N)"/>
    <s v="100 Round Trips Performed"/>
    <n v="158.6"/>
    <n v="175"/>
    <n v="0.76919999999999999"/>
    <n v="35.020000000000003"/>
    <n v="35.340000000000003"/>
    <n v="0.16669999999999999"/>
    <n v="14"/>
    <n v="62.88"/>
    <n v="79.709999999999994"/>
    <n v="95.21"/>
    <n v="0.88800000000000001"/>
    <n v="3.35"/>
    <n v="-195344.459871889"/>
    <n v="-8722"/>
    <n v="-4.1815792610945302"/>
  </r>
  <r>
    <s v="3932Swedish Health Services Corp (S)602020586600 EMPLOYEE HEALTH"/>
    <m/>
    <x v="1"/>
    <s v="SHS"/>
    <s v="WA"/>
    <n v="3932"/>
    <x v="27"/>
    <n v="6020"/>
    <s v="Employee Health Services"/>
    <s v="Human Resources"/>
    <s v="20586600 EMPLOYEE HEALTH"/>
    <s v="Visits"/>
    <m/>
    <n v="34448"/>
    <n v="0.61539999999999995"/>
    <m/>
    <n v="0.44"/>
    <n v="0.3846"/>
    <n v="14"/>
    <n v="0.25"/>
    <n v="0.38"/>
    <n v="0.57999999999999996"/>
    <n v="0.90500000000000003"/>
    <n v="8.06"/>
    <n v="102849.308155427"/>
    <n v="2346"/>
    <n v="1.1249884493646201"/>
  </r>
  <r>
    <s v="3531Providence Medford Medical Center141059064400, REHAB"/>
    <m/>
    <x v="3"/>
    <s v="OR"/>
    <s v="OR"/>
    <n v="3531"/>
    <x v="29"/>
    <n v="1410"/>
    <s v="Acute Rehabilitation Unit"/>
    <s v="Nursing Services"/>
    <s v="59064400, REHAB"/>
    <s v="Equivalent Patient Day"/>
    <n v="1586"/>
    <n v="1733"/>
    <n v="0.53849999999999998"/>
    <n v="13.02"/>
    <n v="12.51"/>
    <n v="0.41670000000000001"/>
    <n v="14"/>
    <n v="11.68"/>
    <n v="12.06"/>
    <n v="12.61"/>
    <n v="0.83140000000000003"/>
    <n v="12.53"/>
    <n v="41275.713204805601"/>
    <n v="996"/>
    <n v="0.477309369185903"/>
  </r>
  <r>
    <s v="2947Providence Alaska Medical Center6510Med Staff Office"/>
    <m/>
    <x v="0"/>
    <s v="AK"/>
    <s v="AK"/>
    <n v="2947"/>
    <x v="0"/>
    <n v="6510"/>
    <s v="Medical Staff Services"/>
    <s v="Medical Staff Services"/>
    <s v="Med Staff Office"/>
    <s v="Physicians On Active Medical Staff"/>
    <n v="719"/>
    <n v="1130"/>
    <n v="0.85709999999999997"/>
    <n v="15.15"/>
    <n v="11.560176991150442"/>
    <n v="7.6899999999999996E-2"/>
    <n v="15"/>
    <n v="21.7"/>
    <n v="28.43"/>
    <n v="36.21"/>
    <n v="0.87829999999999997"/>
    <n v="7.15"/>
    <n v="-494641.34236593422"/>
    <n v="-21704.315154275308"/>
    <n v="-10.406199881227643"/>
  </r>
  <r>
    <s v="3525Providence Centralia Hospital401034076451, Radiant Care Lacey"/>
    <m/>
    <x v="1"/>
    <s v="SWR"/>
    <s v="WA"/>
    <n v="3525"/>
    <x v="10"/>
    <n v="4010"/>
    <s v="Radiation Therapy (Oncology)"/>
    <s v="Radiation Therapy Services"/>
    <s v="34076451, Radiant Care Lacey"/>
    <s v="APC Relative Weight"/>
    <m/>
    <n v="81386.429999999993"/>
    <n v="0.57140000000000002"/>
    <m/>
    <n v="0.24"/>
    <n v="0"/>
    <n v="15"/>
    <n v="0.32"/>
    <n v="0.33"/>
    <n v="0.38"/>
    <n v="0.88980000000000004"/>
    <n v="10.69"/>
    <n v="-316015.17937664897"/>
    <n v="-7888"/>
    <n v="-3.7817714769077"/>
  </r>
  <r>
    <s v="3525Providence Centralia Hospital441134095501, SATELLITE PHARMACY"/>
    <m/>
    <x v="1"/>
    <s v="SWR"/>
    <s v="WA"/>
    <n v="3525"/>
    <x v="10"/>
    <n v="4411"/>
    <s v="Pharmacy Retail/Prescription Services"/>
    <s v="Pharmacy Services"/>
    <s v="34095501, SATELLITE PHARMACY"/>
    <s v="Retail Prescriptions Processed"/>
    <n v="15747"/>
    <n v="17990"/>
    <n v="0.57140000000000002"/>
    <n v="0.2"/>
    <n v="0.31"/>
    <n v="0.76919999999999999"/>
    <n v="15"/>
    <n v="0.22"/>
    <n v="0.22"/>
    <n v="0.24"/>
    <n v="0.95299999999999996"/>
    <n v="2.8"/>
    <n v="68913.228674437298"/>
    <n v="1687"/>
    <n v="0.80882650614253704"/>
  </r>
  <r>
    <s v="3525Providence Centralia Hospital127034074010-34065390 FBC &amp; Nursery Combined"/>
    <m/>
    <x v="1"/>
    <s v="SWR"/>
    <s v="WA"/>
    <n v="3525"/>
    <x v="10"/>
    <n v="1270"/>
    <s v="Labor/Delivery/Recovery/Postpartum/Nursery"/>
    <s v="Nursing Services"/>
    <s v="34074010-34065390 FBC &amp; Nursery Combined"/>
    <s v="Neonate Deliveries"/>
    <n v="675"/>
    <n v="644"/>
    <m/>
    <n v="74.63"/>
    <n v="75.14"/>
    <n v="0.73329999999999995"/>
    <n v="15"/>
    <n v="57.46"/>
    <n v="62.48"/>
    <n v="68.959999999999994"/>
    <n v="0.8034"/>
    <n v="28.96"/>
    <n v="478469.32223785901"/>
    <n v="10318"/>
    <n v="4.9471769985950198"/>
  </r>
  <r>
    <s v="3927Swedish First Hill303021074305 AMBULATORY SURGERY CENTER 1SE"/>
    <m/>
    <x v="1"/>
    <s v="SHS"/>
    <s v="WA"/>
    <n v="3927"/>
    <x v="26"/>
    <n v="3030"/>
    <s v="Surgery Pre Op and Post Recovery Only"/>
    <s v="Surgical Services"/>
    <s v="21074305 AMBULATORY SURGERY CENTER 1SE"/>
    <s v="100 Patient Observation Minutes"/>
    <n v="24462.75"/>
    <n v="35230.68"/>
    <n v="0.92859999999999998"/>
    <n v="3.27"/>
    <n v="2.14"/>
    <n v="0.57140000000000002"/>
    <n v="15"/>
    <n v="1.81"/>
    <n v="1.87"/>
    <n v="2.02"/>
    <n v="0.86019999999999996"/>
    <n v="42.16"/>
    <n v="516556.57508717699"/>
    <n v="11345"/>
    <n v="5.4392660581058099"/>
  </r>
  <r>
    <s v="3525Providence Centralia Hospital511234083400, Dietary"/>
    <m/>
    <x v="1"/>
    <s v="SWR"/>
    <s v="WA"/>
    <n v="3525"/>
    <x v="10"/>
    <n v="5112"/>
    <s v="Patient and Nonpatient Food Services"/>
    <s v="Food and Nutrition Services"/>
    <s v="34083400, Dietary"/>
    <s v="ART: Total Meal Equivalents"/>
    <m/>
    <n v="888654.99"/>
    <n v="0.57140000000000002"/>
    <m/>
    <n v="0.05"/>
    <m/>
    <n v="15"/>
    <n v="0.11"/>
    <n v="0.12"/>
    <n v="0.14000000000000001"/>
    <n v="0.89470000000000005"/>
    <n v="25.09"/>
    <n v="-1213555.88388967"/>
    <n v="-66859"/>
    <n v="-32.055909813234301"/>
  </r>
  <r>
    <s v="3523Providence Everett Medical Center224131670703 Anticoag Clinic"/>
    <m/>
    <x v="1"/>
    <s v="NWR"/>
    <s v="WA"/>
    <n v="3523"/>
    <x v="1"/>
    <n v="2241"/>
    <s v="General Medicine Clinic"/>
    <s v="Ambulatory Care Clinics"/>
    <s v="31670703 Anticoag Clinic"/>
    <s v="Patient Visits"/>
    <n v="17837"/>
    <n v="47851"/>
    <m/>
    <n v="0.54"/>
    <n v="0.35"/>
    <n v="0"/>
    <n v="15"/>
    <n v="0.78"/>
    <n v="0.84"/>
    <n v="1.87"/>
    <n v="0.93469999999999998"/>
    <n v="8.57"/>
    <n v="-1299882.7495887899"/>
    <n v="-25129"/>
    <n v="-12.047985051467901"/>
  </r>
  <r>
    <s v="3523Providence Everett Medical Center347031676709, Ultrasound - Mill Creek"/>
    <m/>
    <x v="1"/>
    <s v="NWR"/>
    <s v="WA"/>
    <n v="3523"/>
    <x v="1"/>
    <n v="3470"/>
    <s v="Outpatient Imaging"/>
    <s v="Imaging Services"/>
    <s v="31676709, Ultrasound - Mill Creek"/>
    <s v="APC Relative Weight"/>
    <n v="2472.81"/>
    <n v="2776.63"/>
    <n v="0.71430000000000005"/>
    <n v="1.84"/>
    <n v="1.63"/>
    <n v="0.375"/>
    <n v="15"/>
    <n v="0.49"/>
    <n v="1.6"/>
    <n v="1.78"/>
    <n v="0.89039999999999997"/>
    <n v="2.44"/>
    <n v="4161.3423058083299"/>
    <n v="100"/>
    <n v="4.7780633976083599E-2"/>
  </r>
  <r>
    <s v="3523Providence Everett Medical Center171031675960 Cardiac Evaluation Unit"/>
    <m/>
    <x v="1"/>
    <s v="NWR"/>
    <s v="WA"/>
    <n v="3523"/>
    <x v="1"/>
    <n v="1710"/>
    <s v="Observation Unit"/>
    <s v="Nursing Services"/>
    <s v="31675960 Cardiac Evaluation Unit"/>
    <s v="Outpatient Observation Days"/>
    <n v="3405.61"/>
    <n v="3228"/>
    <n v="0.78569999999999995"/>
    <n v="10.33"/>
    <n v="20.440000000000001"/>
    <n v="0.83330000000000004"/>
    <n v="15"/>
    <n v="16.09"/>
    <n v="16.47"/>
    <n v="16.93"/>
    <n v="0.93640000000000001"/>
    <n v="33.869999999999997"/>
    <n v="562956.91999480105"/>
    <n v="13867"/>
    <n v="6.6483855225214299"/>
  </r>
  <r>
    <s v="3523Providence Everett Medical Center512031683300, Cafeteria"/>
    <m/>
    <x v="1"/>
    <s v="NWR"/>
    <s v="WA"/>
    <n v="3523"/>
    <x v="1"/>
    <n v="5120"/>
    <s v="Nonpatient Food Services"/>
    <s v="Food and Nutrition Services"/>
    <s v="31683300, Cafeteria"/>
    <s v="ART: Total Non Patient Meal Equivalents"/>
    <n v="1117148.43"/>
    <n v="1206245.6499999999"/>
    <n v="0.85709999999999997"/>
    <n v="7.0000000000000007E-2"/>
    <n v="7.0000000000000007E-2"/>
    <n v="0.5625"/>
    <n v="15"/>
    <n v="0.05"/>
    <n v="0.06"/>
    <n v="0.06"/>
    <n v="0.90959999999999996"/>
    <n v="44.16"/>
    <n v="200663.831882295"/>
    <n v="12537"/>
    <n v="6.0108630132844496"/>
  </r>
  <r>
    <s v="2687Providence Holy Cross Medical Center50995099, Facility Services Administration (U,N)"/>
    <m/>
    <x v="2"/>
    <s v="CA"/>
    <s v="CA"/>
    <n v="2687"/>
    <x v="4"/>
    <n v="5099"/>
    <s v="Facility Services Administration"/>
    <s v="Facility Services"/>
    <s v="5099, Facility Services Administration (U,N)"/>
    <s v="1000 Gross Square Feet Maintained"/>
    <n v="650"/>
    <n v="719.8"/>
    <n v="0.60840000000000005"/>
    <n v="4.22"/>
    <n v="2.8042928591275356"/>
    <m/>
    <n v="15"/>
    <n v="2.09"/>
    <n v="2.56"/>
    <n v="2.71"/>
    <n v="0.90090000000000003"/>
    <m/>
    <n v="11771.596203796207"/>
    <n v="195.18481518481522"/>
    <n v="9.3582401680402383E-2"/>
  </r>
  <r>
    <s v="2687Providence Holy Cross Medical Center4490Pharmacy Administration and Support (U,N)"/>
    <m/>
    <x v="2"/>
    <s v="CA"/>
    <s v="CA"/>
    <n v="2687"/>
    <x v="4"/>
    <n v="4490"/>
    <s v="Pharmacy Administration and Support"/>
    <s v="Pharmacy Services"/>
    <s v="Pharmacy Administration and Support (U,N)"/>
    <s v="CMI Weighted Adjusted Discharges"/>
    <n v="32956.99"/>
    <n v="38644.06"/>
    <n v="0.53480000000000005"/>
    <n v="0.19"/>
    <n v="0.19"/>
    <n v="0.42920000000000003"/>
    <n v="15"/>
    <n v="0.14000000000000001"/>
    <n v="0.15"/>
    <n v="0.2"/>
    <n v="0.92400000000000004"/>
    <n v="3.76"/>
    <n v="73477.380361052798"/>
    <n v="1569"/>
    <n v="0.75219141600596195"/>
  </r>
  <r>
    <s v="2687Providence Holy Cross Medical Center1910Nursing Administration"/>
    <m/>
    <x v="2"/>
    <s v="CA"/>
    <s v="CA"/>
    <n v="2687"/>
    <x v="4"/>
    <n v="1910"/>
    <s v="Nursing Administration"/>
    <s v="Nursing Services"/>
    <s v="Nursing Administration"/>
    <s v="Nursing Division Employees"/>
    <m/>
    <n v="1112"/>
    <n v="0.57140000000000002"/>
    <n v="0"/>
    <n v="34.31"/>
    <n v="0.42859999999999998"/>
    <n v="15"/>
    <n v="31.4"/>
    <n v="32.51"/>
    <n v="35.520000000000003"/>
    <n v="0.91830000000000001"/>
    <n v="19.97"/>
    <n v="99851.133616465435"/>
    <n v="2179.6798431885054"/>
    <n v="1.0450591375502256"/>
  </r>
  <r>
    <s v="2687Providence Holy Cross Medical Center124072061732, 2A / 2B MED SURG ORTHO"/>
    <m/>
    <x v="2"/>
    <s v="CA"/>
    <s v="CA"/>
    <n v="2687"/>
    <x v="4"/>
    <n v="1240"/>
    <s v="Orthopedic Acute Care Unit"/>
    <s v="Nursing Services"/>
    <s v="72061732, 2A / 2B MED SURG ORTHO"/>
    <s v="Equivalent Patient Day"/>
    <n v="10544"/>
    <n v="10282"/>
    <n v="0.71430000000000005"/>
    <n v="10.23"/>
    <n v="10.66"/>
    <n v="0.42859999999999998"/>
    <n v="15"/>
    <n v="10.42"/>
    <n v="10.5"/>
    <n v="10.7"/>
    <n v="0.87209999999999999"/>
    <n v="60.42"/>
    <n v="88917.742183010196"/>
    <n v="2224"/>
    <n v="1.0661669244460701"/>
  </r>
  <r>
    <s v="2687Providence Holy Cross Medical Center553072084700 Telecommunications"/>
    <m/>
    <x v="2"/>
    <s v="CA"/>
    <s v="CA"/>
    <n v="2687"/>
    <x v="4"/>
    <n v="5530"/>
    <s v="Call Center / Switchboard"/>
    <s v="Information Technology"/>
    <s v="72084700 Telecommunications"/>
    <s v="Adjusted Discharges"/>
    <n v="22822.799999999999"/>
    <n v="25655.98"/>
    <n v="0.42859999999999998"/>
    <n v="0.6"/>
    <n v="0.57999999999999996"/>
    <n v="0.66669999999999996"/>
    <n v="15"/>
    <n v="0.39"/>
    <n v="0.48"/>
    <n v="0.5"/>
    <n v="0.92430000000000001"/>
    <n v="7.74"/>
    <n v="48658.328605935501"/>
    <n v="2820"/>
    <n v="1.3519978804370401"/>
  </r>
  <r>
    <s v="3851Providence Holy Family Hospital183036560300, CARDIAC REHABILITATION (U)"/>
    <m/>
    <x v="4"/>
    <s v="PHC"/>
    <s v="WA"/>
    <n v="3851"/>
    <x v="11"/>
    <n v="1830"/>
    <s v="Centralized Telemetry"/>
    <s v="Nursing Services"/>
    <s v="36560300, CARDIAC REHABILITATION (U)"/>
    <s v="Telemetry Days Supported"/>
    <n v="9676"/>
    <n v="10086"/>
    <n v="0.41339999999999999"/>
    <n v="1.07"/>
    <n v="0.9"/>
    <n v="0.54849999999999999"/>
    <n v="15"/>
    <n v="0.74"/>
    <n v="0.76"/>
    <n v="0.84"/>
    <n v="0.86939999999999995"/>
    <n v="5"/>
    <n v="34045.892029821"/>
    <n v="1612"/>
    <n v="0.77271937505494703"/>
  </r>
  <r>
    <s v="3851Providence Holy Family Hospital191036587200, NURSING ADMINISTRATION"/>
    <m/>
    <x v="4"/>
    <s v="PHC"/>
    <s v="WA"/>
    <n v="3851"/>
    <x v="11"/>
    <n v="1910"/>
    <s v="Nursing Administration"/>
    <s v="Nursing Services"/>
    <s v="36587200, NURSING ADMINISTRATION"/>
    <s v="Nursing Division Employees"/>
    <n v="346"/>
    <n v="351"/>
    <n v="0.42859999999999998"/>
    <n v="54.99"/>
    <n v="51.17"/>
    <n v="0.46150000000000002"/>
    <n v="15"/>
    <n v="44.33"/>
    <n v="46.44"/>
    <n v="51.99"/>
    <n v="0.87260000000000004"/>
    <n v="7.88"/>
    <n v="-153000.04131838901"/>
    <n v="-2245"/>
    <n v="-1.0763751796158001"/>
  </r>
  <r>
    <s v="3528Providence Hood River Memorial Hospital307056083800, STERILE PROCESSING"/>
    <m/>
    <x v="3"/>
    <s v="OR"/>
    <s v="OR"/>
    <n v="3528"/>
    <x v="12"/>
    <n v="3070"/>
    <s v="Sterile Processing"/>
    <s v="Surgical Services"/>
    <s v="56083800, STERILE PROCESSING"/>
    <s v="100 Items Processed"/>
    <n v="250.39"/>
    <n v="232.41"/>
    <n v="0.57140000000000002"/>
    <n v="21.54"/>
    <n v="24.07"/>
    <n v="0.42859999999999998"/>
    <n v="15"/>
    <n v="18.510000000000002"/>
    <n v="22.06"/>
    <n v="28.33"/>
    <n v="0.89419999999999999"/>
    <n v="3.01"/>
    <n v="9779.6215074927386"/>
    <n v="522.41567881905655"/>
    <n v="0.25047498624876857"/>
  </r>
  <r>
    <s v="3528Providence Hood River Memorial Hospital521156084400, ENVIRONMENTAL SERVICES"/>
    <m/>
    <x v="3"/>
    <s v="OR"/>
    <s v="OR"/>
    <n v="3528"/>
    <x v="12"/>
    <n v="5211"/>
    <s v="Environmental Services"/>
    <s v="Environmental Services"/>
    <s v="56084400, ENVIRONMENTAL SERVICES"/>
    <s v="1000 Net Sq Ft Cleaned"/>
    <n v="132.22"/>
    <n v="132.22"/>
    <n v="0.5"/>
    <n v="180.61"/>
    <n v="178.1"/>
    <n v="0.69230000000000003"/>
    <n v="15"/>
    <n v="143.22999999999999"/>
    <n v="149.09"/>
    <n v="169.45"/>
    <n v="0.91700000000000004"/>
    <n v="12.34"/>
    <n v="65232.118370465098"/>
    <n v="4241"/>
    <n v="2.0331847645719998"/>
  </r>
  <r>
    <s v="3528Providence Hood River Memorial Hospital341156076300, DIAGNOSTIC IMAGING"/>
    <m/>
    <x v="3"/>
    <s v="OR"/>
    <s v="OR"/>
    <n v="3528"/>
    <x v="12"/>
    <n v="3411"/>
    <s v="Diagnostic Radiology Without Interventional Procedures"/>
    <s v="Imaging Services"/>
    <s v="56076300, DIAGNOSTIC IMAGING"/>
    <s v="APC Relative Weight"/>
    <n v="9140.94"/>
    <n v="10105.61"/>
    <n v="0.42859999999999998"/>
    <n v="1.57"/>
    <n v="1.44"/>
    <n v="0.92859999999999998"/>
    <n v="15"/>
    <n v="0.83"/>
    <n v="0.85"/>
    <n v="0.93"/>
    <n v="0.88270000000000004"/>
    <n v="7.95"/>
    <n v="244704.70252621901"/>
    <n v="6850"/>
    <n v="3.2843034260514101"/>
  </r>
  <r>
    <s v="3532Providence Little Company of Mary Hospital581076283600 05810 PATIENT FAMILY SERVICES"/>
    <m/>
    <x v="2"/>
    <s v="CA"/>
    <s v="CA"/>
    <n v="3532"/>
    <x v="13"/>
    <n v="5810"/>
    <s v="Social Work"/>
    <s v="Clinical Resource Management Services"/>
    <s v="76283600 05810 PATIENT FAMILY SERVICES"/>
    <s v="Social Work Cases"/>
    <n v="6000"/>
    <n v="20430"/>
    <n v="0.57140000000000002"/>
    <n v="2.75"/>
    <n v="0.89"/>
    <n v="0.30769999999999997"/>
    <n v="15"/>
    <n v="0.87"/>
    <n v="0.98"/>
    <n v="1.0900000000000001"/>
    <n v="0.92149999999999999"/>
    <n v="9.52"/>
    <n v="-74967.281208312997"/>
    <n v="-1871"/>
    <n v="-0.89711027558640299"/>
  </r>
  <r>
    <s v="3532Providence Little Company of Mary Hospital126076262900 01260 PEDIATRIC ACUTE"/>
    <m/>
    <x v="2"/>
    <s v="CA"/>
    <s v="CA"/>
    <n v="3532"/>
    <x v="13"/>
    <n v="1260"/>
    <s v="Pediatric Acute Care Unit"/>
    <s v="Nursing Services"/>
    <s v="76262900 01260 PEDIATRIC ACUTE"/>
    <s v="Equivalent Patient Day"/>
    <n v="1407"/>
    <n v="1308"/>
    <n v="0.5"/>
    <n v="15.81"/>
    <n v="15.64"/>
    <n v="0.16669999999999999"/>
    <n v="15"/>
    <n v="15.74"/>
    <n v="16.05"/>
    <n v="17.03"/>
    <n v="0.83799999999999997"/>
    <n v="11.74"/>
    <n v="-28241.988642374701"/>
    <n v="-566"/>
    <n v="-0.27121444893017199"/>
  </r>
  <r>
    <s v="3532Providence Little Company of Mary Hospital339076275401 03390 CONSOLIDATED BLOOD BANK"/>
    <m/>
    <x v="2"/>
    <s v="CA"/>
    <s v="CA"/>
    <n v="3532"/>
    <x v="13"/>
    <n v="3390"/>
    <s v="Laboratory Services: Blood Bank"/>
    <s v="Laboratory Services"/>
    <s v="76275401 03390 CONSOLIDATED BLOOD BANK"/>
    <s v="100 Billed Tests"/>
    <n v="685.05"/>
    <n v="718.87"/>
    <n v="0.57140000000000002"/>
    <n v="24.52"/>
    <n v="23.73"/>
    <n v="0.69230000000000003"/>
    <n v="15"/>
    <n v="15.2"/>
    <n v="17.02"/>
    <n v="19.940000000000001"/>
    <n v="0.88790000000000002"/>
    <n v="9.24"/>
    <n v="228549.370756677"/>
    <n v="5492"/>
    <n v="2.6331565150930998"/>
  </r>
  <r>
    <s v="3528Providence Hood River Memorial Hospital511256083400, PT_NON PT FOOD SVC"/>
    <m/>
    <x v="3"/>
    <s v="OR"/>
    <s v="OR"/>
    <n v="3528"/>
    <x v="12"/>
    <n v="5112"/>
    <s v="Patient and Nonpatient Food Services"/>
    <s v="Food and Nutrition Services"/>
    <s v="56083400, PT_NON PT FOOD SVC"/>
    <s v="ART: Total Meal Equivalents"/>
    <n v="82619.63"/>
    <n v="83045.919999999998"/>
    <n v="0.57140000000000002"/>
    <n v="0.23"/>
    <n v="0.24"/>
    <n v="0.83330000000000004"/>
    <n v="15"/>
    <n v="0.2"/>
    <n v="0.21"/>
    <n v="0.22"/>
    <n v="0.91979999999999995"/>
    <n v="10.55"/>
    <n v="46340.530002444102"/>
    <n v="3044"/>
    <n v="1.45940417712876"/>
  </r>
  <r>
    <s v="3529Providence Milwaukie Hospital500155084600 MAINTENANCE"/>
    <m/>
    <x v="3"/>
    <s v="OR"/>
    <s v="OR"/>
    <n v="3529"/>
    <x v="15"/>
    <n v="5001"/>
    <s v="Plant Operations / Plant Maintenance and Grounds"/>
    <s v="Facility Services"/>
    <s v="55084600 MAINTENANCE"/>
    <s v="1000 Gross Square Feet Maintained"/>
    <n v="255.87"/>
    <n v="280.87"/>
    <n v="0.64290000000000003"/>
    <n v="40.94"/>
    <n v="38.39"/>
    <n v="0.23080000000000001"/>
    <n v="15"/>
    <n v="38.42"/>
    <n v="38.57"/>
    <n v="44.46"/>
    <n v="0.90449999999999997"/>
    <n v="5.73"/>
    <n v="-724.05170007601305"/>
    <n v="-26"/>
    <n v="-1.24150708741793E-2"/>
  </r>
  <r>
    <s v="3529Providence Milwaukie Hospital449055004490, PHARMACY SUPPORT SVCS (U,N)"/>
    <m/>
    <x v="3"/>
    <s v="OR"/>
    <s v="OR"/>
    <n v="3529"/>
    <x v="15"/>
    <n v="4490"/>
    <s v="Pharmacy Administration and Support"/>
    <s v="Pharmacy Services"/>
    <s v="55004490, PHARMACY SUPPORT SVCS (U,N)"/>
    <s v="CMI Weighted Adjusted Discharges"/>
    <n v="13045.15"/>
    <n v="13730.59"/>
    <n v="0.57769999999999999"/>
    <n v="0.13"/>
    <n v="0.26"/>
    <n v="0.63780000000000003"/>
    <n v="15"/>
    <n v="0.19"/>
    <n v="0.2"/>
    <n v="0.22"/>
    <n v="0.85609999999999997"/>
    <n v="2.02"/>
    <n v="49604.157854700803"/>
    <n v="1005"/>
    <n v="0.48204773286202401"/>
  </r>
  <r>
    <s v="3530Providence Newberg Hospital349957076395, DIAGNOSTIC IMAGING ADM SUPPORT"/>
    <m/>
    <x v="3"/>
    <s v="OR"/>
    <s v="OR"/>
    <n v="3530"/>
    <x v="17"/>
    <n v="3499"/>
    <s v="Imaging Services Administration"/>
    <s v="Imaging Services"/>
    <s v="57076395, DIAGNOSTIC IMAGING ADM SUPPORT"/>
    <s v="APC Relative Weight Supported"/>
    <n v="87627.23"/>
    <n v="94696.33"/>
    <n v="0.42859999999999998"/>
    <n v="0.08"/>
    <n v="7.0000000000000007E-2"/>
    <n v="0.3846"/>
    <n v="15"/>
    <n v="0.06"/>
    <n v="7.0000000000000007E-2"/>
    <n v="0.08"/>
    <n v="0.92379999999999995"/>
    <n v="3.34"/>
    <n v="-6035.8320018813201"/>
    <n v="-209"/>
    <n v="-0.100340190949447"/>
  </r>
  <r>
    <s v="3530Providence Newberg Hospital101157060100, ICU"/>
    <m/>
    <x v="3"/>
    <s v="OR"/>
    <s v="OR"/>
    <n v="3530"/>
    <x v="17"/>
    <n v="1011"/>
    <s v="Medical Intensive Care Unit"/>
    <s v="Nursing Services"/>
    <s v="57060100, ICU"/>
    <s v="Equivalent Patient Day"/>
    <n v="1193.83"/>
    <n v="1209"/>
    <n v="0.42859999999999998"/>
    <n v="19.63"/>
    <n v="20.149999999999999"/>
    <n v="0.35709999999999997"/>
    <n v="15"/>
    <n v="19.32"/>
    <n v="20.07"/>
    <n v="24.18"/>
    <n v="0.93140000000000001"/>
    <n v="12.57"/>
    <n v="7982.8088624913498"/>
    <n v="165"/>
    <n v="7.9333910313270195E-2"/>
  </r>
  <r>
    <s v="3530Providence Newberg Hospital191057087200, NURSING SERVICE ADMIN"/>
    <m/>
    <x v="3"/>
    <s v="OR"/>
    <s v="OR"/>
    <n v="3530"/>
    <x v="17"/>
    <n v="1910"/>
    <s v="Nursing Administration"/>
    <s v="Nursing Services"/>
    <s v="57087200, NURSING SERVICE ADMIN"/>
    <s v="Nursing Division Employees"/>
    <n v="137"/>
    <n v="129"/>
    <n v="0.64290000000000003"/>
    <s v="86,31"/>
    <n v="108.66"/>
    <n v="0.5"/>
    <n v="15"/>
    <n v="89.36"/>
    <n v="99.93"/>
    <n v="108.66"/>
    <n v="0.86870000000000003"/>
    <n v="7.76"/>
    <n v="68928.811902843241"/>
    <n v="1296.3854034764574"/>
    <n v="0.62155890275516978"/>
  </r>
  <r>
    <s v="3530Providence Newberg Hospital441057077100, PHARMACY"/>
    <m/>
    <x v="3"/>
    <s v="OR"/>
    <s v="OR"/>
    <n v="3530"/>
    <x v="17"/>
    <n v="4410"/>
    <s v="Pharmacy Services"/>
    <s v="Pharmacy Services"/>
    <s v="57077100, PHARMACY"/>
    <s v="CMI Weighted Department Adjusted Discharges"/>
    <n v="6985.31"/>
    <n v="7516.83"/>
    <n v="0.64290000000000003"/>
    <n v="1.75"/>
    <n v="1.91"/>
    <n v="0.64290000000000003"/>
    <n v="15"/>
    <n v="1.56"/>
    <n v="1.66"/>
    <n v="1.73"/>
    <n v="0.88590000000000002"/>
    <n v="7.81"/>
    <n v="100439.32029850699"/>
    <n v="2204"/>
    <n v="1.0568519080983001"/>
  </r>
  <r>
    <s v="3527Providence Portland Medical Center592552283700, PATIENT TRANSPORTATION"/>
    <m/>
    <x v="3"/>
    <s v="OR"/>
    <s v="OR"/>
    <n v="3527"/>
    <x v="18"/>
    <n v="5925"/>
    <s v="Patient Escort (Transport) Service"/>
    <s v="Other Support Services"/>
    <s v="52283700, PATIENT TRANSPORTATION"/>
    <s v="100 Patient Transports Performed"/>
    <n v="2183.61"/>
    <n v="2310.5300000000002"/>
    <n v="0.64290000000000003"/>
    <n v="25.22"/>
    <n v="22.33"/>
    <n v="7.6899999999999996E-2"/>
    <n v="15"/>
    <n v="25.36"/>
    <n v="30.67"/>
    <n v="36.42"/>
    <n v="0.8962"/>
    <n v="27.67"/>
    <n v="-402874.562330366"/>
    <n v="-21360"/>
    <n v="-10.2412939038008"/>
  </r>
  <r>
    <s v="3527Providence Portland Medical Center584052283600, CARE MANAGEMENT"/>
    <m/>
    <x v="3"/>
    <s v="OR"/>
    <s v="OR"/>
    <n v="3527"/>
    <x v="18"/>
    <n v="5840"/>
    <s v="Case Management"/>
    <s v="Clinical Resource Management Services"/>
    <s v="52283600, CARE MANAGEMENT"/>
    <s v="Cases Managed"/>
    <n v="2291"/>
    <n v="50862"/>
    <n v="0.57140000000000002"/>
    <n v="20.440000000000001"/>
    <n v="0.95"/>
    <n v="0.33329999999999999"/>
    <n v="15"/>
    <n v="0.84"/>
    <n v="0.98"/>
    <n v="1.1399999999999999"/>
    <n v="0.87329999999999997"/>
    <n v="26.48"/>
    <n v="-73516.8933129824"/>
    <n v="-1847"/>
    <n v="-0.88555168896666803"/>
  </r>
  <r>
    <s v="3527Providence Portland Medical Center591052284200, SECURITY"/>
    <m/>
    <x v="3"/>
    <s v="OR"/>
    <s v="OR"/>
    <n v="3527"/>
    <x v="18"/>
    <n v="5910"/>
    <s v="Security"/>
    <s v="Other Support Services"/>
    <s v="52284200, SECURITY"/>
    <s v="1000 Gross Square Feet Patrolled"/>
    <n v="4301.16"/>
    <n v="4301.16"/>
    <n v="0.57140000000000002"/>
    <n v="12.65"/>
    <n v="12.41"/>
    <n v="0.5"/>
    <n v="15"/>
    <n v="10.56"/>
    <n v="11.41"/>
    <n v="12.41"/>
    <n v="0.87590000000000001"/>
    <n v="29.31"/>
    <n v="111932.264870356"/>
    <n v="5102"/>
    <n v="2.44635898681776"/>
  </r>
  <r>
    <s v="3527Providence Portland Medical Center102252260300, CCU - 2K"/>
    <m/>
    <x v="3"/>
    <s v="OR"/>
    <s v="OR"/>
    <n v="3527"/>
    <x v="18"/>
    <n v="1022"/>
    <s v="Cardiac Intensive Care Unit"/>
    <s v="Nursing Services"/>
    <s v="52260300, CCU - 2K"/>
    <s v="Equivalent Patient Day"/>
    <n v="2362.04"/>
    <n v="2429"/>
    <n v="0.42859999999999998"/>
    <n v="23.39"/>
    <n v="23.21"/>
    <n v="0.84619999999999995"/>
    <n v="15"/>
    <n v="18.809999999999999"/>
    <n v="18.940000000000001"/>
    <n v="19.73"/>
    <n v="0.85529999999999995"/>
    <n v="31.69"/>
    <n v="702716.02020660799"/>
    <n v="12307"/>
    <n v="5.9008412055409796"/>
  </r>
  <r>
    <s v="3852Providence Sacred Heart Medical Center504034584610, CLINICAL ENGINEERING"/>
    <m/>
    <x v="4"/>
    <s v="PHC"/>
    <s v="WA"/>
    <n v="3852"/>
    <x v="9"/>
    <n v="5040"/>
    <s v="Biomedical Engineering"/>
    <s v="Facility Services"/>
    <s v="34584610, CLINICAL ENGINEERING"/>
    <s v="100 Equipment and Devices Maintained"/>
    <n v="125"/>
    <n v="135"/>
    <n v="0.57140000000000002"/>
    <n v="233.71"/>
    <n v="198.48"/>
    <n v="0.91669999999999996"/>
    <n v="15"/>
    <n v="142.13999999999999"/>
    <n v="157.13"/>
    <n v="171.09"/>
    <n v="0.81510000000000005"/>
    <n v="15.8"/>
    <n v="255624.937184062"/>
    <n v="6930"/>
    <n v="3.3224262720067501"/>
  </r>
  <r>
    <s v="2719Providence St Joseph Medical Center3399Laboratory Services Administration (U,N)"/>
    <m/>
    <x v="2"/>
    <s v="CA"/>
    <s v="CA"/>
    <n v="2719"/>
    <x v="6"/>
    <n v="3399"/>
    <s v="Laboratory Services Administration"/>
    <s v="Laboratory Services"/>
    <s v="Laboratory Services Administration (U,N)"/>
    <s v="100 Billed Tests Supported"/>
    <n v="19661.78"/>
    <n v="15148.57"/>
    <n v="0.51070000000000004"/>
    <n v="0.79"/>
    <n v="0.96"/>
    <n v="0.1065"/>
    <n v="15"/>
    <n v="1.2"/>
    <n v="1.36"/>
    <n v="1.7"/>
    <n v="0.89439999999999997"/>
    <n v="7.83"/>
    <n v="-277841.65866404498"/>
    <n v="-6703"/>
    <n v="-3.2140131423940401"/>
  </r>
  <r>
    <s v="2719Providence St Joseph Medical Center338071075200 - 03380 - PSJMC LABORATORY ANATOMICAL"/>
    <m/>
    <x v="2"/>
    <s v="CA"/>
    <s v="CA"/>
    <n v="2719"/>
    <x v="6"/>
    <n v="3380"/>
    <s v="Laboratory Services: Anatomic Pathology"/>
    <s v="Laboratory Services"/>
    <s v="71075200 - 03380 - PSJMC LABORATORY ANATOMICAL"/>
    <s v="100 Billed Tests"/>
    <n v="980.33"/>
    <n v="865.51"/>
    <n v="0.5"/>
    <n v="23.4"/>
    <n v="32.729999999999997"/>
    <n v="0.30769999999999997"/>
    <n v="15"/>
    <n v="31.19"/>
    <n v="32.93"/>
    <n v="34.15"/>
    <n v="0.87029999999999996"/>
    <n v="15.65"/>
    <n v="-4042.9444896940799"/>
    <n v="-108"/>
    <n v="-5.1566977170054401E-2"/>
  </r>
  <r>
    <s v="2719Providence St Joseph Medical Center307071083810 - 03070 - PSJMC STERILE PROCESSING"/>
    <m/>
    <x v="2"/>
    <s v="CA"/>
    <s v="CA"/>
    <n v="2719"/>
    <x v="6"/>
    <n v="3070"/>
    <s v="Sterile Processing"/>
    <s v="Surgical Services"/>
    <s v="71083810 - 03070 - PSJMC STERILE PROCESSING"/>
    <s v="100 Items Processed"/>
    <n v="935.71"/>
    <n v="1382.33"/>
    <n v="0.57140000000000002"/>
    <n v="23.84"/>
    <n v="17.3"/>
    <n v="0.35709999999999997"/>
    <n v="15"/>
    <n v="15.91"/>
    <n v="17.170000000000002"/>
    <n v="21.16"/>
    <n v="0.90380000000000005"/>
    <n v="12.72"/>
    <n v="5897.7639663768596"/>
    <n v="269"/>
    <n v="0.12906881232355599"/>
  </r>
  <r>
    <s v="2719Providence St Joseph Medical Center625071087700 - 06250 - PSJMC MATERNAL CHILD EDUC"/>
    <m/>
    <x v="2"/>
    <s v="CA"/>
    <s v="CA"/>
    <n v="2719"/>
    <x v="6"/>
    <n v="6250"/>
    <s v="Patient and Family Education"/>
    <s v="Educational Services"/>
    <s v="71087700 - 06250 - PSJMC MATERNAL CHILD EDUC"/>
    <s v="Instructional Hours: Patient and Family"/>
    <n v="7312"/>
    <n v="3036"/>
    <n v="1"/>
    <n v="1.02"/>
    <n v="3.18"/>
    <n v="0.53849999999999998"/>
    <n v="15"/>
    <n v="2.59"/>
    <n v="2.69"/>
    <n v="3.05"/>
    <n v="0.91520000000000001"/>
    <n v="5.08"/>
    <n v="60939.283164017397"/>
    <n v="1672"/>
    <n v="0.80155262391154503"/>
  </r>
  <r>
    <s v="2719Providence St Joseph Medical Center431071076200 - 04310 - PSJMC NEURODIAGNOSTICS"/>
    <m/>
    <x v="2"/>
    <s v="CA"/>
    <s v="CA"/>
    <n v="2719"/>
    <x v="6"/>
    <n v="4310"/>
    <s v="Neurodiagnostic Laboratory (EEG)"/>
    <s v="Neurodiagnostic Services"/>
    <s v="71076200 - 04310 - PSJMC NEURODIAGNOSTICS"/>
    <s v="APC Relative Weight"/>
    <n v="3492.16"/>
    <n v="3342.59"/>
    <n v="0.57140000000000002"/>
    <n v="1.29"/>
    <n v="1.35"/>
    <n v="0.78569999999999995"/>
    <n v="15"/>
    <n v="0.68"/>
    <n v="0.85"/>
    <n v="0.89"/>
    <n v="0.87329999999999997"/>
    <n v="2.4900000000000002"/>
    <n v="83001.003844420193"/>
    <n v="1940"/>
    <n v="0.93013600412521502"/>
  </r>
  <r>
    <s v="2719Providence St Joseph Medical Center343071076600 - 03430 - PSJMC MAGNETIC RESONANCE IMAG (inlc BMP)"/>
    <m/>
    <x v="2"/>
    <s v="CA"/>
    <s v="CA"/>
    <n v="2719"/>
    <x v="6"/>
    <n v="3430"/>
    <s v="Magnetic Resonance Imaging"/>
    <s v="Imaging Services"/>
    <s v="71076600 - 03430 - PSJMC MAGNETIC RESONANCE IMAG (inlc BMP)"/>
    <s v="APC Relative Weight"/>
    <n v="30392.16"/>
    <n v="30696.14"/>
    <n v="0.57140000000000002"/>
    <n v="0.43"/>
    <n v="0.49"/>
    <n v="0.85709999999999997"/>
    <n v="15"/>
    <n v="0.27"/>
    <n v="0.3"/>
    <n v="0.3"/>
    <n v="0.90069999999999995"/>
    <n v="8.02"/>
    <n v="283168.938706532"/>
    <n v="6503"/>
    <n v="3.1180032636072998"/>
  </r>
  <r>
    <s v="3853Providence St Joseph's Hospital Chewelah341137576300, DIAGNOSTIC IMAGING"/>
    <m/>
    <x v="4"/>
    <s v="PHC"/>
    <s v="WA"/>
    <n v="3853"/>
    <x v="20"/>
    <n v="3411"/>
    <s v="Diagnostic Radiology Without Interventional Procedures"/>
    <s v="Imaging Services"/>
    <s v="37576300, DIAGNOSTIC IMAGING"/>
    <s v="APC Relative Weight"/>
    <n v="14310.01"/>
    <n v="14176.93"/>
    <n v="0.57140000000000002"/>
    <n v="0.65"/>
    <n v="0.64"/>
    <n v="0.35709999999999997"/>
    <n v="15"/>
    <n v="0.6"/>
    <n v="0.64"/>
    <n v="0.82"/>
    <n v="0.8589"/>
    <n v="5.07"/>
    <n v="435.76111610780401"/>
    <n v="11"/>
    <n v="5.1367374081827703E-3"/>
  </r>
  <r>
    <s v="3848Providence St Patrick Hospital &amp; Health Science Ce511146083401, CLINICAL NUTRITION"/>
    <m/>
    <x v="4"/>
    <s v="WMR"/>
    <s v="MT"/>
    <n v="3848"/>
    <x v="21"/>
    <n v="5111"/>
    <s v="Clinical Nutrition Services"/>
    <s v="Food and Nutrition Services"/>
    <s v="46083401, CLINICAL NUTRITION"/>
    <s v="Total Medical Nutritional Therapy Interventions"/>
    <n v="24157"/>
    <n v="24703"/>
    <n v="0.42859999999999998"/>
    <n v="0.43"/>
    <n v="0.41"/>
    <n v="0.4667"/>
    <n v="15"/>
    <n v="0.35"/>
    <n v="0.37"/>
    <n v="0.41"/>
    <n v="0.86170000000000002"/>
    <n v="5.65"/>
    <n v="32043.122218767501"/>
    <n v="1177"/>
    <n v="0.56438489482771304"/>
  </r>
  <r>
    <s v="3848Providence St Patrick Hospital &amp; Health Science Ce463046077610, ENDOSCOPY"/>
    <m/>
    <x v="4"/>
    <s v="WMR"/>
    <s v="MT"/>
    <n v="3848"/>
    <x v="21"/>
    <n v="4630"/>
    <s v="Endoscopy (GI) Laboratory"/>
    <s v="Other Clinical Support Services"/>
    <s v="46077610, ENDOSCOPY"/>
    <s v="APC Relative Weight"/>
    <n v="15893.54"/>
    <n v="86592.11"/>
    <n v="0.85709999999999997"/>
    <n v="1.65"/>
    <n v="0.38"/>
    <n v="0.41670000000000001"/>
    <n v="15"/>
    <n v="0.33"/>
    <n v="0.35"/>
    <n v="0.45"/>
    <n v="0.90229999999999999"/>
    <n v="17.63"/>
    <n v="106267.68057341799"/>
    <n v="3182"/>
    <n v="1.52563637244165"/>
  </r>
  <r>
    <s v="3524Providence St Peter Hospital341133076300, 33076309 DIAGNOSTIC IMAGING"/>
    <m/>
    <x v="1"/>
    <s v="SWR"/>
    <s v="WA"/>
    <n v="3524"/>
    <x v="2"/>
    <n v="3411"/>
    <s v="Diagnostic Radiology Without Interventional Procedures"/>
    <s v="Imaging Services"/>
    <s v="33076300, 33076309 DIAGNOSTIC IMAGING"/>
    <s v="APC Relative Weight"/>
    <n v="53131.5"/>
    <n v="57270.13"/>
    <n v="0.5"/>
    <n v="0.46"/>
    <n v="0.48"/>
    <n v="0.1429"/>
    <n v="15"/>
    <n v="0.56000000000000005"/>
    <n v="0.57999999999999996"/>
    <n v="0.62"/>
    <n v="0.89639999999999997"/>
    <n v="14.67"/>
    <n v="-210282.66030243301"/>
    <n v="-6458"/>
    <n v="-3.0965242699286901"/>
  </r>
  <r>
    <s v="3524Providence St Peter Hospital424133075930, CARDIAC REHABILITATION"/>
    <m/>
    <x v="1"/>
    <s v="SWR"/>
    <s v="WA"/>
    <n v="3524"/>
    <x v="2"/>
    <n v="4241"/>
    <s v="Cardiac Rehabilitation Services"/>
    <s v="Cardiology and Vascular Services Series"/>
    <s v="33075930, CARDIAC REHABILITATION"/>
    <s v="Patient Visits"/>
    <n v="18557"/>
    <n v="19135"/>
    <n v="0.64290000000000003"/>
    <m/>
    <n v="0.47"/>
    <n v="0.16669999999999999"/>
    <n v="15"/>
    <n v="0.48"/>
    <n v="0.52"/>
    <n v="0.66"/>
    <n v="0.85880000000000001"/>
    <n v="5"/>
    <n v="-51879.5765708084"/>
    <n v="-1158"/>
    <n v="-0.555049501028128"/>
  </r>
  <r>
    <s v="3524Providence St Peter Hospital111033061794, Neuro Acute"/>
    <m/>
    <x v="1"/>
    <s v="SWR"/>
    <s v="WA"/>
    <n v="3524"/>
    <x v="2"/>
    <n v="1110"/>
    <s v="Medical/Surgical Intermediate Care Unit"/>
    <s v="Nursing Services"/>
    <s v="33061794, Neuro Acute"/>
    <s v="Equivalent Patient Day"/>
    <n v="7080.01"/>
    <n v="7858.53"/>
    <n v="0.57140000000000002"/>
    <n v="12.15"/>
    <n v="11.48"/>
    <n v="0.30769999999999997"/>
    <n v="15"/>
    <n v="11.4"/>
    <n v="11.48"/>
    <n v="11.91"/>
    <n v="0.87729999999999997"/>
    <n v="49.44"/>
    <n v="11181.0588047901"/>
    <n v="283"/>
    <n v="0.13587758747188899"/>
  </r>
  <r>
    <s v="3524Providence St Peter Hospital111033061794, Neuro Acute"/>
    <m/>
    <x v="1"/>
    <s v="SWR"/>
    <s v="WA"/>
    <n v="3524"/>
    <x v="2"/>
    <n v="1110"/>
    <s v="Medical/Surgical Intermediate Care Unit"/>
    <s v="Nursing Services"/>
    <s v="33061794, Neuro Acute"/>
    <s v="Equivalent Patient Day"/>
    <n v="7080.01"/>
    <n v="7858.53"/>
    <n v="0.57140000000000002"/>
    <n v="12.15"/>
    <n v="11.48"/>
    <n v="0.30769999999999997"/>
    <n v="15"/>
    <n v="11.4"/>
    <n v="11.48"/>
    <n v="11.91"/>
    <n v="0.87729999999999997"/>
    <n v="49.44"/>
    <n v="11181.0588047901"/>
    <n v="283"/>
    <n v="0.13587758747188899"/>
  </r>
  <r>
    <s v="3535Providence St Vincent Medical Center111153061721, NEUROSURGERY - 9E"/>
    <m/>
    <x v="3"/>
    <s v="OR"/>
    <s v="OR"/>
    <n v="3535"/>
    <x v="22"/>
    <n v="1111"/>
    <s v="Med/Surg/Cardiac Intermediate Care Unit"/>
    <s v="Nursing Services"/>
    <s v="53061721, NEUROSURGERY - 9E"/>
    <s v="Equivalent Patient Day"/>
    <n v="11886.96"/>
    <n v="12406"/>
    <n v="0.71430000000000005"/>
    <n v="9.82"/>
    <n v="10.19"/>
    <n v="0.1429"/>
    <n v="15"/>
    <n v="10.38"/>
    <n v="10.74"/>
    <n v="11.33"/>
    <n v="0.90780000000000005"/>
    <n v="66.97"/>
    <n v="-301754.97875424998"/>
    <n v="-7094"/>
    <n v="-3.4010512154953401"/>
  </r>
  <r>
    <s v="3535Providence St Vincent Medical Center304053074292, SURGICAL SERVICES - PEDIATRIC"/>
    <m/>
    <x v="3"/>
    <s v="OR"/>
    <s v="OR"/>
    <n v="3535"/>
    <x v="22"/>
    <n v="3040"/>
    <s v="Ambulatory Surgery Center"/>
    <s v="Surgical Services"/>
    <s v="53074292, SURGICAL SERVICES - PEDIATRIC"/>
    <s v="100 Operating Room Minutes"/>
    <n v="854.4"/>
    <n v="1204.3900000000001"/>
    <n v="0.42859999999999998"/>
    <n v="19"/>
    <n v="14.15"/>
    <n v="0.15379999999999999"/>
    <n v="15"/>
    <n v="15.51"/>
    <n v="17.760000000000002"/>
    <n v="18.91"/>
    <n v="0.92490000000000006"/>
    <n v="8.86"/>
    <n v="-222168.31610559899"/>
    <n v="-4648"/>
    <n v="-2.2282620670845299"/>
  </r>
  <r>
    <s v="3535Providence St Vincent Medical Center128053001280, NEWBORN NURSERY (U,N)"/>
    <m/>
    <x v="3"/>
    <s v="OR"/>
    <s v="OR"/>
    <n v="3535"/>
    <x v="22"/>
    <n v="1280"/>
    <s v="Newborn Nursery"/>
    <s v="Nursing Services"/>
    <s v="53001280, NEWBORN NURSERY (U,N)"/>
    <s v="Patient Days (Neonate)"/>
    <n v="1764"/>
    <n v="1764"/>
    <n v="0.69189999999999996"/>
    <n v="5.91"/>
    <n v="5.91"/>
    <n v="0.16589999999999999"/>
    <n v="15"/>
    <n v="7.35"/>
    <n v="7.76"/>
    <n v="8.5500000000000007"/>
    <n v="0.85729999999999995"/>
    <n v="5.84"/>
    <n v="-200472.31002684199"/>
    <n v="-3787"/>
    <n v="-1.8155366009846801"/>
  </r>
  <r>
    <s v="3535Providence St Vincent Medical Center423053075700, CARDIOVASCULAR LAB"/>
    <m/>
    <x v="3"/>
    <s v="OR"/>
    <s v="OR"/>
    <n v="3535"/>
    <x v="22"/>
    <n v="4230"/>
    <s v="Combined Invasive Cardiology and Vascular Services"/>
    <s v="Cardiology and Vascular Services Series"/>
    <s v="53075700, CARDIOVASCULAR LAB"/>
    <s v="Procedure Minutes"/>
    <n v="369999"/>
    <n v="437269"/>
    <n v="0.64290000000000003"/>
    <n v="0.18"/>
    <n v="0.16"/>
    <n v="0.81820000000000004"/>
    <n v="15"/>
    <n v="0.14000000000000001"/>
    <n v="0.14000000000000001"/>
    <n v="0.14000000000000001"/>
    <n v="0.8982"/>
    <n v="38.43"/>
    <n v="460052.55511022022"/>
    <n v="9736.5620129147137"/>
    <n v="4.6682466380182746"/>
  </r>
  <r>
    <s v="4283Providence St. John's Health Center621073587400, SJHC TRAINING AND DEVELOP (U)"/>
    <m/>
    <x v="2"/>
    <s v="CA"/>
    <s v="CA"/>
    <n v="4283"/>
    <x v="23"/>
    <n v="6210"/>
    <s v="Clinical Staff Education"/>
    <s v="Educational Services"/>
    <s v="73587400, SJHC TRAINING AND DEVELOP (U)"/>
    <s v="Adjusted Discharges"/>
    <m/>
    <n v="17316.55"/>
    <n v="0.3891"/>
    <m/>
    <n v="0.54"/>
    <n v="0.5847"/>
    <n v="15"/>
    <n v="0.34"/>
    <n v="0.39"/>
    <n v="0.48"/>
    <n v="0.93989999999999996"/>
    <n v="4.79"/>
    <n v="147777.63705084901"/>
    <n v="2805"/>
    <n v="1.34497413030084"/>
  </r>
  <r>
    <s v="3755Providence Tarzana Medical Center482172577900, OCCUPATIONAL THERAPY"/>
    <m/>
    <x v="2"/>
    <s v="CA"/>
    <s v="CA"/>
    <n v="3755"/>
    <x v="3"/>
    <n v="4821"/>
    <s v="Occupational Therapy: Inpatient"/>
    <s v="Rehabilitation Services"/>
    <s v="72577900, OCCUPATIONAL THERAPY"/>
    <s v="1000 Baseline Billed Time Units (BTUs)"/>
    <n v="314.98"/>
    <n v="330.16"/>
    <n v="0.35709999999999997"/>
    <n v="17.53"/>
    <n v="16.8"/>
    <n v="0"/>
    <n v="15"/>
    <n v="21.05"/>
    <n v="23.01"/>
    <n v="25.94"/>
    <n v="0.83140000000000003"/>
    <n v="3.21"/>
    <n v="-128733.150888442"/>
    <n v="-2442"/>
    <n v="-1.1710601231574"/>
  </r>
  <r>
    <s v="3755Providence Tarzana Medical Center6110Combined Strategic Planning, Marketing and Community Relations"/>
    <m/>
    <x v="2"/>
    <s v="CA"/>
    <s v="CA"/>
    <n v="3755"/>
    <x v="3"/>
    <n v="6110"/>
    <s v="Combined Marketing, Communications, Strategic Planning and Public/Comm Relations"/>
    <s v="Marketing, Communications, Strategic Planning, Public and Community Relations"/>
    <s v="Combined Strategic Planning, Marketing and Community Relations"/>
    <s v="100 Adjusted Patient Days"/>
    <n v="884.37"/>
    <n v="791.59"/>
    <n v="0.42859999999999998"/>
    <n v="2.25"/>
    <n v="7.31"/>
    <n v="0.33329999999999999"/>
    <n v="15"/>
    <n v="7.17"/>
    <n v="7.37"/>
    <n v="8.58"/>
    <n v="0.91469999999999996"/>
    <n v="3.04"/>
    <n v="-2512.1522454330002"/>
    <n v="-38"/>
    <n v="-1.7998491542404502E-2"/>
  </r>
  <r>
    <s v="3755Providence Tarzana Medical Center4199Respiratory and Pulmonary Care Admin and Support (U,N)"/>
    <m/>
    <x v="2"/>
    <s v="CA"/>
    <s v="CA"/>
    <n v="3755"/>
    <x v="3"/>
    <n v="4199"/>
    <s v="Respiratory and Pulmonary Care Administration and Support"/>
    <s v="Respiratory and Pulmonary Care Services"/>
    <s v="Respiratory and Pulmonary Care Admin and Support (U,N)"/>
    <s v="CMI Weighted Total Facility Discharges"/>
    <n v="17474.68"/>
    <n v="18719.75"/>
    <n v="0.63180000000000003"/>
    <n v="0"/>
    <n v="0.82"/>
    <m/>
    <n v="15"/>
    <n v="0.12"/>
    <n v="0.14000000000000001"/>
    <n v="0.15"/>
    <n v="0.88"/>
    <n v="8.3699999999999992"/>
    <n v="684597.20886778994"/>
    <n v="14479"/>
    <n v="6.9421138967950604"/>
  </r>
  <r>
    <s v="3755Providence Tarzana Medical Center50995099, Facility Services Administration (U,N)"/>
    <m/>
    <x v="2"/>
    <s v="CA"/>
    <s v="CA"/>
    <n v="3755"/>
    <x v="3"/>
    <n v="5099"/>
    <s v="Facility Services Administration"/>
    <s v="Facility Services"/>
    <s v="5099, Facility Services Administration (U,N)"/>
    <s v="1000 Gross Square Feet Maintained"/>
    <m/>
    <n v="646.25"/>
    <n v="0.43359999999999999"/>
    <m/>
    <n v="29.62"/>
    <m/>
    <n v="15"/>
    <n v="2.09"/>
    <n v="2.56"/>
    <n v="2.71"/>
    <n v="0.90090000000000003"/>
    <n v="10.220000000000001"/>
    <n v="700402.32581617695"/>
    <n v="19480"/>
    <n v="9.3395350067671092"/>
  </r>
  <r>
    <s v="3849Providence Willamette Falls Medical Center345053576700, ULTRASOUND"/>
    <m/>
    <x v="3"/>
    <s v="OR"/>
    <s v="OR"/>
    <n v="3849"/>
    <x v="7"/>
    <n v="3450"/>
    <s v="Ultrasound"/>
    <s v="Imaging Services"/>
    <s v="53576700, ULTRASOUND"/>
    <s v="APC Relative Weight"/>
    <n v="16305.09"/>
    <n v="17090.89"/>
    <n v="0.64290000000000003"/>
    <n v="0.42"/>
    <n v="0.44"/>
    <n v="0.1429"/>
    <n v="15"/>
    <n v="0.44"/>
    <n v="0.47"/>
    <n v="0.49"/>
    <n v="0.8972"/>
    <n v="3.99"/>
    <n v="-31975.697568015301"/>
    <n v="-631"/>
    <n v="-0.30260997937016798"/>
  </r>
  <r>
    <s v="3849Providence Willamette Falls Medical Center581053505810, SOCIAL WORK SVCS (U,N)"/>
    <m/>
    <x v="3"/>
    <s v="OR"/>
    <s v="OR"/>
    <n v="3849"/>
    <x v="7"/>
    <n v="5810"/>
    <s v="Social Work"/>
    <s v="Clinical Resource Management Services"/>
    <s v="53505810, SOCIAL WORK SVCS (U,N)"/>
    <s v="Social Work Cases"/>
    <m/>
    <n v="2766"/>
    <n v="0.49790000000000001"/>
    <m/>
    <n v="5.19"/>
    <n v="0.90410000000000001"/>
    <n v="15"/>
    <n v="2.09"/>
    <n v="2.19"/>
    <n v="2.4700000000000002"/>
    <n v="0.91349999999999998"/>
    <n v="7.55"/>
    <n v="314594.56656791997"/>
    <n v="9116"/>
    <n v="4.3706678789250102"/>
  </r>
  <r>
    <s v="3930Swedish Ballard136021572200 ADDICTION RECOVERY CLINIC"/>
    <m/>
    <x v="1"/>
    <s v="SHS"/>
    <s v="WA"/>
    <n v="3930"/>
    <x v="24"/>
    <n v="1360"/>
    <s v="Chemical Dependency Unit"/>
    <s v="Nursing Services"/>
    <s v="21572200 ADDICTION RECOVERY CLINIC"/>
    <s v="Patient Days"/>
    <n v="8879"/>
    <n v="8786"/>
    <n v="0.92859999999999998"/>
    <n v="8.35"/>
    <n v="8.3800000000000008"/>
    <n v="0.42859999999999998"/>
    <n v="15"/>
    <n v="6.65"/>
    <n v="7.39"/>
    <n v="8.41"/>
    <n v="0.89200000000000002"/>
    <n v="39.659999999999997"/>
    <n v="422902.01936595002"/>
    <n v="9929"/>
    <n v="4.76052114430294"/>
  </r>
  <r>
    <s v="3928Swedish Cherry Hill112222061790 CARDIAC UNIT"/>
    <m/>
    <x v="1"/>
    <s v="SHS"/>
    <s v="WA"/>
    <n v="3928"/>
    <x v="25"/>
    <n v="1122"/>
    <s v="Cardiac Intermediate Care Unit"/>
    <s v="Nursing Services"/>
    <s v="22061790 CARDIAC UNIT"/>
    <s v="Equivalent Patient Day"/>
    <n v="10122.379999999999"/>
    <n v="11424"/>
    <n v="0.42859999999999998"/>
    <n v="10.84"/>
    <n v="10.73"/>
    <n v="7.1400000000000005E-2"/>
    <n v="15"/>
    <n v="10.91"/>
    <n v="10.95"/>
    <n v="11.05"/>
    <n v="0.87629999999999997"/>
    <n v="67.27"/>
    <n v="-101510.902350187"/>
    <n v="-2446"/>
    <n v="-1.17278306211827"/>
  </r>
  <r>
    <s v="3928Swedish Cherry Hill139022063400 BEHAVIORAL PSYCH"/>
    <m/>
    <x v="1"/>
    <s v="SHS"/>
    <s v="WA"/>
    <n v="3928"/>
    <x v="25"/>
    <n v="1390"/>
    <s v="Behavioral Health Unit"/>
    <s v="Nursing Services"/>
    <s v="22063400 BEHAVIORAL PSYCH"/>
    <s v="Patient Days"/>
    <n v="3501"/>
    <n v="3527"/>
    <n v="0.5"/>
    <n v="9.68"/>
    <n v="10.56"/>
    <n v="0.28570000000000001"/>
    <n v="15"/>
    <n v="10.08"/>
    <n v="10.67"/>
    <n v="11.4"/>
    <n v="0.88360000000000005"/>
    <n v="20.260000000000002"/>
    <n v="-16710.547714394001"/>
    <n v="-334"/>
    <n v="-0.16030999728626899"/>
  </r>
  <r>
    <s v="3849Providence Willamette Falls Medical Center511253583400 PT_NON PT FOOD SVC"/>
    <m/>
    <x v="3"/>
    <s v="OR"/>
    <s v="OR"/>
    <n v="3849"/>
    <x v="7"/>
    <n v="5112"/>
    <s v="Patient and Nonpatient Food Services"/>
    <s v="Food and Nutrition Services"/>
    <s v="53583400 PT_NON PT FOOD SVC"/>
    <s v="ART: Total Meal Equivalents"/>
    <n v="319330.64"/>
    <n v="329667.56"/>
    <n v="0.64290000000000003"/>
    <n v="0.11"/>
    <n v="0.12"/>
    <m/>
    <n v="15"/>
    <n v="0.16"/>
    <n v="0.17"/>
    <n v="0.17"/>
    <n v="0.92290000000000005"/>
    <n v="20.47"/>
    <n v="-315070.89063141699"/>
    <n v="-18031"/>
    <n v="-8.6451242609892596"/>
  </r>
  <r>
    <s v="3927Swedish First Hill463021077600 ENDOSCOPY"/>
    <m/>
    <x v="1"/>
    <s v="SHS"/>
    <s v="WA"/>
    <n v="3927"/>
    <x v="26"/>
    <n v="4630"/>
    <s v="Endoscopy (GI) Laboratory"/>
    <s v="Other Clinical Support Services"/>
    <s v="21077600 ENDOSCOPY"/>
    <s v="APC Relative Weight"/>
    <n v="168936.09"/>
    <n v="212706.88"/>
    <n v="0.57140000000000002"/>
    <n v="0.38"/>
    <n v="0.3"/>
    <n v="0.1429"/>
    <n v="15"/>
    <n v="0.33"/>
    <n v="0.36"/>
    <n v="0.4"/>
    <n v="0.91279999999999994"/>
    <n v="33.049999999999997"/>
    <n v="-620677.05305131304"/>
    <n v="-14957"/>
    <n v="-7.1713428052305801"/>
  </r>
  <r>
    <s v="3927Swedish First Hill481121077700 PHYSICAL THERAPY FH"/>
    <m/>
    <x v="1"/>
    <s v="SHS"/>
    <s v="WA"/>
    <n v="3927"/>
    <x v="26"/>
    <n v="4811"/>
    <s v="Physical Therapy: Inpatient"/>
    <s v="Rehabilitation Services"/>
    <s v="21077700 PHYSICAL THERAPY FH"/>
    <s v="1000 Baseline Billed Time Units (BTUs)"/>
    <n v="1616.08"/>
    <n v="1842.48"/>
    <n v="0.5"/>
    <n v="24.9"/>
    <n v="22.01"/>
    <n v="0.1429"/>
    <n v="15"/>
    <n v="23.2"/>
    <n v="24.48"/>
    <n v="25.23"/>
    <n v="0.87480000000000002"/>
    <n v="22.29"/>
    <n v="-213461.61672485399"/>
    <n v="-5069"/>
    <n v="-2.4302910826634299"/>
  </r>
  <r>
    <s v="3927Swedish First Hill121121061710 GENERAL MEDICAL"/>
    <m/>
    <x v="1"/>
    <s v="SHS"/>
    <s v="WA"/>
    <n v="3927"/>
    <x v="26"/>
    <n v="1211"/>
    <s v="General Medical Acute Care Unit"/>
    <s v="Nursing Services"/>
    <s v="21061710 GENERAL MEDICAL"/>
    <s v="Equivalent Patient Day"/>
    <n v="8020.04"/>
    <n v="8726"/>
    <n v="0.5"/>
    <n v="9.93"/>
    <n v="10.15"/>
    <n v="0.15379999999999999"/>
    <n v="15"/>
    <n v="10.28"/>
    <n v="10.48"/>
    <n v="11.44"/>
    <n v="0.87050000000000005"/>
    <n v="48.9"/>
    <n v="-127444.25995653401"/>
    <n v="-3062"/>
    <n v="-1.46813550283616"/>
  </r>
  <r>
    <s v="3927Swedish First Hill226721076416 SCI ISSAQUAH"/>
    <m/>
    <x v="1"/>
    <s v="SHS"/>
    <s v="WA"/>
    <n v="3927"/>
    <x v="26"/>
    <n v="2267"/>
    <s v="Oncology / Hematology Clinic"/>
    <s v="Ambulatory Care Clinics"/>
    <s v="21076416 SCI ISSAQUAH"/>
    <s v="Patient Visits"/>
    <n v="4220"/>
    <n v="6115"/>
    <n v="0.42859999999999998"/>
    <n v="2.0699999999999998"/>
    <n v="1.71"/>
    <n v="0.1429"/>
    <n v="15"/>
    <n v="1.88"/>
    <n v="2.16"/>
    <n v="2.46"/>
    <n v="0.89739999999999998"/>
    <n v="5.6"/>
    <n v="-172801.24756494199"/>
    <n v="-3039"/>
    <n v="-1.4568730734900499"/>
  </r>
  <r>
    <s v="3927Swedish First Hill227621074296 SCI RECONSTRUCTIVE SURGERY"/>
    <m/>
    <x v="1"/>
    <s v="SHS"/>
    <s v="WA"/>
    <n v="3927"/>
    <x v="26"/>
    <n v="2276"/>
    <s v="Plastic Surgery Clinic"/>
    <s v="Ambulatory Care Clinics"/>
    <s v="21074296 SCI RECONSTRUCTIVE SURGERY"/>
    <s v="Patient Visits"/>
    <n v="0"/>
    <n v="4042"/>
    <n v="0.42859999999999998"/>
    <m/>
    <n v="1.18"/>
    <n v="0.1333"/>
    <n v="15"/>
    <n v="1.33"/>
    <n v="1.55"/>
    <n v="1.69"/>
    <n v="0.9476"/>
    <n v="2.42"/>
    <n v="-81267.983796314496"/>
    <n v="-1564"/>
    <n v="-0.74994052628733898"/>
  </r>
  <r>
    <s v="3929Swedish Edmonds511223083300 CAFETERIA"/>
    <m/>
    <x v="1"/>
    <s v="SHS"/>
    <s v="WA"/>
    <n v="3929"/>
    <x v="31"/>
    <n v="5112"/>
    <s v="Patient and Nonpatient Food Services"/>
    <s v="Food and Nutrition Services"/>
    <s v="23083300 CAFETERIA"/>
    <s v="ART: Total Meal Equivalents"/>
    <n v="393790.16"/>
    <n v="401647.88"/>
    <n v="0.57140000000000002"/>
    <n v="0.18"/>
    <n v="0.17"/>
    <n v="0.61539999999999995"/>
    <n v="15"/>
    <n v="0.14000000000000001"/>
    <n v="0.15"/>
    <n v="0.16"/>
    <n v="0.8901"/>
    <n v="36.659999999999997"/>
    <n v="180397.59071196301"/>
    <n v="8776"/>
    <n v="4.2076541358824198"/>
  </r>
  <r>
    <s v="3927Swedish First Hill127221063800 POSTPARTUM"/>
    <m/>
    <x v="1"/>
    <s v="SHS"/>
    <s v="WA"/>
    <n v="3927"/>
    <x v="26"/>
    <n v="1272"/>
    <s v="Mother/Baby Unit"/>
    <s v="Nursing Services"/>
    <s v="21063800 POSTPARTUM"/>
    <s v="Equivalent Patient Day"/>
    <n v="18358.29"/>
    <n v="23926"/>
    <n v="0.85709999999999997"/>
    <n v="8.06"/>
    <n v="8.1199999999999992"/>
    <n v="0.61539999999999995"/>
    <n v="15"/>
    <n v="7.16"/>
    <n v="7.44"/>
    <n v="7.83"/>
    <n v="0.88039999999999996"/>
    <n v="106.12"/>
    <n v="954017.57875762298"/>
    <n v="19143"/>
    <n v="9.1781822430001192"/>
  </r>
  <r>
    <s v="3531Providence Medford Medical Center560859005608, CENTRALIZED SCHEDULING (U,N)"/>
    <m/>
    <x v="3"/>
    <s v="OR"/>
    <s v="OR"/>
    <n v="3531"/>
    <x v="29"/>
    <n v="5608"/>
    <s v="Centralized Scheduling"/>
    <s v="Revenue Cycle Management"/>
    <s v="59005608, CENTRALIZED SCHEDULING (U,N)"/>
    <s v="Adjusted Discharges"/>
    <n v="13415.83"/>
    <n v="13761.01"/>
    <n v="0.68179999999999996"/>
    <n v="0.69"/>
    <n v="0.81"/>
    <n v="0.34989999999999999"/>
    <n v="15"/>
    <n v="0.79"/>
    <n v="0.81"/>
    <n v="1.2"/>
    <n v="0.86609999999999998"/>
    <n v="6.17"/>
    <n v="-15.521506208852699"/>
    <n v="-1"/>
    <n v="-4.3028035980796598E-4"/>
  </r>
  <r>
    <s v="3531Providence Medford Medical Center504059084610, CLINICAL ENGINEERING-BIOMED"/>
    <m/>
    <x v="3"/>
    <s v="OR"/>
    <s v="OR"/>
    <n v="3531"/>
    <x v="29"/>
    <n v="5040"/>
    <s v="Biomedical Engineering"/>
    <s v="Facility Services"/>
    <s v="59084610, CLINICAL ENGINEERING-BIOMED"/>
    <s v="100 Equipment and Devices Maintained"/>
    <n v="46.25"/>
    <n v="47.5"/>
    <n v="0.42859999999999998"/>
    <n v="143.56"/>
    <n v="125.44"/>
    <n v="0.30769999999999997"/>
    <n v="15"/>
    <n v="119.62"/>
    <n v="128.86000000000001"/>
    <n v="145.88999999999999"/>
    <n v="0.88700000000000001"/>
    <n v="3.23"/>
    <n v="-6764.1662102401697"/>
    <n v="-164"/>
    <n v="-7.8539132015027893E-2"/>
  </r>
  <r>
    <s v="3531Providence Medford Medical Center423059075700, CARDIOVASCULAR LAB"/>
    <m/>
    <x v="3"/>
    <s v="OR"/>
    <s v="OR"/>
    <n v="3531"/>
    <x v="29"/>
    <n v="4230"/>
    <s v="Combined Invasive Cardiology and Vascular Services"/>
    <s v="Cardiology and Vascular Services Series"/>
    <s v="59075700, CARDIOVASCULAR LAB"/>
    <s v="Procedure Minutes"/>
    <n v="101512"/>
    <n v="101772"/>
    <n v="0.57140000000000002"/>
    <n v="0.23"/>
    <n v="0.22"/>
    <n v="0.30769999999999997"/>
    <n v="15"/>
    <n v="0.21"/>
    <n v="0.22"/>
    <n v="0.24"/>
    <n v="0.87849999999999995"/>
    <n v="12.14"/>
    <n v="-7652.3952091484098"/>
    <n v="-166"/>
    <n v="-7.9611065938372902E-2"/>
  </r>
  <r>
    <s v="3531Providence Medford Medical Center487159077700, PHYSICAL THERAPY"/>
    <m/>
    <x v="3"/>
    <s v="OR"/>
    <s v="OR"/>
    <n v="3531"/>
    <x v="29"/>
    <n v="4871"/>
    <s v="PT/OT/SLP Combined: Inpatient"/>
    <s v="Rehabilitation Services"/>
    <s v="59077700, PHYSICAL THERAPY"/>
    <s v="1000 Baseline Billed Time Units (BTUs)"/>
    <n v="766.77"/>
    <n v="900.99"/>
    <n v="0.42859999999999998"/>
    <n v="29.66"/>
    <n v="23.24"/>
    <n v="7.1400000000000005E-2"/>
    <n v="15"/>
    <n v="24"/>
    <n v="27.53"/>
    <n v="28.92"/>
    <n v="0.90710000000000002"/>
    <n v="11.1"/>
    <n v="-148442.138823382"/>
    <n v="-4193"/>
    <n v="-2.0104975628515098"/>
  </r>
  <r>
    <s v="2947Providence Alaska Medical Center4821Occupational Therapy IP"/>
    <m/>
    <x v="0"/>
    <s v="AK"/>
    <s v="AK"/>
    <n v="2947"/>
    <x v="0"/>
    <n v="4821"/>
    <s v="Occupational Therapy: Inpatient"/>
    <s v="Rehabilitation Services"/>
    <s v="Occupational Therapy IP"/>
    <s v="1000 Baseline Billed Time Units (BTUs)"/>
    <n v="460.07"/>
    <n v="672.68"/>
    <n v="0.6"/>
    <n v="31.1"/>
    <n v="21.54"/>
    <n v="7.1400000000000005E-2"/>
    <n v="16"/>
    <n v="23.15"/>
    <n v="24.3"/>
    <n v="24.98"/>
    <n v="0.92779999999999996"/>
    <n v="7.51"/>
    <n v="-92717.711181564693"/>
    <n v="-1955"/>
    <n v="-0.93711836541014504"/>
  </r>
  <r>
    <s v="2947Providence Alaska Medical Center4899N - Rehab Admin (U,N)"/>
    <m/>
    <x v="0"/>
    <s v="AK"/>
    <s v="AK"/>
    <n v="2947"/>
    <x v="0"/>
    <n v="4899"/>
    <s v="Rehabilitation Services Administration"/>
    <s v="Rehabilitation Services"/>
    <s v="N - Rehab Admin (U,N)"/>
    <s v="1000 Baseline Billed Time Units (BTUs) Supported"/>
    <n v="3014.74"/>
    <n v="3957.61"/>
    <n v="0.42659999999999998"/>
    <n v="3.98"/>
    <n v="4.13"/>
    <n v="0.48470000000000002"/>
    <n v="16"/>
    <n v="2.63"/>
    <n v="3.25"/>
    <n v="4.34"/>
    <n v="0.87160000000000004"/>
    <n v="9.0299999999999994"/>
    <n v="178928.01730633201"/>
    <n v="4077"/>
    <n v="1.95466034857921"/>
  </r>
  <r>
    <s v="2947Providence Alaska Medical Center5211Environmental Services"/>
    <m/>
    <x v="0"/>
    <s v="AK"/>
    <s v="AK"/>
    <n v="2947"/>
    <x v="0"/>
    <n v="5211"/>
    <s v="Environmental Services"/>
    <s v="Environmental Services"/>
    <s v="Environmental Services"/>
    <s v="1000 Net Sq Ft Cleaned"/>
    <n v="896"/>
    <n v="1178.4000000000001"/>
    <n v="0.1333"/>
    <n v="183.79"/>
    <n v="158.66999999999999"/>
    <n v="0.66669999999999996"/>
    <n v="16"/>
    <n v="164.59"/>
    <n v="167.05"/>
    <n v="179.21"/>
    <n v="0.89680000000000004"/>
    <n v="100.24"/>
    <n v="-193053.22480362499"/>
    <n v="-10434"/>
    <n v="-5.0026495240924902"/>
  </r>
  <r>
    <s v="3525Providence Centralia Hospital111134061790 Progressive Care"/>
    <m/>
    <x v="1"/>
    <s v="SWR"/>
    <s v="WA"/>
    <n v="3525"/>
    <x v="10"/>
    <n v="1111"/>
    <s v="Med/Surg/Cardiac Intermediate Care Unit"/>
    <s v="Nursing Services"/>
    <s v="34061790 Progressive Care"/>
    <s v="Equivalent Patient Day"/>
    <n v="5673.85"/>
    <n v="5722.33"/>
    <n v="0.5333"/>
    <n v="11.91"/>
    <n v="10.26"/>
    <n v="0"/>
    <n v="16"/>
    <n v="12.58"/>
    <n v="13.66"/>
    <n v="14.93"/>
    <n v="0.71099999999999997"/>
    <n v="39.69"/>
    <n v="-1330770.0355541799"/>
    <n v="-27158"/>
    <n v="-13.021109411775701"/>
  </r>
  <r>
    <s v="3525Providence Centralia Hospital500134084500, PLANT OPERATIONS"/>
    <m/>
    <x v="1"/>
    <s v="SWR"/>
    <s v="WA"/>
    <n v="3525"/>
    <x v="10"/>
    <n v="5001"/>
    <s v="Plant Operations / Plant Maintenance and Grounds"/>
    <s v="Facility Services"/>
    <s v="34084500, PLANT OPERATIONS"/>
    <s v="1000 Gross Square Feet Maintained"/>
    <n v="461.29"/>
    <n v="461.29"/>
    <n v="0.4667"/>
    <n v="20.87"/>
    <n v="23.98"/>
    <n v="0.1333"/>
    <n v="16"/>
    <n v="25.15"/>
    <n v="26.93"/>
    <n v="29.1"/>
    <n v="0.88319999999999999"/>
    <n v="6.02"/>
    <n v="-54132.6138929269"/>
    <n v="-1509"/>
    <n v="-0.72371940649335498"/>
  </r>
  <r>
    <s v="3525Providence Centralia Hospital481233377704 PHYSICAL THERAPY TUMWATER"/>
    <m/>
    <x v="1"/>
    <s v="SWR"/>
    <s v="WA"/>
    <n v="3525"/>
    <x v="10"/>
    <n v="4812"/>
    <s v="Physical Therapy: Outpatient"/>
    <s v="Rehabilitation Services"/>
    <s v="33377704 PHYSICAL THERAPY TUMWATER"/>
    <s v="1000 Baseline Billed Time Units (BTUs)"/>
    <n v="750.54"/>
    <n v="797.1"/>
    <n v="0.4667"/>
    <n v="20.25"/>
    <n v="19.54"/>
    <n v="0.2"/>
    <n v="16"/>
    <n v="20.51"/>
    <n v="21.79"/>
    <n v="22.97"/>
    <n v="0.8528"/>
    <n v="8.7799999999999994"/>
    <n v="-95731.754493874396"/>
    <n v="-2054"/>
    <n v="-0.98497209488970106"/>
  </r>
  <r>
    <s v="3525Providence Centralia Hospital481233377703 PHYSICAL THERAPY CENTRALIA"/>
    <m/>
    <x v="1"/>
    <s v="SWR"/>
    <s v="WA"/>
    <n v="3525"/>
    <x v="10"/>
    <n v="4812"/>
    <s v="Physical Therapy: Outpatient"/>
    <s v="Rehabilitation Services"/>
    <s v="33377703 PHYSICAL THERAPY CENTRALIA"/>
    <s v="1000 Baseline Billed Time Units (BTUs)"/>
    <n v="367.03"/>
    <n v="453.88"/>
    <n v="0.4667"/>
    <n v="21.05"/>
    <n v="20.65"/>
    <n v="0.27779999999999999"/>
    <n v="16"/>
    <n v="20.190000000000001"/>
    <n v="22.23"/>
    <n v="24.34"/>
    <n v="0.92010000000000003"/>
    <n v="4.9000000000000004"/>
    <n v="-32076.843949369799"/>
    <n v="-746"/>
    <n v="-0.35767379056218301"/>
  </r>
  <r>
    <s v="3525Providence Centralia Hospital651034087100, MEDICAL STAFF ADMINISTRATION"/>
    <m/>
    <x v="1"/>
    <s v="SWR"/>
    <s v="WA"/>
    <n v="3525"/>
    <x v="10"/>
    <n v="6510"/>
    <s v="Medical Staff Services"/>
    <s v="Medical Staff Services"/>
    <s v="34087100, MEDICAL STAFF ADMINISTRATION"/>
    <s v="Physicians On Active Medical Staff"/>
    <n v="88"/>
    <n v="93"/>
    <n v="0.4667"/>
    <n v="58.95"/>
    <n v="65.069999999999993"/>
    <n v="0.5333"/>
    <n v="16"/>
    <n v="51.62"/>
    <n v="54.45"/>
    <n v="60.21"/>
    <n v="0.86880000000000002"/>
    <n v="3.35"/>
    <n v="38851.270723609901"/>
    <n v="1159"/>
    <n v="0.55546740670553996"/>
  </r>
  <r>
    <s v="3525Providence Centralia Hospital3399Laboratory Services - Administration And Support (U,N)"/>
    <m/>
    <x v="1"/>
    <s v="SWR"/>
    <s v="WA"/>
    <n v="3525"/>
    <x v="10"/>
    <n v="3399"/>
    <s v="Laboratory Services Administration"/>
    <s v="Laboratory Services"/>
    <s v="Laboratory Services - Administration And Support (U,N)"/>
    <s v="100 Billed Tests Supported"/>
    <n v="3898.75"/>
    <n v="3093.06"/>
    <n v="0.55910000000000004"/>
    <n v="2.86"/>
    <n v="3.48"/>
    <m/>
    <n v="16"/>
    <n v="0.68"/>
    <n v="1.23"/>
    <n v="1.89"/>
    <n v="0.88460000000000005"/>
    <n v="5.84"/>
    <n v="230717.60310174199"/>
    <n v="7880"/>
    <n v="3.7779714221853999"/>
  </r>
  <r>
    <s v="3523Providence Everett Medical Center511031683400, Dietary"/>
    <m/>
    <x v="1"/>
    <s v="NWR"/>
    <s v="WA"/>
    <n v="3523"/>
    <x v="1"/>
    <n v="5110"/>
    <s v="Patient Food Services"/>
    <s v="Food and Nutrition Services"/>
    <s v="31683400, Dietary"/>
    <s v="Adjusted Patient Days"/>
    <n v="212253.21"/>
    <n v="219663.95"/>
    <n v="0.875"/>
    <n v="0.72"/>
    <n v="0.77"/>
    <n v="0.4"/>
    <n v="16"/>
    <n v="0.72"/>
    <n v="0.75"/>
    <n v="0.79"/>
    <n v="0.91459999999999997"/>
    <n v="88.76"/>
    <n v="82235.880691012542"/>
    <n v="4803.4977039142841"/>
    <n v="2.3030626187439633"/>
  </r>
  <r>
    <s v="3523Providence Everett Medical Center226431670758 Post Partum Outpatient Clinics"/>
    <m/>
    <x v="1"/>
    <s v="NWR"/>
    <s v="WA"/>
    <n v="3523"/>
    <x v="1"/>
    <n v="2264"/>
    <s v="Obstetrics Clinic"/>
    <s v="Ambulatory Care Clinics"/>
    <s v="31670758 Post Partum Outpatient Clinics"/>
    <s v="Patient Visits"/>
    <n v="10676"/>
    <n v="11738"/>
    <n v="0.93330000000000002"/>
    <n v="0.83"/>
    <n v="0.92"/>
    <n v="0.2"/>
    <n v="16"/>
    <n v="1.02"/>
    <n v="1.53"/>
    <n v="2"/>
    <n v="0.89759999999999995"/>
    <n v="5.76"/>
    <n v="-408332.22673415602"/>
    <n v="-7994"/>
    <n v="-3.8329206239893301"/>
  </r>
  <r>
    <s v="3523Providence Everett Medical Center226431670751, Maternal Fetal Medicine Clinic"/>
    <m/>
    <x v="1"/>
    <s v="NWR"/>
    <s v="WA"/>
    <n v="3523"/>
    <x v="1"/>
    <n v="2264"/>
    <s v="Obstetrics Clinic"/>
    <s v="Ambulatory Care Clinics"/>
    <s v="31670751, Maternal Fetal Medicine Clinic"/>
    <s v="Patient Visits"/>
    <n v="10454"/>
    <n v="10562"/>
    <n v="0.86670000000000003"/>
    <n v="0.94"/>
    <n v="1.05"/>
    <n v="0.26669999999999999"/>
    <n v="16"/>
    <n v="1.02"/>
    <n v="1.53"/>
    <n v="2"/>
    <n v="0.85370000000000001"/>
    <n v="6.27"/>
    <n v="-318635.201107701"/>
    <n v="-5852"/>
    <n v="-2.8057070987622801"/>
  </r>
  <r>
    <s v="3523Providence Everett Medical Center521131684400, Environmental Services"/>
    <m/>
    <x v="1"/>
    <s v="NWR"/>
    <s v="WA"/>
    <n v="3523"/>
    <x v="1"/>
    <n v="5211"/>
    <s v="Environmental Services"/>
    <s v="Environmental Services"/>
    <s v="31684400, Environmental Services"/>
    <s v="1000 Net Sq Ft Cleaned"/>
    <n v="1369.97"/>
    <n v="1369.97"/>
    <n v="0.73329999999999995"/>
    <n v="176.34"/>
    <n v="184.01"/>
    <n v="0.33329999999999999"/>
    <n v="16"/>
    <n v="180.93"/>
    <n v="184.26"/>
    <n v="203.29"/>
    <n v="0.89900000000000002"/>
    <n v="134.82"/>
    <n v="6694.3285469572202"/>
    <n v="404"/>
    <n v="0.193488935701396"/>
  </r>
  <r>
    <s v="3523Providence Everett Medical Center126031662900, Pediatric Acute"/>
    <m/>
    <x v="1"/>
    <s v="NWR"/>
    <s v="WA"/>
    <n v="3523"/>
    <x v="1"/>
    <n v="1260"/>
    <s v="Pediatric Acute Care Unit"/>
    <s v="Nursing Services"/>
    <s v="31662900, Pediatric Acute"/>
    <s v="Equivalent Patient Day"/>
    <n v="1478.8"/>
    <n v="1795"/>
    <n v="0.26669999999999999"/>
    <n v="14.3"/>
    <n v="13.88"/>
    <n v="0.3846"/>
    <n v="16"/>
    <n v="13.37"/>
    <n v="13.69"/>
    <n v="14.13"/>
    <n v="0.92110000000000003"/>
    <n v="13"/>
    <n v="21217.058950316201"/>
    <n v="436"/>
    <n v="0.20885925613256301"/>
  </r>
  <r>
    <s v="2687Providence Holy Cross Medical Center345072076700 HOSP Ultrasound"/>
    <m/>
    <x v="2"/>
    <s v="CA"/>
    <s v="CA"/>
    <n v="2687"/>
    <x v="4"/>
    <n v="3450"/>
    <s v="Ultrasound"/>
    <s v="Imaging Services"/>
    <s v="72076700 HOSP Ultrasound"/>
    <s v="APC Relative Weight"/>
    <n v="40660.89"/>
    <n v="48750.559999999998"/>
    <n v="0.6"/>
    <n v="0.39"/>
    <n v="0.28999999999999998"/>
    <n v="0"/>
    <n v="16"/>
    <n v="0.42"/>
    <n v="0.46"/>
    <n v="0.47"/>
    <n v="0.92700000000000005"/>
    <n v="7.24"/>
    <n v="-456119.03462283901"/>
    <n v="-9091"/>
    <n v="-4.3586078520302598"/>
  </r>
  <r>
    <s v="3851Providence Holy Family Hospital522136583500, LAUNDRY AND LINEN"/>
    <m/>
    <x v="4"/>
    <s v="PHC"/>
    <s v="WA"/>
    <n v="3851"/>
    <x v="11"/>
    <n v="5221"/>
    <s v="Laundry and Linen Distribution Only"/>
    <s v="Environmental Services"/>
    <s v="36583500, LAUNDRY AND LINEN"/>
    <s v="100 Lbs Clean Laundry Distributed"/>
    <n v="11876.71"/>
    <n v="12280.84"/>
    <n v="0.5333"/>
    <n v="0.32"/>
    <n v="0.32"/>
    <n v="0.4667"/>
    <n v="16"/>
    <n v="0.22"/>
    <n v="0.26"/>
    <n v="0.32"/>
    <n v="0.87519999999999998"/>
    <n v="2.15"/>
    <n v="13505.8171906513"/>
    <n v="836"/>
    <n v="0.40078871279739903"/>
  </r>
  <r>
    <s v="3528Providence Hood River Memorial Hospital191056087200, NURSING SERVICE ADMIN"/>
    <m/>
    <x v="3"/>
    <s v="OR"/>
    <s v="OR"/>
    <n v="3528"/>
    <x v="12"/>
    <n v="1910"/>
    <s v="Nursing Administration"/>
    <s v="Nursing Services"/>
    <s v="56087200, NURSING SERVICE ADMIN"/>
    <s v="Nursing Division Employees"/>
    <n v="67"/>
    <n v="68"/>
    <n v="0.4"/>
    <n v="140.16999999999999"/>
    <n v="144.41999999999999"/>
    <n v="0.5333"/>
    <n v="16"/>
    <n v="109.53"/>
    <n v="115.73"/>
    <n v="136.80000000000001"/>
    <n v="0.86"/>
    <n v="5.49"/>
    <n v="118030.65999999995"/>
    <n v="2268.5116279069757"/>
    <n v="1.087650010982872"/>
  </r>
  <r>
    <s v="3528Providence Hood River Memorial Hospital335056075000 56075400 56075098 56089008 56089009, CLIN AND BLOOD COMBO"/>
    <m/>
    <x v="3"/>
    <s v="OR"/>
    <s v="OR"/>
    <n v="3528"/>
    <x v="12"/>
    <n v="3350"/>
    <s v="Laboratory Services: Clinical Operations and Blood Bank Combined"/>
    <s v="Laboratory Services"/>
    <s v="56075000 56075400 56075098 56089008 56089009, CLIN AND BLOOD COMBO"/>
    <s v="100 Billed Tests"/>
    <n v="1372.66"/>
    <n v="1104.44"/>
    <n v="0.5333"/>
    <n v="16.7"/>
    <n v="22.35"/>
    <n v="0.73329999999999995"/>
    <n v="16"/>
    <n v="17.34"/>
    <n v="17.98"/>
    <n v="19.86"/>
    <n v="0.88759999999999994"/>
    <n v="13.37"/>
    <n v="153054.68144667899"/>
    <n v="5513"/>
    <n v="2.64338532611271"/>
  </r>
  <r>
    <s v="4282Providence Kodiak Hospital521118984400, ENVIRONMENTAL SERVICES"/>
    <m/>
    <x v="0"/>
    <s v="AK"/>
    <s v="AK"/>
    <n v="4282"/>
    <x v="5"/>
    <n v="5211"/>
    <s v="Environmental Services"/>
    <s v="Environmental Services"/>
    <s v="18984400, ENVIRONMENTAL SERVICES"/>
    <s v="1000 Net Sq Ft Cleaned"/>
    <n v="113.65"/>
    <n v="113.65"/>
    <n v="0.33329999999999999"/>
    <n v="150.97999999999999"/>
    <n v="161.79"/>
    <n v="0.4"/>
    <n v="16"/>
    <n v="144.91"/>
    <n v="152.69"/>
    <n v="172.36"/>
    <n v="0.90080000000000005"/>
    <n v="9.81"/>
    <n v="25360.151094119799"/>
    <n v="1196"/>
    <n v="0.57366201813567497"/>
  </r>
  <r>
    <s v="3532Providence Little Company of Mary Hospital183076287235 01830 CENTRAL PATIENT MONITORING"/>
    <m/>
    <x v="2"/>
    <s v="CA"/>
    <s v="CA"/>
    <n v="3532"/>
    <x v="13"/>
    <n v="1830"/>
    <s v="Centralized Telemetry"/>
    <s v="Nursing Services"/>
    <s v="76287235 01830 CENTRAL PATIENT MONITORING"/>
    <s v="Telemetry Days Supported"/>
    <n v="35500"/>
    <n v="36749"/>
    <n v="0.66669999999999996"/>
    <n v="0.94"/>
    <n v="0.48"/>
    <n v="0.1333"/>
    <n v="16"/>
    <n v="0.55000000000000004"/>
    <n v="0.59"/>
    <n v="0.64"/>
    <n v="0.91059999999999997"/>
    <n v="9.36"/>
    <n v="-84807.308926082696"/>
    <n v="-4288"/>
    <n v="-2.05610751534818"/>
  </r>
  <r>
    <s v="3532Providence Little Company of Mary Hospital424176275930 04241 CARDIAC REHAB"/>
    <m/>
    <x v="2"/>
    <s v="CA"/>
    <s v="CA"/>
    <n v="3532"/>
    <x v="13"/>
    <n v="4241"/>
    <s v="Cardiac Rehabilitation Services"/>
    <s v="Cardiology and Vascular Services Series"/>
    <s v="76275930 04241 CARDIAC REHAB"/>
    <s v="Patient Visits"/>
    <n v="5118"/>
    <n v="15612"/>
    <m/>
    <m/>
    <n v="0.83"/>
    <m/>
    <n v="16"/>
    <n v="0.54"/>
    <n v="0.62"/>
    <n v="0.68"/>
    <n v="0.84430000000000005"/>
    <n v="7.41"/>
    <n v="171142.74539133799"/>
    <n v="3991"/>
    <n v="1.9133054791341799"/>
  </r>
  <r>
    <s v="3532Providence Little Company of Mary Hospital591076284200 05910 SECURITY"/>
    <m/>
    <x v="2"/>
    <s v="CA"/>
    <s v="CA"/>
    <n v="3532"/>
    <x v="13"/>
    <n v="5910"/>
    <s v="Security"/>
    <s v="Other Support Services"/>
    <s v="76284200 05910 SECURITY"/>
    <s v="1000 Gross Square Feet Patrolled"/>
    <n v="1200"/>
    <n v="1446.04"/>
    <n v="0.4"/>
    <n v="35.479999999999997"/>
    <n v="30.96"/>
    <n v="1"/>
    <n v="16"/>
    <n v="11.36"/>
    <n v="12.3"/>
    <n v="15.39"/>
    <n v="0.91410000000000002"/>
    <n v="23.55"/>
    <n v="966677.18171486806"/>
    <n v="29661"/>
    <n v="14.220897433866"/>
  </r>
  <r>
    <s v="3529Providence Milwaukie Hospital481555077700, PHYSICAL THERAPY"/>
    <m/>
    <x v="3"/>
    <s v="OR"/>
    <s v="OR"/>
    <n v="3529"/>
    <x v="15"/>
    <n v="4815"/>
    <s v="Physical Therapy: Inpatient and Outpatient"/>
    <s v="Rehabilitation Services"/>
    <s v="55077700, PHYSICAL THERAPY"/>
    <s v="1000 Baseline Billed Time Units (BTUs)"/>
    <n v="730.89"/>
    <n v="917.25"/>
    <n v="0.66669999999999996"/>
    <n v="24.71"/>
    <n v="20.403357863177977"/>
    <n v="0"/>
    <n v="16"/>
    <n v="22.55"/>
    <n v="23.5"/>
    <n v="24.76"/>
    <n v="0.90559999999999996"/>
    <n v="9.9"/>
    <n v="-108396.69964664314"/>
    <n v="-3136.4785777385168"/>
    <n v="-1.503801398925309"/>
  </r>
  <r>
    <s v="3529Providence Milwaukie Hospital591055084200, SECURITY"/>
    <m/>
    <x v="3"/>
    <s v="OR"/>
    <s v="OR"/>
    <n v="3529"/>
    <x v="15"/>
    <n v="5910"/>
    <s v="Security"/>
    <s v="Other Support Services"/>
    <s v="55084200, SECURITY"/>
    <s v="1000 Gross Square Feet Patrolled"/>
    <n v="838.58"/>
    <n v="838.58"/>
    <n v="0.4667"/>
    <n v="10.94"/>
    <n v="10.94"/>
    <n v="0.33329999999999999"/>
    <n v="16"/>
    <n v="8.67"/>
    <n v="11.69"/>
    <n v="17.68"/>
    <n v="0.86619999999999997"/>
    <n v="5.09"/>
    <n v="-16061.4747530894"/>
    <n v="-701"/>
    <n v="-0.33611496364835203"/>
  </r>
  <r>
    <s v="3529Providence Milwaukie Hospital481255078090, CLACKAMAS REHAB"/>
    <m/>
    <x v="3"/>
    <s v="OR"/>
    <s v="OR"/>
    <n v="3529"/>
    <x v="15"/>
    <n v="4812"/>
    <s v="Physical Therapy: Outpatient"/>
    <s v="Rehabilitation Services"/>
    <s v="55078090, CLACKAMAS REHAB"/>
    <s v="1000 Baseline Billed Time Units (BTUs)"/>
    <n v="263.01"/>
    <n v="311.88"/>
    <n v="0.5333"/>
    <n v="29.58"/>
    <n v="27.774336283185843"/>
    <n v="0.26669999999999999"/>
    <n v="16"/>
    <n v="22.72"/>
    <n v="23.61"/>
    <n v="24.44"/>
    <n v="0.80800000000000005"/>
    <n v="4.22"/>
    <n v="55262.156702970329"/>
    <n v="1607.3925742574265"/>
    <n v="0.77067295117103451"/>
  </r>
  <r>
    <s v="3530Providence Newberg Hospital521157084400, ENVIRONMENTAL SERVICES"/>
    <m/>
    <x v="3"/>
    <s v="OR"/>
    <s v="OR"/>
    <n v="3530"/>
    <x v="17"/>
    <n v="5211"/>
    <s v="Environmental Services"/>
    <s v="Environmental Services"/>
    <s v="57084400, ENVIRONMENTAL SERVICES"/>
    <s v="1000 Net Sq Ft Cleaned"/>
    <n v="118.32"/>
    <n v="119.47"/>
    <n v="0.5333"/>
    <n v="253.8"/>
    <n v="225.67"/>
    <n v="1"/>
    <n v="16"/>
    <n v="149.34"/>
    <n v="159.97"/>
    <n v="177.2"/>
    <n v="0.88180000000000003"/>
    <n v="14.68"/>
    <n v="153903.72523247896"/>
    <n v="8901.3143569970489"/>
    <n v="4.2677826902224911"/>
  </r>
  <r>
    <s v="3531Providence Medford Medical Center511159083410, NUTRITION SERVICES"/>
    <m/>
    <x v="3"/>
    <s v="OR"/>
    <s v="OR"/>
    <n v="3531"/>
    <x v="29"/>
    <n v="5111"/>
    <s v="Clinical Nutrition Services"/>
    <s v="Food and Nutrition Services"/>
    <s v="59083410, NUTRITION SERVICES"/>
    <s v="Total Medical Nutritional Therapy Interventions"/>
    <n v="8017"/>
    <n v="9413"/>
    <n v="0.6"/>
    <n v="0.44"/>
    <n v="0.53"/>
    <n v="0.5"/>
    <n v="16"/>
    <n v="0.4"/>
    <n v="0.44"/>
    <n v="0.53"/>
    <n v="0.9113"/>
    <n v="2.62"/>
    <n v="25999.864967752401"/>
    <n v="920"/>
    <n v="0.440948353400264"/>
  </r>
  <r>
    <s v="3527Providence Portland Medical Center127652261760, PERINATAL SPECIAL CARE UNIT"/>
    <m/>
    <x v="3"/>
    <s v="OR"/>
    <s v="OR"/>
    <n v="3527"/>
    <x v="18"/>
    <n v="1276"/>
    <s v="High Risk Obstetrical Unit"/>
    <s v="Nursing Services"/>
    <s v="52261760, PERINATAL SPECIAL CARE UNIT"/>
    <s v="Equivalent Patient Day"/>
    <n v="289"/>
    <n v="1706"/>
    <n v="0.4667"/>
    <n v="4.51"/>
    <n v="9.1"/>
    <n v="0.35709999999999997"/>
    <n v="16"/>
    <n v="8.9"/>
    <n v="9.09"/>
    <n v="10.46"/>
    <n v="0.84840000000000004"/>
    <n v="8.8000000000000007"/>
    <n v="4025.8167084706902"/>
    <n v="76"/>
    <n v="3.62413441187961E-2"/>
  </r>
  <r>
    <s v="3852Providence Sacred Heart Medical Center522034583500, LAUNDRY AND LINEN"/>
    <m/>
    <x v="4"/>
    <s v="PHC"/>
    <s v="WA"/>
    <n v="3852"/>
    <x v="9"/>
    <n v="5220"/>
    <s v="Laundry and Linen In-house Reprocessing"/>
    <s v="Environmental Services"/>
    <s v="34583500, LAUNDRY AND LINEN"/>
    <s v="100 Lbs Laundry Processed"/>
    <n v="60820.7"/>
    <n v="61341.19"/>
    <n v="0.73329999999999995"/>
    <n v="1.4"/>
    <n v="1.43"/>
    <n v="0.69230000000000003"/>
    <n v="16"/>
    <n v="1.1299999999999999"/>
    <n v="1.17"/>
    <n v="1.24"/>
    <n v="0.87570000000000003"/>
    <n v="48.3"/>
    <n v="340196.70401848701"/>
    <n v="18783"/>
    <n v="9.0055813578303194"/>
  </r>
  <r>
    <s v="3852Providence Sacred Heart Medical Center307134574704, STERILE PROCESSING"/>
    <m/>
    <x v="4"/>
    <s v="PHC"/>
    <s v="WA"/>
    <n v="3852"/>
    <x v="9"/>
    <n v="3071"/>
    <s v="Central Sterile Services - Reprocessing Only"/>
    <s v="Surgical Services"/>
    <s v="34574704, STERILE PROCESSING"/>
    <s v="100 Items Processed"/>
    <n v="2363.42"/>
    <n v="2463.9699999999998"/>
    <n v="0.6"/>
    <n v="27.08"/>
    <n v="26.37"/>
    <n v="0.85709999999999997"/>
    <n v="16"/>
    <n v="19.149999999999999"/>
    <n v="19.73"/>
    <n v="19.989999999999998"/>
    <n v="0.88770000000000004"/>
    <n v="35.200000000000003"/>
    <n v="371840.94654259703"/>
    <n v="18653"/>
    <n v="8.9430401537661908"/>
  </r>
  <r>
    <s v="3533Providence San Pedro Peninsula Hospital471077263401,78400 SPH PSYCH SERVICES"/>
    <m/>
    <x v="2"/>
    <s v="CA"/>
    <s v="CA"/>
    <n v="3533"/>
    <x v="14"/>
    <n v="4710"/>
    <s v="Partial Hospitalization"/>
    <s v="Psychiatry and Psychological Services"/>
    <s v="77263401,78400 SPH PSYCH SERVICES"/>
    <s v="Patient Sessions"/>
    <n v="7277"/>
    <n v="6029"/>
    <n v="0.6"/>
    <n v="1.28"/>
    <n v="1.97"/>
    <n v="0.5"/>
    <n v="16"/>
    <n v="1.48"/>
    <n v="1.59"/>
    <n v="1.97"/>
    <n v="0.92100000000000004"/>
    <n v="6.2"/>
    <n v="120147.9543973941"/>
    <n v="2487.5352877307268"/>
    <n v="1.1926620739946909"/>
  </r>
  <r>
    <s v="3533Providence San Pedro Peninsula Hospital139077263400 PSYCHIATRIC"/>
    <m/>
    <x v="2"/>
    <s v="CA"/>
    <s v="CA"/>
    <n v="3533"/>
    <x v="14"/>
    <n v="1390"/>
    <s v="Behavioral Health Unit"/>
    <s v="Nursing Services"/>
    <s v="77263400 PSYCHIATRIC"/>
    <s v="Patient Days"/>
    <n v="6076"/>
    <n v="7320"/>
    <n v="0.6"/>
    <n v="10.32"/>
    <n v="9.91"/>
    <n v="0.4"/>
    <n v="16"/>
    <n v="8.75"/>
    <n v="9.39"/>
    <n v="9.98"/>
    <n v="0.91539999999999999"/>
    <n v="38.08"/>
    <n v="174384.68602001801"/>
    <n v="4336"/>
    <n v="2.0790530730871701"/>
  </r>
  <r>
    <s v="2719Providence St Joseph Medical Center426071078710 - 04260 - PSJMC VASCULAR DIAGNOSTIC CTR"/>
    <m/>
    <x v="2"/>
    <s v="CA"/>
    <s v="CA"/>
    <n v="2719"/>
    <x v="6"/>
    <n v="4260"/>
    <s v="Vascular Laboratory"/>
    <s v="Cardiology and Vascular Services Series"/>
    <s v="71078710 - 04260 - PSJMC VASCULAR DIAGNOSTIC CTR"/>
    <s v="APC Relative Weight"/>
    <n v="10232.86"/>
    <n v="10301.48"/>
    <n v="0.5333"/>
    <n v="0.68"/>
    <n v="0.55000000000000004"/>
    <n v="0.1333"/>
    <n v="16"/>
    <n v="0.56000000000000005"/>
    <n v="0.61"/>
    <n v="0.67"/>
    <n v="0.93189999999999995"/>
    <n v="2.91"/>
    <n v="-38763.6823904794"/>
    <n v="-674"/>
    <n v="-0.323019364259097"/>
  </r>
  <r>
    <s v="2719Providence St Joseph Medical Center5111PSJMC Nutritonal Therapy (U,N)"/>
    <m/>
    <x v="2"/>
    <s v="CA"/>
    <s v="CA"/>
    <n v="2719"/>
    <x v="6"/>
    <n v="5111"/>
    <s v="Clinical Nutrition Services"/>
    <s v="Food and Nutrition Services"/>
    <s v="PSJMC Nutritonal Therapy (U,N)"/>
    <s v="Total Medical Nutritional Therapy Interventions"/>
    <n v="46973"/>
    <n v="60991"/>
    <n v="0.58260000000000001"/>
    <n v="0.39"/>
    <n v="0.32"/>
    <n v="0.39929999999999999"/>
    <n v="16"/>
    <n v="0.27"/>
    <n v="0.28999999999999998"/>
    <n v="0.35"/>
    <n v="0.88739999999999997"/>
    <n v="10.6"/>
    <n v="73303.571417451196"/>
    <n v="2177"/>
    <n v="1.0436403383011801"/>
  </r>
  <r>
    <s v="2719Providence St Joseph Medical Center191071087200 - 01910 - PSJMC NURSING ADMINISTRATION"/>
    <m/>
    <x v="2"/>
    <s v="CA"/>
    <s v="CA"/>
    <n v="2719"/>
    <x v="6"/>
    <n v="1910"/>
    <s v="Nursing Administration"/>
    <s v="Nursing Services"/>
    <s v="71087200 - 01910 - PSJMC NURSING ADMINISTRATION"/>
    <s v="Nursing Division Employees"/>
    <m/>
    <n v="846"/>
    <n v="0.6"/>
    <n v="77.44"/>
    <n v="95.71"/>
    <n v="0.57140000000000002"/>
    <n v="16"/>
    <n v="50.26"/>
    <n v="63.86"/>
    <n v="76.680000000000007"/>
    <n v="0.89970000000000006"/>
    <n v="30.44"/>
    <n v="187080.026025153"/>
    <n v="3440"/>
    <n v="1.6494662997013401"/>
  </r>
  <r>
    <s v="2719Providence St Joseph Medical Center412071077300 - 04120 - PSJMC PULMONARY FUNCTION"/>
    <m/>
    <x v="2"/>
    <s v="CA"/>
    <s v="CA"/>
    <n v="2719"/>
    <x v="6"/>
    <n v="4120"/>
    <s v="Pulmonary Diagnostics"/>
    <s v="Respiratory and Pulmonary Care Services"/>
    <s v="71077300 - 04120 - PSJMC PULMONARY FUNCTION"/>
    <s v="CMI Weighted Total Facility Discharges"/>
    <n v="24808.68"/>
    <n v="26958.720000000001"/>
    <n v="0.4667"/>
    <n v="0.44"/>
    <n v="0.3"/>
    <n v="1"/>
    <n v="16"/>
    <n v="0.16"/>
    <n v="0.17"/>
    <n v="0.19"/>
    <n v="0.92579999999999996"/>
    <n v="4.17"/>
    <n v="148780.76760513301"/>
    <n v="3747"/>
    <n v="1.79655500215009"/>
  </r>
  <r>
    <s v="2719Providence St Joseph Medical Center335071075000 - 03350 - PSJMC LABORATORY CLINICAL"/>
    <m/>
    <x v="2"/>
    <s v="CA"/>
    <s v="CA"/>
    <n v="2719"/>
    <x v="6"/>
    <n v="3350"/>
    <s v="Laboratory Services: Clinical Operations and Blood Bank Combined"/>
    <s v="Laboratory Services"/>
    <s v="71075000 - 03350 - PSJMC LABORATORY CLINICAL"/>
    <s v="100 Billed Tests"/>
    <n v="18681.45"/>
    <n v="14283.06"/>
    <n v="0.66669999999999996"/>
    <n v="8.5"/>
    <n v="11.67"/>
    <n v="0.4667"/>
    <n v="16"/>
    <n v="10.31"/>
    <n v="11.22"/>
    <n v="12.34"/>
    <n v="0.90669999999999995"/>
    <n v="88.41"/>
    <n v="284423.34935425402"/>
    <n v="7650"/>
    <n v="3.6680095547247502"/>
  </r>
  <r>
    <s v="2719Providence St Joseph Medical Center123871061730 - 01238 - PSJMC 6 NE"/>
    <m/>
    <x v="2"/>
    <s v="CA"/>
    <s v="CA"/>
    <n v="2719"/>
    <x v="6"/>
    <n v="1238"/>
    <s v="Oncology Acute Care Unit"/>
    <s v="Nursing Services"/>
    <s v="71061730 - 01238 - PSJMC 6 NE"/>
    <s v="Equivalent Patient Day"/>
    <m/>
    <n v="9341.5300000000007"/>
    <n v="0.6"/>
    <m/>
    <n v="11.24"/>
    <n v="0.8"/>
    <n v="16"/>
    <n v="9.76"/>
    <n v="10.1"/>
    <n v="10.77"/>
    <n v="0.88690000000000002"/>
    <n v="56.91"/>
    <n v="560704.84469220403"/>
    <n v="12316"/>
    <n v="5.9049837100061602"/>
  </r>
  <r>
    <s v="3848Providence St Patrick Hospital &amp; Health Science Ce141046064400, IP REHAB FACILITY"/>
    <m/>
    <x v="4"/>
    <s v="WMR"/>
    <s v="MT"/>
    <n v="3848"/>
    <x v="21"/>
    <n v="1410"/>
    <s v="Acute Rehabilitation Unit"/>
    <s v="Nursing Services"/>
    <s v="46064400, IP REHAB FACILITY"/>
    <s v="Equivalent Patient Day"/>
    <n v="2392"/>
    <n v="2407"/>
    <n v="0.26669999999999999"/>
    <n v="11"/>
    <n v="10.94"/>
    <n v="0.5"/>
    <n v="16"/>
    <n v="10.34"/>
    <n v="10.69"/>
    <n v="10.94"/>
    <n v="0.90920000000000001"/>
    <n v="13.92"/>
    <n v="23440.677435869799"/>
    <n v="732"/>
    <n v="0.35116606512564502"/>
  </r>
  <r>
    <s v="3524Providence St Peter Hospital201033070100, EMERGENCY SERVICES"/>
    <m/>
    <x v="1"/>
    <s v="SWR"/>
    <s v="WA"/>
    <n v="3524"/>
    <x v="2"/>
    <n v="2010"/>
    <s v="Emergency Department"/>
    <s v="Emergency Services"/>
    <s v="33070100, EMERGENCY SERVICES"/>
    <s v="Patient Visits"/>
    <n v="67388"/>
    <n v="67257"/>
    <n v="0.5333"/>
    <n v="2.48"/>
    <n v="2.5499999999999998"/>
    <n v="0.1333"/>
    <n v="16"/>
    <n v="2.7"/>
    <n v="2.77"/>
    <n v="2.91"/>
    <n v="0.872"/>
    <n v="94.7"/>
    <n v="-676929.45827363501"/>
    <n v="-16133"/>
    <n v="-7.7351327717401102"/>
  </r>
  <r>
    <s v="3524Providence St Peter Hospital481233078003, PT/OT OUTPATIENT"/>
    <m/>
    <x v="1"/>
    <s v="SWR"/>
    <s v="WA"/>
    <n v="3524"/>
    <x v="2"/>
    <n v="4812"/>
    <s v="Physical Therapy: Outpatient"/>
    <s v="Rehabilitation Services"/>
    <s v="33078003, PT/OT OUTPATIENT"/>
    <s v="1000 Baseline Billed Time Units (BTUs)"/>
    <n v="918.42"/>
    <n v="1144.52"/>
    <n v="0.5333"/>
    <n v="19.739999999999998"/>
    <n v="19.89"/>
    <n v="0.1333"/>
    <n v="16"/>
    <n v="21.84"/>
    <n v="22.14"/>
    <n v="22.34"/>
    <n v="0.84870000000000001"/>
    <n v="12.9"/>
    <n v="-129938.82773259901"/>
    <n v="-2952"/>
    <n v="-1.41511889450106"/>
  </r>
  <r>
    <s v="3524Providence St Peter Hospital191033087200-33087203 NURSING ADMINISTRATION"/>
    <m/>
    <x v="1"/>
    <s v="SWR"/>
    <s v="WA"/>
    <n v="3524"/>
    <x v="2"/>
    <n v="1910"/>
    <s v="Nursing Administration"/>
    <s v="Nursing Services"/>
    <s v="33087200-33087203 NURSING ADMINISTRATION"/>
    <s v="Nursing Division Employees"/>
    <n v="1146"/>
    <n v="903"/>
    <n v="0.4667"/>
    <n v="53.74"/>
    <n v="66.040000000000006"/>
    <n v="0.78569999999999995"/>
    <n v="16"/>
    <n v="44.07"/>
    <n v="48.83"/>
    <n v="53.6"/>
    <n v="0.89470000000000005"/>
    <n v="25.1"/>
    <n v="110170.45147512099"/>
    <n v="3068"/>
    <n v="1.47100795354084"/>
  </r>
  <r>
    <s v="3524Providence St Peter Hospital307033074701, STERILE PROCESSING"/>
    <m/>
    <x v="1"/>
    <s v="SWR"/>
    <s v="WA"/>
    <n v="3524"/>
    <x v="2"/>
    <n v="3070"/>
    <s v="Sterile Processing"/>
    <s v="Surgical Services"/>
    <s v="33074701, STERILE PROCESSING"/>
    <s v="100 Items Processed"/>
    <n v="1627.65"/>
    <n v="2036.35"/>
    <n v="0.5333"/>
    <n v="22.8"/>
    <n v="19.91"/>
    <n v="0.4667"/>
    <n v="16"/>
    <n v="13.2"/>
    <n v="14.56"/>
    <n v="20"/>
    <n v="0.92889999999999995"/>
    <n v="20.99"/>
    <n v="270669.133252042"/>
    <n v="11860"/>
    <n v="5.6864214891521501"/>
  </r>
  <r>
    <s v="3535Providence St Vincent Medical Center343053076600, MRI"/>
    <m/>
    <x v="3"/>
    <s v="OR"/>
    <s v="OR"/>
    <n v="3535"/>
    <x v="22"/>
    <n v="3430"/>
    <s v="Magnetic Resonance Imaging"/>
    <s v="Imaging Services"/>
    <s v="53076600, MRI"/>
    <s v="APC Relative Weight"/>
    <n v="71424.98"/>
    <n v="72943.759999999995"/>
    <n v="0.8"/>
    <n v="0.35"/>
    <n v="0.35"/>
    <n v="0.4"/>
    <n v="16"/>
    <n v="0.33"/>
    <n v="0.35"/>
    <n v="0.36"/>
    <n v="0.89710000000000001"/>
    <n v="13.6"/>
    <n v="-3767.62282728332"/>
    <n v="-93"/>
    <n v="-4.4684322591257E-2"/>
  </r>
  <r>
    <s v="3535Providence St Vincent Medical Center126053062900, IP PEDIATRICS - 4E"/>
    <m/>
    <x v="3"/>
    <s v="OR"/>
    <s v="OR"/>
    <n v="3535"/>
    <x v="22"/>
    <n v="1260"/>
    <s v="Pediatric Acute Care Unit"/>
    <s v="Nursing Services"/>
    <s v="53062900, IP PEDIATRICS - 4E"/>
    <s v="Equivalent Patient Day"/>
    <n v="2437.63"/>
    <n v="2504"/>
    <n v="0.4667"/>
    <n v="14.75"/>
    <n v="13.83"/>
    <n v="0.33329999999999999"/>
    <n v="16"/>
    <n v="13.08"/>
    <n v="13.89"/>
    <n v="14.17"/>
    <n v="0.87390000000000001"/>
    <n v="19.05"/>
    <n v="-3098.9926092794499"/>
    <n v="-67"/>
    <n v="-3.1960380134844299E-2"/>
  </r>
  <r>
    <s v="3848Providence St Patrick Hospital &amp; Health Science Ce335046075000, CLINICAL LABORATORY SERVICES"/>
    <m/>
    <x v="4"/>
    <s v="WMR"/>
    <s v="MT"/>
    <n v="3848"/>
    <x v="21"/>
    <n v="3350"/>
    <s v="Laboratory Services: Clinical Operations and Blood Bank Combined"/>
    <s v="Laboratory Services"/>
    <s v="46075000, CLINICAL LABORATORY SERVICES"/>
    <s v="100 Billed Tests"/>
    <n v="4457.57"/>
    <n v="5677.65"/>
    <n v="0.4667"/>
    <n v="19.48"/>
    <n v="19.440000000000001"/>
    <n v="1"/>
    <n v="16"/>
    <n v="12.7"/>
    <n v="13.42"/>
    <n v="13.96"/>
    <n v="0.93179999999999996"/>
    <n v="56.96"/>
    <n v="972879.43167935195"/>
    <n v="37031"/>
    <n v="17.754537148233599"/>
  </r>
  <r>
    <s v="4283Providence St. John's Health Center191073587200, SJHC NURSING ADMINISTRATION"/>
    <m/>
    <x v="2"/>
    <s v="CA"/>
    <s v="CA"/>
    <n v="4283"/>
    <x v="23"/>
    <n v="1910"/>
    <s v="Nursing Administration"/>
    <s v="Nursing Services"/>
    <s v="73587200, SJHC NURSING ADMINISTRATION"/>
    <s v="Nursing Division Employees"/>
    <m/>
    <n v="815"/>
    <m/>
    <m/>
    <n v="33.49"/>
    <m/>
    <n v="16"/>
    <n v="50.26"/>
    <n v="63.86"/>
    <n v="76.680000000000007"/>
    <n v="0.88539999999999996"/>
    <n v="8.4700000000000006"/>
    <n v="-1685979.1964084029"/>
    <n v="-27955.217980573751"/>
    <n v="-13.403278506292253"/>
  </r>
  <r>
    <s v="4283Providence St. John's Health Center553073584700, SJHC COMMUNICATIONS PBX (U)"/>
    <m/>
    <x v="2"/>
    <s v="CA"/>
    <s v="CA"/>
    <n v="4283"/>
    <x v="23"/>
    <n v="5530"/>
    <s v="Call Center / Switchboard"/>
    <s v="Information Technology"/>
    <s v="73584700, SJHC COMMUNICATIONS PBX (U)"/>
    <s v="Adjusted Discharges"/>
    <m/>
    <n v="17316.55"/>
    <n v="0.49480000000000002"/>
    <m/>
    <n v="0.72"/>
    <n v="0.58879999999999999"/>
    <n v="16"/>
    <n v="0.56000000000000005"/>
    <n v="0.6"/>
    <n v="0.64"/>
    <n v="0.87980000000000003"/>
    <n v="6.81"/>
    <n v="42591.601480060497"/>
    <n v="2394"/>
    <n v="1.14790928894637"/>
  </r>
  <r>
    <s v="4283Providence St. John's Health Center583073587510, SJHC UTILIZATION REVIEW"/>
    <m/>
    <x v="2"/>
    <s v="CA"/>
    <s v="CA"/>
    <n v="4283"/>
    <x v="23"/>
    <n v="5830"/>
    <s v="Case Management / Utilization Management"/>
    <s v="Clinical Resource Management Services"/>
    <s v="73587510, SJHC UTILIZATION REVIEW"/>
    <s v="Total Cases"/>
    <n v="4943"/>
    <n v="4943"/>
    <n v="0.4667"/>
    <n v="1.29"/>
    <n v="1.35"/>
    <n v="0.47060000000000002"/>
    <n v="16"/>
    <n v="1"/>
    <n v="1.23"/>
    <n v="1.48"/>
    <n v="0.91220000000000001"/>
    <n v="14.02"/>
    <n v="8038.1735826395998"/>
    <n v="645.29408868669088"/>
    <n v="1.2375587835003901"/>
  </r>
  <r>
    <s v="4283Providence St. John's Health Center124073561770, SJHC ORTHO 5 MAIN (U)"/>
    <m/>
    <x v="2"/>
    <s v="CA"/>
    <s v="CA"/>
    <n v="4283"/>
    <x v="23"/>
    <n v="1240"/>
    <s v="Orthopedic Acute Care Unit"/>
    <s v="Nursing Services"/>
    <s v="73561770, SJHC ORTHO 5 MAIN (U)"/>
    <s v="Equivalent Patient Day"/>
    <m/>
    <n v="10280.25"/>
    <n v="0.5998"/>
    <m/>
    <n v="10.76"/>
    <n v="0.55840000000000001"/>
    <n v="16"/>
    <n v="10.42"/>
    <n v="10.5"/>
    <n v="10.7"/>
    <n v="0.88590000000000002"/>
    <n v="60.02"/>
    <n v="142356.912652628"/>
    <n v="3339"/>
    <n v="1.6006887534244001"/>
  </r>
  <r>
    <s v="4283Providence St. John's Health Center121073561700, SJHC MED SURG (U)"/>
    <m/>
    <x v="2"/>
    <s v="CA"/>
    <s v="CA"/>
    <n v="4283"/>
    <x v="23"/>
    <n v="1210"/>
    <s v="Medical/Surgical Acute Care Unit"/>
    <s v="Nursing Services"/>
    <s v="73561700, SJHC MED SURG (U)"/>
    <s v="Equivalent Patient Day"/>
    <m/>
    <n v="15278.5"/>
    <n v="0.58730000000000004"/>
    <m/>
    <n v="11.34"/>
    <n v="0.82569999999999999"/>
    <n v="16"/>
    <n v="9.09"/>
    <n v="9.6999999999999993"/>
    <n v="9.93"/>
    <n v="0.89449999999999996"/>
    <n v="93.11"/>
    <n v="1196423.1639803301"/>
    <n v="28519"/>
    <n v="13.673469635777201"/>
  </r>
  <r>
    <s v="3755Providence Tarzana Medical Center504072584650, BIO MED"/>
    <m/>
    <x v="2"/>
    <s v="CA"/>
    <s v="CA"/>
    <n v="3755"/>
    <x v="3"/>
    <n v="5040"/>
    <s v="Biomedical Engineering"/>
    <s v="Facility Services"/>
    <s v="72584650, BIO MED"/>
    <s v="100 Equipment and Devices Maintained"/>
    <n v="36.549999999999997"/>
    <n v="41"/>
    <n v="0.4667"/>
    <n v="157.82"/>
    <n v="117.68"/>
    <n v="0.25"/>
    <n v="16"/>
    <n v="117.68"/>
    <n v="126.68"/>
    <n v="144"/>
    <n v="0.88319999999999999"/>
    <n v="2.63"/>
    <n v="-12767.6662280459"/>
    <n v="-395"/>
    <n v="-0.18955785184552101"/>
  </r>
  <r>
    <s v="3755Providence Tarzana Medical Center3399Laboratory Services Administration (U,N)"/>
    <m/>
    <x v="2"/>
    <s v="CA"/>
    <s v="CA"/>
    <n v="3755"/>
    <x v="3"/>
    <n v="3399"/>
    <s v="Laboratory Services Administration"/>
    <s v="Laboratory Services"/>
    <s v="Laboratory Services Administration (U,N)"/>
    <s v="100 Billed Tests Supported"/>
    <n v="5141.96"/>
    <n v="4941.47"/>
    <n v="0.39300000000000002"/>
    <n v="2.1800000000000002"/>
    <n v="2.7"/>
    <n v="0.91139999999999999"/>
    <n v="16"/>
    <n v="0.66"/>
    <n v="1.05"/>
    <n v="1.2"/>
    <n v="0.85150000000000003"/>
    <n v="7.54"/>
    <n v="546614.04664056795"/>
    <n v="9633"/>
    <n v="4.6184792937935404"/>
  </r>
  <r>
    <s v="3849Providence Willamette Falls Medical Center591053584200, SECURITY"/>
    <m/>
    <x v="3"/>
    <s v="OR"/>
    <s v="OR"/>
    <n v="3849"/>
    <x v="7"/>
    <n v="5910"/>
    <s v="Security"/>
    <s v="Other Support Services"/>
    <s v="53584200, SECURITY"/>
    <s v="1000 Gross Square Feet Patrolled"/>
    <n v="1202.8499999999999"/>
    <n v="1202.8499999999999"/>
    <n v="0.26669999999999999"/>
    <n v="14.82"/>
    <n v="14.76"/>
    <n v="0.1875"/>
    <n v="16"/>
    <n v="15.47"/>
    <n v="16.54"/>
    <n v="19.239999999999998"/>
    <n v="0.92430000000000001"/>
    <n v="9.23"/>
    <n v="-49376.439253102901"/>
    <n v="-2274"/>
    <n v="-1.0900590808491"/>
  </r>
  <r>
    <s v="3849Providence Willamette Falls Medical Center521153584400, ENVIRONMENTAL SERVICES"/>
    <m/>
    <x v="3"/>
    <s v="OR"/>
    <s v="OR"/>
    <n v="3849"/>
    <x v="7"/>
    <n v="5211"/>
    <s v="Environmental Services"/>
    <s v="Environmental Services"/>
    <s v="53584400, ENVIRONMENTAL SERVICES"/>
    <s v="1000 Net Sq Ft Cleaned"/>
    <n v="307.81"/>
    <n v="307.81"/>
    <n v="0.5333"/>
    <n v="109.21"/>
    <n v="109.92"/>
    <n v="0"/>
    <n v="16"/>
    <n v="147.80000000000001"/>
    <n v="163.27000000000001"/>
    <n v="173.81"/>
    <n v="0.87270000000000003"/>
    <n v="18.64"/>
    <n v="-307479.33838151098"/>
    <n v="-18710"/>
    <n v="-8.9703747037143806"/>
  </r>
  <r>
    <s v="3930Swedish Ballard127021563800 FAMILY CHILDBIRTH CENTER"/>
    <m/>
    <x v="1"/>
    <s v="SHS"/>
    <s v="WA"/>
    <n v="3930"/>
    <x v="24"/>
    <n v="1270"/>
    <s v="Labor/Delivery/Recovery/Postpartum/Nursery"/>
    <s v="Nursing Services"/>
    <s v="21563800 FAMILY CHILDBIRTH CENTER"/>
    <s v="Neonate Deliveries"/>
    <n v="1114"/>
    <n v="1210"/>
    <n v="0.5333"/>
    <n v="57.64"/>
    <n v="55.46"/>
    <n v="7.1400000000000005E-2"/>
    <n v="16"/>
    <n v="59.96"/>
    <n v="62.78"/>
    <n v="68.69"/>
    <n v="0.88570000000000004"/>
    <n v="36.43"/>
    <n v="-513453.73325784702"/>
    <n v="-9785"/>
    <n v="-4.6914287688977696"/>
  </r>
  <r>
    <s v="3928Swedish Cherry Hill345022076700 ULTRASOUND"/>
    <m/>
    <x v="1"/>
    <s v="SHS"/>
    <s v="WA"/>
    <n v="3928"/>
    <x v="25"/>
    <n v="3450"/>
    <s v="Ultrasound"/>
    <s v="Imaging Services"/>
    <s v="22076700 ULTRASOUND"/>
    <s v="APC Relative Weight"/>
    <n v="18165.46"/>
    <n v="20105.77"/>
    <n v="0.5333"/>
    <n v="0.6"/>
    <n v="0.54"/>
    <n v="0.625"/>
    <n v="16"/>
    <n v="0.45"/>
    <n v="0.48"/>
    <n v="0.49"/>
    <n v="0.85470000000000002"/>
    <n v="6.06"/>
    <n v="79299.196762720996"/>
    <n v="1348"/>
    <n v="0.64627236735306004"/>
  </r>
  <r>
    <s v="3929Swedish Edmonds486123077800 IP SPEECH THERAPY"/>
    <m/>
    <x v="1"/>
    <s v="SHS"/>
    <s v="WA"/>
    <n v="3929"/>
    <x v="31"/>
    <n v="4861"/>
    <s v="Speech Language Pathology: Inpatient and Outpatient"/>
    <s v="Rehabilitation Services"/>
    <s v="23077800 IP SPEECH THERAPY"/>
    <s v="1000 Baseline Billed Time Units (BTUs)"/>
    <n v="168.11"/>
    <n v="197.5"/>
    <n v="0.5333"/>
    <n v="34.49"/>
    <n v="28.43"/>
    <n v="0.57140000000000002"/>
    <n v="16"/>
    <n v="23.39"/>
    <n v="23.57"/>
    <n v="27.23"/>
    <n v="0.90390000000000004"/>
    <n v="2.99"/>
    <n v="49445.030593479401"/>
    <n v="1086"/>
    <n v="0.52081030980999399"/>
  </r>
  <r>
    <s v="3929Swedish Edmonds1830Centralized Telemetry (N)"/>
    <m/>
    <x v="1"/>
    <s v="SHS"/>
    <s v="WA"/>
    <n v="3929"/>
    <x v="31"/>
    <n v="1830"/>
    <s v="Centralized Telemetry"/>
    <s v="Nursing Services"/>
    <s v="Centralized Telemetry (N)"/>
    <s v="Telemetry Days Supported"/>
    <n v="12416"/>
    <n v="14321"/>
    <n v="0.6"/>
    <n v="1.03"/>
    <n v="1.23"/>
    <n v="0.4667"/>
    <n v="16"/>
    <n v="0.73"/>
    <n v="0.8"/>
    <n v="1.23"/>
    <n v="0.86639999999999995"/>
    <n v="9.74"/>
    <n v="176422.480439565"/>
    <n v="7091"/>
    <n v="3.3999446851091801"/>
  </r>
  <r>
    <s v="3530Providence Newberg Hospital303057074300, SHORT STAY SURGICAL UNIT"/>
    <m/>
    <x v="3"/>
    <s v="OR"/>
    <s v="OR"/>
    <n v="3530"/>
    <x v="17"/>
    <n v="3030"/>
    <s v="Surgery Pre Op and Post Recovery Only"/>
    <s v="Surgical Services"/>
    <s v="57074300, SHORT STAY SURGICAL UNIT"/>
    <s v="100 Patient Observation Minutes"/>
    <n v="4826.7"/>
    <n v="5095.3"/>
    <n v="0.4667"/>
    <n v="4.93"/>
    <n v="4.498655623810178"/>
    <n v="0.64290000000000003"/>
    <n v="16"/>
    <n v="3.56"/>
    <n v="3.99"/>
    <n v="4.24"/>
    <n v="0.873"/>
    <n v="12.62"/>
    <n v="126321.9818442153"/>
    <n v="2968.7892325314997"/>
    <n v="1.4234018471167953"/>
  </r>
  <r>
    <s v="3927Swedish First Hill444021077103 EDMONDS CANCER PHARMACY"/>
    <m/>
    <x v="1"/>
    <s v="SHS"/>
    <s v="WA"/>
    <n v="3927"/>
    <x v="26"/>
    <n v="4440"/>
    <s v="Pharmacy Ambulatory/Clinic Services"/>
    <s v="Pharmacy Services"/>
    <s v="21077103 EDMONDS CANCER PHARMACY"/>
    <s v="Doses Dispensed"/>
    <n v="18798"/>
    <n v="20632"/>
    <n v="0.4667"/>
    <n v="0.37"/>
    <n v="0.28999999999999998"/>
    <n v="0.30769999999999997"/>
    <n v="16"/>
    <n v="0.26"/>
    <n v="0.28999999999999998"/>
    <n v="0.32"/>
    <n v="0.93600000000000005"/>
    <n v="3.04"/>
    <n v="-2620.1218729315601"/>
    <n v="-52"/>
    <n v="-2.4867029003769602E-2"/>
  </r>
  <r>
    <s v="3927Swedish First Hill341221076498 INTERVENTIONAL RADIOLOGY"/>
    <m/>
    <x v="1"/>
    <s v="SHS"/>
    <s v="WA"/>
    <n v="3927"/>
    <x v="26"/>
    <n v="3412"/>
    <s v="Interventional Radiology"/>
    <s v="Imaging Services"/>
    <s v="21076498 INTERVENTIONAL RADIOLOGY"/>
    <s v="APC Relative Weight"/>
    <n v="147010.73000000001"/>
    <n v="157546.95000000001"/>
    <n v="0.4667"/>
    <n v="0.18"/>
    <n v="0.2"/>
    <n v="0.47060000000000002"/>
    <n v="16"/>
    <n v="0.16"/>
    <n v="0.19"/>
    <n v="0.2"/>
    <n v="0.90590000000000004"/>
    <n v="16.34"/>
    <n v="56196.077563436498"/>
    <n v="1037"/>
    <n v="0.49721603598636199"/>
  </r>
  <r>
    <s v="3927Swedish First Hill301121074300 AMBULATORY/21074708 AMB PATIENT CHG"/>
    <m/>
    <x v="1"/>
    <s v="SHS"/>
    <s v="WA"/>
    <n v="3927"/>
    <x v="26"/>
    <n v="3011"/>
    <s v="Operating Room"/>
    <s v="Surgical Services"/>
    <s v="21074300 AMBULATORY/21074708 AMB PATIENT CHG"/>
    <s v="100 Operating Room Minutes"/>
    <n v="6257.74"/>
    <n v="6461.81"/>
    <n v="0.4622"/>
    <n v="11.14"/>
    <n v="11.86"/>
    <n v="0.64459999999999995"/>
    <n v="16"/>
    <n v="10.59"/>
    <n v="10.66"/>
    <n v="11.19"/>
    <n v="0.87929999999999997"/>
    <n v="41.91"/>
    <n v="357976.74618104298"/>
    <n v="9073"/>
    <n v="4.3502688917276702"/>
  </r>
  <r>
    <s v="3932Swedish Health Services Corp (S)309920586109 PERIO OPERATIVE ADMIN/20586123 SURGICAL RESOURCES"/>
    <m/>
    <x v="1"/>
    <s v="SHS"/>
    <s v="WA"/>
    <n v="3932"/>
    <x v="27"/>
    <n v="3099"/>
    <s v="Surgical Services Administration"/>
    <s v="Surgical Services"/>
    <s v="20586109 PERIO OPERATIVE ADMIN/20586123 SURGICAL RESOURCES"/>
    <s v="Cases Supported"/>
    <n v="28615"/>
    <n v="30787"/>
    <n v="0.4667"/>
    <n v="0.33"/>
    <n v="0.25"/>
    <m/>
    <n v="16"/>
    <n v="1.1000000000000001"/>
    <n v="1.1399999999999999"/>
    <n v="1.54"/>
    <n v="0.89300000000000002"/>
    <n v="4.1100000000000003"/>
    <n v="-1317602.73320785"/>
    <n v="-30730"/>
    <n v="-14.733818953583601"/>
  </r>
  <r>
    <s v="3932Swedish Health Services Corp (S)633020590301,20590302,20590303,20590304,20590305,20590306,26090300 Foundation"/>
    <m/>
    <x v="1"/>
    <s v="SHS"/>
    <s v="WA"/>
    <n v="3932"/>
    <x v="27"/>
    <n v="6330"/>
    <s v="Foundation"/>
    <s v="Community Outreach"/>
    <s v="20590301,20590302,20590303,20590304,20590305,20590306,26090300 Foundation"/>
    <s v="$1000 New Commitments Pledged"/>
    <n v="1748.69"/>
    <n v="4127.6499999999996"/>
    <n v="0.8"/>
    <n v="20.149999999999999"/>
    <n v="8.98"/>
    <n v="0.6"/>
    <n v="16"/>
    <n v="3.89"/>
    <n v="6.04"/>
    <n v="7.89"/>
    <n v="0.91439999999999999"/>
    <n v="19.48"/>
    <n v="636386.79938472004"/>
    <n v="13365"/>
    <n v="6.40770786664564"/>
  </r>
  <r>
    <s v="3531Providence Medford Medical Center487259077713, OP PHYSICAL THERAPY - NEURO"/>
    <m/>
    <x v="3"/>
    <s v="OR"/>
    <s v="OR"/>
    <n v="3531"/>
    <x v="29"/>
    <n v="4872"/>
    <s v="PT/OT/SLP Combined: Outpatient"/>
    <s v="Rehabilitation Services"/>
    <s v="59077713, OP PHYSICAL THERAPY - NEURO"/>
    <s v="1000 Baseline Billed Time Units (BTUs)"/>
    <n v="336.64"/>
    <n v="396.4"/>
    <n v="0.6"/>
    <n v="28.74"/>
    <n v="35.32"/>
    <n v="0.8"/>
    <n v="16"/>
    <n v="21.6"/>
    <n v="24.39"/>
    <n v="26.1"/>
    <n v="0.90100000000000002"/>
    <n v="7.47"/>
    <n v="149015.95641891201"/>
    <n v="4850"/>
    <n v="2.3251962395801602"/>
  </r>
  <r>
    <s v="2947Providence Alaska Medical Center4861Speech Therapy IP"/>
    <m/>
    <x v="0"/>
    <s v="AK"/>
    <s v="AK"/>
    <n v="2947"/>
    <x v="0"/>
    <n v="4861"/>
    <s v="Speech Language Pathology: Inpatient and Outpatient"/>
    <s v="Rehabilitation Services"/>
    <s v="Speech Therapy IP"/>
    <s v="1000 Baseline Billed Time Units (BTUs)"/>
    <n v="127.22"/>
    <n v="362.32"/>
    <n v="0.625"/>
    <n v="52.35"/>
    <n v="23.54"/>
    <n v="0.33329999999999999"/>
    <n v="17"/>
    <n v="22.75"/>
    <n v="24.04"/>
    <n v="27.38"/>
    <n v="0.92059999999999997"/>
    <n v="4.45"/>
    <n v="-8158.3592244647498"/>
    <n v="-180"/>
    <n v="-8.6322887536495904E-2"/>
  </r>
  <r>
    <s v="3525Providence Centralia Hospital581034083600-34083601 Social Work Services"/>
    <m/>
    <x v="1"/>
    <s v="SWR"/>
    <s v="WA"/>
    <n v="3525"/>
    <x v="10"/>
    <n v="5810"/>
    <s v="Social Work"/>
    <s v="Clinical Resource Management Services"/>
    <s v="34083600-34083601 Social Work Services"/>
    <s v="Social Work Cases"/>
    <n v="3375"/>
    <n v="5604"/>
    <n v="0.625"/>
    <n v="2.39"/>
    <n v="1.6"/>
    <n v="0.125"/>
    <n v="17"/>
    <n v="1.87"/>
    <n v="2.06"/>
    <n v="2.27"/>
    <n v="0.90620000000000001"/>
    <n v="4.76"/>
    <n v="-99885.778021419697"/>
    <n v="-2811"/>
    <n v="-1.34786526113486"/>
  </r>
  <r>
    <s v="3525Providence Centralia Hospital401034076453, Radiant Care Aberdeen"/>
    <m/>
    <x v="1"/>
    <s v="SWR"/>
    <s v="WA"/>
    <n v="3525"/>
    <x v="10"/>
    <n v="4010"/>
    <s v="Radiation Therapy (Oncology)"/>
    <s v="Radiation Therapy Services"/>
    <s v="34076453, Radiant Care Aberdeen"/>
    <s v="APC Relative Weight"/>
    <m/>
    <n v="22920.37"/>
    <n v="0.4375"/>
    <m/>
    <n v="0.27"/>
    <n v="6.6699999999999995E-2"/>
    <n v="17"/>
    <n v="0.35"/>
    <n v="0.35"/>
    <n v="0.39"/>
    <n v="0.91549999999999998"/>
    <n v="3.28"/>
    <n v="-81551.270599034106"/>
    <n v="-1921"/>
    <n v="-0.92125922097227297"/>
  </r>
  <r>
    <s v="3525Providence Centralia Hospital201034070100, EMERGENCY SERVICES"/>
    <m/>
    <x v="1"/>
    <s v="SWR"/>
    <s v="WA"/>
    <n v="3525"/>
    <x v="10"/>
    <n v="2010"/>
    <s v="Emergency Department"/>
    <s v="Emergency Services"/>
    <s v="34070100, EMERGENCY SERVICES"/>
    <s v="Patient Visits"/>
    <n v="32903"/>
    <n v="35484"/>
    <n v="0.5"/>
    <n v="2.54"/>
    <n v="2.34"/>
    <n v="0.125"/>
    <n v="17"/>
    <n v="2.42"/>
    <n v="2.46"/>
    <n v="2.64"/>
    <n v="0.85309999999999997"/>
    <n v="46.73"/>
    <n v="-212048.69955797499"/>
    <n v="-4857"/>
    <n v="-2.3286840576862402"/>
  </r>
  <r>
    <s v="3525Providence Centralia Hospital486134077800 Speech - Language Pathology"/>
    <m/>
    <x v="1"/>
    <s v="SWR"/>
    <s v="WA"/>
    <n v="3525"/>
    <x v="10"/>
    <n v="4861"/>
    <s v="Speech Language Pathology: Inpatient and Outpatient"/>
    <s v="Rehabilitation Services"/>
    <s v="34077800 Speech - Language Pathology"/>
    <s v="1000 Baseline Billed Time Units (BTUs)"/>
    <n v="233.44"/>
    <n v="241.58"/>
    <n v="0.5"/>
    <n v="21.65"/>
    <n v="21.39"/>
    <n v="0.1333"/>
    <n v="17"/>
    <n v="22.46"/>
    <n v="23.24"/>
    <n v="23.54"/>
    <n v="0.90659999999999996"/>
    <n v="2.74"/>
    <n v="-19756.339381657701"/>
    <n v="-478"/>
    <n v="-0.22913226759708699"/>
  </r>
  <r>
    <s v="3525Providence Centralia Hospital343034076608 Magnetic Resonance Imaging"/>
    <m/>
    <x v="1"/>
    <s v="SWR"/>
    <s v="WA"/>
    <n v="3525"/>
    <x v="10"/>
    <n v="3430"/>
    <s v="Magnetic Resonance Imaging"/>
    <s v="Imaging Services"/>
    <s v="34076608 Magnetic Resonance Imaging"/>
    <s v="APC Relative Weight"/>
    <n v="8648.89"/>
    <n v="10274.83"/>
    <n v="0.5"/>
    <n v="0.48"/>
    <n v="0.5"/>
    <n v="0.9375"/>
    <n v="17"/>
    <n v="0.32"/>
    <n v="0.36"/>
    <n v="0.39"/>
    <n v="0.85929999999999995"/>
    <n v="2.9"/>
    <n v="62700.846902858902"/>
    <n v="1744"/>
    <n v="0.83613876956271105"/>
  </r>
  <r>
    <s v="3525Providence Centralia Hospital413034077200 Respiratory Therapy"/>
    <m/>
    <x v="1"/>
    <s v="SWR"/>
    <s v="WA"/>
    <n v="3525"/>
    <x v="10"/>
    <n v="4130"/>
    <s v="Respiratory Care and Pulmonary Diagnostics Combined"/>
    <s v="Respiratory and Pulmonary Care Services"/>
    <s v="34077200 Respiratory Therapy"/>
    <s v="CMI Weighted Total Facility Discharges"/>
    <n v="6861.46"/>
    <n v="6688.75"/>
    <n v="0.25"/>
    <n v="3.83"/>
    <n v="4.05"/>
    <n v="0.88239999999999996"/>
    <n v="17"/>
    <n v="2.31"/>
    <n v="2.59"/>
    <n v="2.86"/>
    <n v="0.85170000000000001"/>
    <n v="15.3"/>
    <n v="393505.645835615"/>
    <n v="11571"/>
    <n v="5.5477182539163197"/>
  </r>
  <r>
    <s v="3523Providence Everett Medical Center2299Ambulatory Services Administration (U,N)"/>
    <m/>
    <x v="1"/>
    <s v="NWR"/>
    <s v="WA"/>
    <n v="3523"/>
    <x v="1"/>
    <n v="2299"/>
    <s v="Ambulatory Services Administration"/>
    <s v="Ambulatory Care Clinics"/>
    <s v="Ambulatory Services Administration (U,N)"/>
    <s v="Patient Visits Supported"/>
    <n v="79574"/>
    <n v="113778"/>
    <n v="0.41899999999999998"/>
    <n v="0.21"/>
    <n v="0.25"/>
    <n v="0.2311"/>
    <n v="17"/>
    <n v="0.27"/>
    <n v="0.32"/>
    <n v="0.42"/>
    <n v="0.90680000000000005"/>
    <n v="15.3"/>
    <n v="-225002.23886983001"/>
    <n v="-8240"/>
    <n v="-3.9506288595018"/>
  </r>
  <r>
    <s v="3523Providence Everett Medical Center344031676391 Mammography"/>
    <m/>
    <x v="1"/>
    <s v="NWR"/>
    <s v="WA"/>
    <n v="3523"/>
    <x v="1"/>
    <n v="3440"/>
    <s v="Mammography"/>
    <s v="Imaging Services"/>
    <s v="31676391 Mammography"/>
    <s v="APC Relative Weight"/>
    <n v="40550.29"/>
    <n v="52106.879999999997"/>
    <n v="0.8125"/>
    <n v="0.62"/>
    <n v="0.49"/>
    <n v="0.29409999999999997"/>
    <n v="17"/>
    <n v="0.48"/>
    <n v="0.49"/>
    <n v="0.56999999999999995"/>
    <n v="0.88380000000000003"/>
    <n v="13.86"/>
    <n v="736.56205998248095"/>
    <n v="18"/>
    <n v="8.86661868207206E-3"/>
  </r>
  <r>
    <s v="3523Providence Everett Medical Center341231676490, Intervent Radiol"/>
    <m/>
    <x v="1"/>
    <s v="NWR"/>
    <s v="WA"/>
    <n v="3523"/>
    <x v="1"/>
    <n v="3412"/>
    <s v="Interventional Radiology"/>
    <s v="Imaging Services"/>
    <s v="31676490, Intervent Radiol"/>
    <s v="APC Relative Weight"/>
    <n v="168246.37"/>
    <n v="179349.41"/>
    <n v="0.5"/>
    <n v="0.16"/>
    <n v="0.16"/>
    <n v="0.4375"/>
    <n v="17"/>
    <n v="0.13"/>
    <n v="0.15"/>
    <n v="0.16"/>
    <n v="0.86709999999999998"/>
    <n v="15.44"/>
    <n v="58826.446784931002"/>
    <n v="1177"/>
    <n v="0.56454755100201104"/>
  </r>
  <r>
    <s v="2687Providence Holy Cross Medical Center341272076310, PHCMC RADIOLOGY SPECIAL PROC"/>
    <m/>
    <x v="2"/>
    <s v="CA"/>
    <s v="CA"/>
    <n v="2687"/>
    <x v="4"/>
    <n v="3412"/>
    <s v="Interventional Radiology"/>
    <s v="Imaging Services"/>
    <s v="72076310, PHCMC RADIOLOGY SPECIAL PROC"/>
    <s v="APC Relative Weight"/>
    <n v="34875.279999999999"/>
    <n v="51874.19"/>
    <n v="0.625"/>
    <n v="0.28000000000000003"/>
    <n v="0.17"/>
    <n v="0.125"/>
    <n v="17"/>
    <n v="0.17"/>
    <n v="0.2"/>
    <n v="0.24"/>
    <n v="0.88339999999999996"/>
    <n v="4.67"/>
    <n v="-123609.78628157399"/>
    <n v="-2004"/>
    <n v="-0.96082575007108095"/>
  </r>
  <r>
    <s v="2687Providence Holy Cross Medical Center33507207500 Clinical Lab Operations"/>
    <m/>
    <x v="2"/>
    <s v="CA"/>
    <s v="CA"/>
    <n v="2687"/>
    <x v="4"/>
    <n v="3350"/>
    <s v="Laboratory Services: Clinical Operations and Blood Bank Combined"/>
    <s v="Laboratory Services"/>
    <s v="7207500 Clinical Lab Operations"/>
    <s v="100 Billed Tests"/>
    <n v="10348.18"/>
    <n v="10685.2"/>
    <n v="0.625"/>
    <n v="9.9700000000000006"/>
    <n v="10.14"/>
    <n v="0.375"/>
    <n v="17"/>
    <n v="8.99"/>
    <n v="9.9600000000000009"/>
    <n v="12.25"/>
    <n v="0.92459999999999998"/>
    <n v="56.32"/>
    <n v="88856.395859021402"/>
    <n v="2363"/>
    <n v="1.1330663993996"/>
  </r>
  <r>
    <s v="3851Providence Holy Family Hospital651036587100, MEDICAL STAFF ADMINISTRATION"/>
    <m/>
    <x v="4"/>
    <s v="PHC"/>
    <s v="WA"/>
    <n v="3851"/>
    <x v="11"/>
    <n v="6510"/>
    <s v="Medical Staff Services"/>
    <s v="Medical Staff Services"/>
    <s v="36587100, MEDICAL STAFF ADMINISTRATION"/>
    <s v="Physicians On Active Medical Staff"/>
    <n v="261"/>
    <n v="287"/>
    <n v="0.5625"/>
    <n v="17.25"/>
    <n v="15.99"/>
    <n v="0.1333"/>
    <n v="17"/>
    <n v="16.079999999999998"/>
    <n v="22.39"/>
    <n v="25.06"/>
    <n v="0.87829999999999997"/>
    <n v="2.5099999999999998"/>
    <n v="-63341.508540060997"/>
    <n v="-2081"/>
    <n v="-0.99785203784431697"/>
  </r>
  <r>
    <s v="3532Providence Little Company of Mary Hospital423076275701 04230 ANGIO CENTER (72301)"/>
    <m/>
    <x v="2"/>
    <s v="CA"/>
    <s v="CA"/>
    <n v="3532"/>
    <x v="13"/>
    <n v="4230"/>
    <s v="Combined Invasive Cardiology and Vascular Services"/>
    <s v="Cardiology and Vascular Services Series"/>
    <s v="76275701 04230 ANGIO CENTER (72301)"/>
    <s v="Procedure Minutes"/>
    <n v="0"/>
    <n v="204814"/>
    <n v="0.8125"/>
    <m/>
    <n v="0.28999999999999998"/>
    <n v="0.86670000000000003"/>
    <n v="17"/>
    <n v="0.16"/>
    <n v="0.16"/>
    <n v="0.19"/>
    <n v="0.878"/>
    <n v="32.06"/>
    <n v="1381962.3214936501"/>
    <n v="29544"/>
    <n v="14.164935626840901"/>
  </r>
  <r>
    <s v="3529Providence Milwaukie Hospital307055083800, STERILE PROCESSING"/>
    <m/>
    <x v="3"/>
    <s v="OR"/>
    <s v="OR"/>
    <n v="3529"/>
    <x v="15"/>
    <n v="3070"/>
    <s v="Sterile Processing"/>
    <s v="Surgical Services"/>
    <s v="55083800, STERILE PROCESSING"/>
    <s v="100 Items Processed"/>
    <n v="450.9"/>
    <n v="429.84"/>
    <n v="0.4375"/>
    <n v="17.32"/>
    <n v="17.03"/>
    <n v="0.26669999999999999"/>
    <n v="17"/>
    <n v="16.93"/>
    <n v="18.059999999999999"/>
    <n v="22.37"/>
    <n v="0.90390000000000004"/>
    <n v="3.89"/>
    <n v="-10316.809824612301"/>
    <n v="-475"/>
    <n v="-0.22767765837258699"/>
  </r>
  <r>
    <s v="3850Providence Mount Carmel Hospital441037077100, PHARMACY"/>
    <m/>
    <x v="4"/>
    <s v="PHC"/>
    <s v="WA"/>
    <n v="3850"/>
    <x v="16"/>
    <n v="4410"/>
    <s v="Pharmacy Services"/>
    <s v="Pharmacy Services"/>
    <s v="37077100, PHARMACY"/>
    <s v="CMI Weighted Department Adjusted Discharges"/>
    <n v="3131.38"/>
    <n v="3496.68"/>
    <n v="0.5625"/>
    <n v="3.93"/>
    <n v="3.77"/>
    <n v="1"/>
    <n v="17"/>
    <n v="1.86"/>
    <n v="1.93"/>
    <n v="2.08"/>
    <n v="0.8982"/>
    <n v="7.06"/>
    <n v="341736.30469430401"/>
    <n v="7212"/>
    <n v="3.4576300878114301"/>
  </r>
  <r>
    <s v="3527Providence Portland Medical Center123552261721, NEUROSURGERY - 8S"/>
    <m/>
    <x v="3"/>
    <s v="OR"/>
    <s v="OR"/>
    <n v="3527"/>
    <x v="18"/>
    <n v="1235"/>
    <s v="Neurology/Neurosurgical Acute Care Unit"/>
    <s v="Nursing Services"/>
    <s v="52261721, NEUROSURGERY - 8S"/>
    <s v="Equivalent Patient Day"/>
    <n v="6913.54"/>
    <n v="7464"/>
    <n v="0.6875"/>
    <n v="10.23"/>
    <n v="10.44"/>
    <n v="0.33329999999999999"/>
    <n v="17"/>
    <n v="10.37"/>
    <n v="10.51"/>
    <n v="11.23"/>
    <n v="0.89400000000000002"/>
    <n v="41.93"/>
    <n v="-13166.248248203299"/>
    <n v="-295"/>
    <n v="-0.14120844948327299"/>
  </r>
  <r>
    <s v="3527Providence Portland Medical Center191052287200, NURSING SERVICE ADMIN"/>
    <m/>
    <x v="3"/>
    <s v="OR"/>
    <s v="OR"/>
    <n v="3527"/>
    <x v="18"/>
    <n v="1910"/>
    <s v="Nursing Administration"/>
    <s v="Nursing Services"/>
    <s v="52287200, NURSING SERVICE ADMIN"/>
    <s v="Nursing Division Employees"/>
    <n v="1073"/>
    <n v="1084"/>
    <n v="0.6"/>
    <n v="26.51"/>
    <n v="35.520000000000003"/>
    <n v="0.375"/>
    <n v="17"/>
    <n v="31.57"/>
    <n v="35.03"/>
    <n v="44.76"/>
    <n v="0.87949999999999995"/>
    <n v="21.05"/>
    <n v="33300.923706651643"/>
    <n v="603.93405343945665"/>
    <n v="0.28955940616553516"/>
  </r>
  <r>
    <s v="3527Providence Portland Medical Center343052276600, MRI"/>
    <m/>
    <x v="3"/>
    <s v="OR"/>
    <s v="OR"/>
    <n v="3527"/>
    <x v="18"/>
    <n v="3430"/>
    <s v="Magnetic Resonance Imaging"/>
    <s v="Imaging Services"/>
    <s v="52276600, MRI"/>
    <s v="APC Relative Weight"/>
    <n v="57645.51"/>
    <n v="57654.46"/>
    <n v="0.5625"/>
    <n v="0.32"/>
    <n v="0.33"/>
    <n v="0.4"/>
    <n v="17"/>
    <n v="0.31"/>
    <n v="0.32"/>
    <n v="0.33"/>
    <n v="0.89390000000000003"/>
    <n v="10.19"/>
    <n v="26915.073694696301"/>
    <n v="614"/>
    <n v="0.29440052841888897"/>
  </r>
  <r>
    <s v="3852Providence Sacred Heart Medical Center422034575900, CARDIOLOGY (U)"/>
    <m/>
    <x v="4"/>
    <s v="PHC"/>
    <s v="WA"/>
    <n v="3852"/>
    <x v="9"/>
    <n v="4220"/>
    <s v="Combined Noninvasive Cardiology and Vascular Services"/>
    <s v="Cardiology and Vascular Services Series"/>
    <s v="34575900, CARDIOLOGY (U)"/>
    <s v="APC Relative Weight"/>
    <n v="60488.59"/>
    <n v="93214.84"/>
    <n v="0.40550000000000003"/>
    <n v="0.45"/>
    <n v="0.28999999999999998"/>
    <n v="0.50980000000000003"/>
    <n v="17"/>
    <n v="0.25"/>
    <n v="0.27"/>
    <n v="0.28000000000000003"/>
    <n v="0.87290000000000001"/>
    <n v="14.77"/>
    <n v="67809.677099689696"/>
    <n v="1973"/>
    <n v="0.94603937955809803"/>
  </r>
  <r>
    <s v="3854Providence Saint Mary Medical Center121432561710, MEDICAL ACUTE"/>
    <m/>
    <x v="4"/>
    <s v="SER"/>
    <s v="WA"/>
    <n v="3854"/>
    <x v="8"/>
    <n v="1214"/>
    <s v="Medical/Surgical/Oncology Acute Care Unit"/>
    <s v="Nursing Services"/>
    <s v="32561710, MEDICAL ACUTE"/>
    <s v="Equivalent Patient Day"/>
    <n v="4513"/>
    <n v="4771"/>
    <n v="0.625"/>
    <n v="12.13"/>
    <n v="11.26"/>
    <n v="0.625"/>
    <n v="17"/>
    <n v="10.99"/>
    <n v="11.08"/>
    <n v="11.12"/>
    <n v="0.89800000000000002"/>
    <n v="28.75"/>
    <n v="37983.520105047901"/>
    <n v="1097"/>
    <n v="0.525841708407221"/>
  </r>
  <r>
    <s v="3854Providence Saint Mary Medical Center413032577200, RESPIRATORY THERAPY COMBINED"/>
    <m/>
    <x v="4"/>
    <s v="SER"/>
    <s v="WA"/>
    <n v="3854"/>
    <x v="8"/>
    <n v="4130"/>
    <s v="Respiratory Care and Pulmonary Diagnostics Combined"/>
    <s v="Respiratory and Pulmonary Care Services"/>
    <s v="32577200, RESPIRATORY THERAPY COMBINED"/>
    <s v="CMI Weighted Total Facility Discharges"/>
    <n v="7098.01"/>
    <n v="8012.7"/>
    <n v="0.625"/>
    <n v="4.62"/>
    <n v="4.09"/>
    <n v="0.6875"/>
    <n v="17"/>
    <n v="2.7"/>
    <n v="2.91"/>
    <n v="3.31"/>
    <n v="0.8921"/>
    <n v="17.670000000000002"/>
    <n v="394714.94311708101"/>
    <n v="10717"/>
    <n v="5.1384009452874997"/>
  </r>
  <r>
    <s v="3854Providence Saint Mary Medical Center121232561701, SURGICAL FLOOR"/>
    <m/>
    <x v="4"/>
    <s v="SER"/>
    <s v="WA"/>
    <n v="3854"/>
    <x v="8"/>
    <n v="1212"/>
    <s v="General Surgical Acute Care Unit"/>
    <s v="Nursing Services"/>
    <s v="32561701, SURGICAL FLOOR"/>
    <s v="Equivalent Patient Day"/>
    <n v="4957"/>
    <n v="5377"/>
    <n v="0.625"/>
    <n v="12.01"/>
    <n v="13.14"/>
    <n v="0.92859999999999998"/>
    <n v="17"/>
    <n v="10.57"/>
    <n v="10.96"/>
    <n v="11.2"/>
    <n v="0.90159999999999996"/>
    <n v="37.68"/>
    <n v="427009.51908488898"/>
    <n v="13226"/>
    <n v="6.3410207787094901"/>
  </r>
  <r>
    <s v="3533Providence San Pedro Peninsula Hospital651077287100 SPH MEDICAL STAFF"/>
    <m/>
    <x v="2"/>
    <s v="CA"/>
    <s v="CA"/>
    <n v="3533"/>
    <x v="14"/>
    <n v="6510"/>
    <s v="Medical Staff Services"/>
    <s v="Medical Staff Services"/>
    <s v="77287100 SPH MEDICAL STAFF"/>
    <s v="Physicians On Active Medical Staff"/>
    <n v="130"/>
    <n v="197"/>
    <n v="0.5625"/>
    <n v="54.75"/>
    <n v="30.35"/>
    <n v="0.4"/>
    <n v="17"/>
    <n v="26.33"/>
    <n v="29.18"/>
    <n v="34.39"/>
    <n v="0.88700000000000001"/>
    <n v="3.24"/>
    <n v="10732.0308413807"/>
    <n v="277"/>
    <n v="0.132751029869527"/>
  </r>
  <r>
    <s v="2719Providence St Joseph Medical Center342071076800 - 03420 - PSJMC C.A.T. SCAN"/>
    <m/>
    <x v="2"/>
    <s v="CA"/>
    <s v="CA"/>
    <n v="2719"/>
    <x v="6"/>
    <n v="3420"/>
    <s v="Computerized Tomography"/>
    <s v="Imaging Services"/>
    <s v="71076800 - 03420 - PSJMC C.A.T. SCAN"/>
    <s v="APC Relative Weight"/>
    <n v="59888.23"/>
    <n v="65809.33"/>
    <n v="0.4375"/>
    <n v="0.33"/>
    <n v="0.28999999999999998"/>
    <n v="0.6875"/>
    <n v="17"/>
    <n v="0.24"/>
    <n v="0.25"/>
    <n v="0.26"/>
    <n v="0.90290000000000004"/>
    <n v="10.029999999999999"/>
    <n v="114091.722103904"/>
    <n v="2698"/>
    <n v="1.2935301231901799"/>
  </r>
  <r>
    <s v="3855Providence St Joseph Medical Center Polson511246583400, DIETARY"/>
    <m/>
    <x v="4"/>
    <s v="WMR"/>
    <s v="MT"/>
    <n v="3855"/>
    <x v="30"/>
    <n v="5112"/>
    <s v="Patient and Nonpatient Food Services"/>
    <s v="Food and Nutrition Services"/>
    <s v="46583400, DIETARY"/>
    <s v="ART: Total Meal Equivalents"/>
    <n v="57312.7"/>
    <n v="71012.02"/>
    <n v="0.5"/>
    <n v="0.38"/>
    <n v="0.32"/>
    <n v="1"/>
    <n v="17"/>
    <n v="0.21"/>
    <n v="0.21"/>
    <n v="0.22"/>
    <n v="0.94269999999999998"/>
    <n v="11.53"/>
    <n v="140747.66747446099"/>
    <n v="8229"/>
    <n v="3.9455199515139299"/>
  </r>
  <r>
    <s v="3853Providence St Joseph's Hospital Chewelah441037577100, PHARMACY"/>
    <m/>
    <x v="4"/>
    <s v="PHC"/>
    <s v="WA"/>
    <n v="3853"/>
    <x v="20"/>
    <n v="4410"/>
    <s v="Pharmacy Services"/>
    <s v="Pharmacy Services"/>
    <s v="37577100, PHARMACY"/>
    <s v="CMI Weighted Department Adjusted Discharges"/>
    <n v="898.85"/>
    <n v="1049.72"/>
    <n v="0.125"/>
    <n v="7.03"/>
    <n v="7.01"/>
    <n v="1"/>
    <n v="17"/>
    <n v="2.16"/>
    <n v="2.27"/>
    <n v="2.48"/>
    <n v="0.92349999999999999"/>
    <n v="3.83"/>
    <n v="283089.23677807802"/>
    <n v="5408"/>
    <n v="2.5928835321472201"/>
  </r>
  <r>
    <s v="3524Providence St Peter Hospital441133095501, SATELLITE PHARMACY"/>
    <m/>
    <x v="1"/>
    <s v="SWR"/>
    <s v="WA"/>
    <n v="3524"/>
    <x v="2"/>
    <n v="4411"/>
    <s v="Pharmacy Retail/Prescription Services"/>
    <s v="Pharmacy Services"/>
    <s v="33095501, SATELLITE PHARMACY"/>
    <s v="Retail Prescriptions Processed"/>
    <n v="23204"/>
    <n v="25630"/>
    <n v="0.5"/>
    <n v="0.13"/>
    <n v="0.17"/>
    <n v="6.25E-2"/>
    <n v="17"/>
    <n v="0.21"/>
    <n v="0.22"/>
    <n v="0.26"/>
    <n v="0.9264"/>
    <n v="2.2200000000000002"/>
    <n v="-65503.748992523098"/>
    <n v="-1456"/>
    <n v="-0.69823928431809201"/>
  </r>
  <r>
    <s v="3524Providence St Peter Hospital432033078740, SLEEP LABORATORY"/>
    <m/>
    <x v="1"/>
    <s v="SWR"/>
    <s v="WA"/>
    <n v="3524"/>
    <x v="2"/>
    <n v="4320"/>
    <s v="Sleep Diagnostic Center"/>
    <s v="Neurodiagnostic Services"/>
    <s v="33078740, SLEEP LABORATORY"/>
    <s v="APC Relative Weight"/>
    <n v="12085.6"/>
    <n v="15178.02"/>
    <n v="0.5"/>
    <n v="1.1299999999999999"/>
    <n v="0.86"/>
    <n v="0.1875"/>
    <n v="17"/>
    <n v="0.87"/>
    <n v="0.92"/>
    <n v="1.02"/>
    <n v="0.86919999999999997"/>
    <n v="7.19"/>
    <n v="-39945.393975717299"/>
    <n v="-1069"/>
    <n v="-0.51249436584816599"/>
  </r>
  <r>
    <s v="3524Providence St Peter Hospital413033077200, RESPIRATORY THERAPY"/>
    <m/>
    <x v="1"/>
    <s v="SWR"/>
    <s v="WA"/>
    <n v="3524"/>
    <x v="2"/>
    <n v="4130"/>
    <s v="Respiratory Care and Pulmonary Diagnostics Combined"/>
    <s v="Respiratory and Pulmonary Care Services"/>
    <s v="33077200, RESPIRATORY THERAPY"/>
    <s v="CMI Weighted Total Facility Discharges"/>
    <n v="29476.32"/>
    <n v="31871.56"/>
    <n v="0.8125"/>
    <n v="2.37"/>
    <n v="2.2400000000000002"/>
    <n v="0.35289999999999999"/>
    <n v="17"/>
    <n v="2.02"/>
    <n v="2.2400000000000002"/>
    <n v="2.69"/>
    <n v="0.86870000000000003"/>
    <n v="39.6"/>
    <n v="15457.5732934876"/>
    <n v="411"/>
    <n v="0.19696478112708601"/>
  </r>
  <r>
    <s v="3524Providence St Peter Hospital651033087100, 33087101 Combined MED STAFF/Credentialing"/>
    <m/>
    <x v="1"/>
    <s v="SWR"/>
    <s v="WA"/>
    <n v="3524"/>
    <x v="2"/>
    <n v="6510"/>
    <s v="Medical Staff Services"/>
    <s v="Medical Staff Services"/>
    <s v="33087100, 33087101 Combined MED STAFF/Credentialing"/>
    <s v="Physicians On Active Medical Staff"/>
    <n v="274"/>
    <n v="495"/>
    <n v="0.75"/>
    <n v="54.13"/>
    <n v="25.47"/>
    <n v="0.66669999999999996"/>
    <n v="17"/>
    <n v="13.09"/>
    <n v="14.93"/>
    <n v="22.32"/>
    <n v="0.87860000000000005"/>
    <n v="6.9"/>
    <n v="173004.10233587099"/>
    <n v="5980"/>
    <n v="2.8670580894358499"/>
  </r>
  <r>
    <s v="3524Providence St Peter Hospital5608Centralized Scheduling (U,N)"/>
    <m/>
    <x v="1"/>
    <s v="SWR"/>
    <s v="WA"/>
    <n v="3524"/>
    <x v="2"/>
    <n v="5608"/>
    <s v="Centralized Scheduling"/>
    <s v="Revenue Cycle Management"/>
    <s v="Centralized Scheduling (U,N)"/>
    <s v="Adjusted Discharges"/>
    <n v="27659.279999999999"/>
    <n v="29059.52"/>
    <n v="0.5665"/>
    <n v="0.98"/>
    <n v="1.02"/>
    <n v="0.80859999999999999"/>
    <n v="17"/>
    <n v="0.46"/>
    <n v="0.49"/>
    <n v="0.73"/>
    <n v="0.89049999999999996"/>
    <n v="15.99"/>
    <n v="559286.78531362698"/>
    <n v="17360"/>
    <n v="8.3234715525095009"/>
  </r>
  <r>
    <s v="3535Providence St Vincent Medical Center101053060100, ICU"/>
    <m/>
    <x v="3"/>
    <s v="OR"/>
    <s v="OR"/>
    <n v="3535"/>
    <x v="22"/>
    <n v="1010"/>
    <s v="Medical/Surgical Intensive Care Unit"/>
    <s v="Nursing Services"/>
    <s v="53060100, ICU"/>
    <s v="Equivalent Patient Day"/>
    <n v="3218.62"/>
    <n v="3257"/>
    <n v="0.5"/>
    <n v="20.329999999999998"/>
    <n v="21.44"/>
    <n v="0.85709999999999997"/>
    <n v="17"/>
    <n v="17.91"/>
    <n v="18.79"/>
    <n v="20.100000000000001"/>
    <n v="0.89500000000000002"/>
    <n v="37.520000000000003"/>
    <n v="545212.39765687298"/>
    <n v="9877"/>
    <n v="4.7354171408765602"/>
  </r>
  <r>
    <s v="3535Providence St Vincent Medical Center341153076300, DIAGNOSTIC IMAGING"/>
    <m/>
    <x v="3"/>
    <s v="OR"/>
    <s v="OR"/>
    <n v="3535"/>
    <x v="22"/>
    <n v="3411"/>
    <s v="Diagnostic Radiology Without Interventional Procedures"/>
    <s v="Imaging Services"/>
    <s v="53076300, DIAGNOSTIC IMAGING"/>
    <s v="APC Relative Weight"/>
    <n v="103717.88"/>
    <n v="98844.68"/>
    <n v="0.5"/>
    <n v="0.61"/>
    <n v="0.64"/>
    <n v="0.5"/>
    <n v="17"/>
    <n v="0.6"/>
    <n v="0.62"/>
    <n v="0.64"/>
    <n v="0.88290000000000002"/>
    <n v="34.65"/>
    <n v="96877.832107336595"/>
    <n v="2858"/>
    <n v="1.3701292223641099"/>
  </r>
  <r>
    <s v="3755Providence Tarzana Medical Center191072587200, NURSING ADMIN"/>
    <m/>
    <x v="2"/>
    <s v="CA"/>
    <s v="CA"/>
    <n v="3755"/>
    <x v="3"/>
    <n v="1910"/>
    <s v="Nursing Administration"/>
    <s v="Nursing Services"/>
    <s v="72587200, NURSING ADMIN"/>
    <s v="Nursing Division Employees"/>
    <n v="620"/>
    <n v="647"/>
    <n v="0.6875"/>
    <n v="74.77"/>
    <n v="44.64"/>
    <n v="0.15379999999999999"/>
    <n v="17"/>
    <n v="49.89"/>
    <n v="55.66"/>
    <n v="62.56"/>
    <n v="0.80779999999999996"/>
    <n v="12.61"/>
    <n v="-857306.07649176195"/>
    <n v="-18280"/>
    <n v="-8.7642946863563793"/>
  </r>
  <r>
    <s v="3930Swedish Ballard223521570700 FAMILY MEDICINE CLINIC"/>
    <m/>
    <x v="1"/>
    <s v="SHS"/>
    <s v="WA"/>
    <n v="3930"/>
    <x v="24"/>
    <n v="2235"/>
    <s v="Family Practice Clinic"/>
    <s v="Ambulatory Care Clinics"/>
    <s v="21570700 FAMILY MEDICINE CLINIC"/>
    <s v="Patient Visits"/>
    <n v="11439"/>
    <n v="13599"/>
    <n v="0.625"/>
    <n v="0.7"/>
    <n v="0.53"/>
    <n v="0"/>
    <n v="17"/>
    <n v="0.83"/>
    <n v="0.87"/>
    <n v="0.96"/>
    <n v="0.89459999999999995"/>
    <n v="3.9"/>
    <n v="-177719.11649133699"/>
    <n v="-5091"/>
    <n v="-2.44082097224475"/>
  </r>
  <r>
    <s v="3928Swedish Cherry Hill111022061300 NEURO TELEMETRY"/>
    <m/>
    <x v="1"/>
    <s v="SHS"/>
    <s v="WA"/>
    <n v="3928"/>
    <x v="25"/>
    <n v="1110"/>
    <s v="Medical/Surgical Intermediate Care Unit"/>
    <s v="Nursing Services"/>
    <s v="22061300 NEURO TELEMETRY"/>
    <s v="Equivalent Patient Day"/>
    <n v="10219.83"/>
    <n v="11605"/>
    <n v="0.5"/>
    <n v="10.97"/>
    <n v="11.23"/>
    <n v="0.4375"/>
    <n v="17"/>
    <n v="11.05"/>
    <n v="11.15"/>
    <n v="11.48"/>
    <n v="0.91469999999999996"/>
    <n v="68.48"/>
    <n v="54513.192549175597"/>
    <n v="1366"/>
    <n v="0.655048488963757"/>
  </r>
  <r>
    <s v="3928Swedish Cherry Hill111022070860 NEUROSCIENCE EPILEPSY"/>
    <m/>
    <x v="1"/>
    <s v="SHS"/>
    <s v="WA"/>
    <n v="3928"/>
    <x v="25"/>
    <n v="1110"/>
    <s v="Medical/Surgical Intermediate Care Unit"/>
    <s v="Nursing Services"/>
    <s v="22070860 NEUROSCIENCE EPILEPSY"/>
    <s v="Equivalent Patient Day"/>
    <m/>
    <n v="11568"/>
    <n v="0.5"/>
    <m/>
    <n v="11.48"/>
    <n v="0.47060000000000002"/>
    <n v="17"/>
    <n v="11.06"/>
    <n v="11.18"/>
    <n v="11.53"/>
    <n v="0.87649999999999995"/>
    <n v="72.87"/>
    <n v="171289.58135457401"/>
    <n v="4432"/>
    <n v="2.1249069847070201"/>
  </r>
  <r>
    <s v="3929Swedish Edmonds423023075700 CARDIAC CATHERIZATION"/>
    <m/>
    <x v="1"/>
    <s v="SHS"/>
    <s v="WA"/>
    <n v="3929"/>
    <x v="31"/>
    <n v="4230"/>
    <s v="Combined Invasive Cardiology and Vascular Services"/>
    <s v="Cardiology and Vascular Services Series"/>
    <s v="23075700 CARDIAC CATHERIZATION"/>
    <s v="Procedure Minutes"/>
    <n v="80550"/>
    <n v="88110"/>
    <n v="0.4375"/>
    <n v="0.11"/>
    <n v="0.11"/>
    <m/>
    <n v="17"/>
    <n v="0.22"/>
    <n v="0.23"/>
    <n v="0.24"/>
    <n v="0.90549999999999997"/>
    <n v="5.1100000000000003"/>
    <n v="-644646.98051373404"/>
    <n v="-11722"/>
    <n v="-5.6203216742908699"/>
  </r>
  <r>
    <s v="3929Swedish Edmonds344023076390 MAMMOGRAPHY"/>
    <m/>
    <x v="1"/>
    <s v="SHS"/>
    <s v="WA"/>
    <n v="3929"/>
    <x v="31"/>
    <n v="3440"/>
    <s v="Mammography"/>
    <s v="Imaging Services"/>
    <s v="23076390 MAMMOGRAPHY"/>
    <s v="APC Relative Weight"/>
    <n v="19243.52"/>
    <n v="26817.27"/>
    <n v="0.625"/>
    <n v="0.47"/>
    <n v="0.37"/>
    <n v="0.125"/>
    <n v="17"/>
    <n v="0.47"/>
    <n v="0.5"/>
    <n v="0.56999999999999995"/>
    <n v="0.90229999999999999"/>
    <n v="5.34"/>
    <n v="-166249.289912673"/>
    <n v="-3723"/>
    <n v="-1.7849491697901101"/>
  </r>
  <r>
    <s v="3929Swedish Edmonds5925Patient Escort (Transport) Service (N)"/>
    <m/>
    <x v="1"/>
    <s v="SHS"/>
    <s v="WA"/>
    <n v="3929"/>
    <x v="31"/>
    <n v="5925"/>
    <s v="Patient Escort (Transport) Service"/>
    <s v="Other Support Services"/>
    <s v="Patient Escort (Transport) Service (N)"/>
    <s v="100 Patient Transports Performed"/>
    <n v="232.12"/>
    <n v="175.56"/>
    <n v="0.4375"/>
    <n v="78.39"/>
    <n v="107.71"/>
    <n v="0.875"/>
    <n v="17"/>
    <n v="46.28"/>
    <n v="49.21"/>
    <n v="54.98"/>
    <n v="0.89559999999999995"/>
    <n v="10.15"/>
    <n v="362174.66174931102"/>
    <n v="11524"/>
    <n v="5.5249864316708797"/>
  </r>
  <r>
    <s v="3927Swedish First Hill111021061300 TELEMETRY"/>
    <m/>
    <x v="1"/>
    <s v="SHS"/>
    <s v="WA"/>
    <n v="3927"/>
    <x v="26"/>
    <n v="1110"/>
    <s v="Medical/Surgical Intermediate Care Unit"/>
    <s v="Nursing Services"/>
    <s v="21061300 TELEMETRY"/>
    <s v="Equivalent Patient Day"/>
    <n v="8133.04"/>
    <n v="7560"/>
    <n v="0.3125"/>
    <n v="11.58"/>
    <n v="12.67"/>
    <n v="0.875"/>
    <n v="17"/>
    <n v="10.45"/>
    <n v="10.92"/>
    <n v="11.48"/>
    <n v="0.89029999999999998"/>
    <n v="51.72"/>
    <n v="586421.68908446399"/>
    <n v="15145"/>
    <n v="7.2613552955723604"/>
  </r>
  <r>
    <s v="3932Swedish Health Services Corp (S)641020587530 EPIDEMIOLOGY-INFECTION PREVNTN"/>
    <m/>
    <x v="1"/>
    <s v="SHS"/>
    <s v="WA"/>
    <n v="3932"/>
    <x v="27"/>
    <n v="6410"/>
    <s v="Infection Prevention and Control and Healthcare Epidemiology"/>
    <s v="Quality Management and Patient Safety Services"/>
    <s v="20587530 EPIDEMIOLOGY-INFECTION PREVNTN"/>
    <s v="Total Healthcare-associated Infections (HAIs)"/>
    <n v="222"/>
    <n v="299"/>
    <n v="0.5625"/>
    <n v="57.27"/>
    <n v="41.89"/>
    <n v="0.8125"/>
    <n v="17"/>
    <n v="22.72"/>
    <n v="24.26"/>
    <n v="28.9"/>
    <n v="0.92849999999999999"/>
    <n v="6.49"/>
    <n v="403131.21217528998"/>
    <n v="5724"/>
    <n v="2.7443410136811601"/>
  </r>
  <r>
    <s v="3531Providence Medford Medical Center337059075000, 59075012, 59075096, 59075098, 59089008, 59089009, LAB COMBO"/>
    <m/>
    <x v="3"/>
    <s v="OR"/>
    <s v="OR"/>
    <n v="3531"/>
    <x v="29"/>
    <n v="3370"/>
    <s v="Laboratory Services: Clinical Operations"/>
    <s v="Laboratory Services"/>
    <s v="59075000, 59075012, 59075096, 59075098, 59089008, 59089009, LAB COMBO"/>
    <s v="100 Billed Tests"/>
    <n v="4753.37"/>
    <n v="4280.46"/>
    <n v="0.5"/>
    <n v="9.8800000000000008"/>
    <n v="11.39"/>
    <n v="0.35709999999999997"/>
    <n v="17"/>
    <n v="10.77"/>
    <n v="11.34"/>
    <n v="12.64"/>
    <n v="0.92889999999999995"/>
    <n v="25.23"/>
    <n v="10170.7062929315"/>
    <n v="366"/>
    <n v="0.175675759059637"/>
  </r>
  <r>
    <s v="3531Providence Medford Medical Center521159084400, ENVIRONMENTAL SERVICES"/>
    <m/>
    <x v="3"/>
    <s v="OR"/>
    <s v="OR"/>
    <n v="3531"/>
    <x v="29"/>
    <n v="5211"/>
    <s v="Environmental Services"/>
    <s v="Environmental Services"/>
    <s v="59084400, ENVIRONMENTAL SERVICES"/>
    <s v="1000 Net Sq Ft Cleaned"/>
    <n v="267.04000000000002"/>
    <n v="267.04000000000002"/>
    <n v="0.3125"/>
    <n v="172.23"/>
    <n v="171.24"/>
    <n v="7.6899999999999996E-2"/>
    <n v="17"/>
    <n v="174.24"/>
    <n v="176.2"/>
    <n v="179.12"/>
    <n v="0.88900000000000001"/>
    <n v="24.73"/>
    <n v="-21269.0876368178"/>
    <n v="-1348"/>
    <n v="-0.64631877858294096"/>
  </r>
  <r>
    <s v="2947Providence Alaska Medical Center3390Blood Bank"/>
    <m/>
    <x v="0"/>
    <s v="AK"/>
    <s v="AK"/>
    <n v="2947"/>
    <x v="0"/>
    <n v="3390"/>
    <s v="Laboratory Services: Blood Bank"/>
    <s v="Laboratory Services"/>
    <s v="Blood Bank"/>
    <s v="100 Billed Tests"/>
    <n v="551.85"/>
    <n v="530.49"/>
    <n v="0.52939999999999998"/>
    <n v="17.34"/>
    <n v="18.82"/>
    <n v="0.23530000000000001"/>
    <n v="18"/>
    <n v="18.96"/>
    <n v="20.92"/>
    <n v="23.1"/>
    <n v="0.90569999999999995"/>
    <n v="5.3"/>
    <n v="-49573.425880060997"/>
    <n v="-1199"/>
    <n v="-0.57492968372162701"/>
  </r>
  <r>
    <s v="2947Providence Alaska Medical Center4812Oncology Rehab"/>
    <m/>
    <x v="0"/>
    <s v="AK"/>
    <s v="AK"/>
    <n v="2947"/>
    <x v="0"/>
    <n v="4812"/>
    <s v="Physical Therapy: Outpatient"/>
    <s v="Rehabilitation Services"/>
    <s v="Oncology Rehab"/>
    <s v="1000 Baseline Billed Time Units (BTUs)"/>
    <n v="37.07"/>
    <n v="70.150000000000006"/>
    <n v="0.52939999999999998"/>
    <n v="102.26"/>
    <n v="64.8"/>
    <n v="1"/>
    <n v="18"/>
    <n v="24.05"/>
    <n v="25.02"/>
    <n v="28.82"/>
    <n v="0.8851"/>
    <n v="2.4700000000000002"/>
    <n v="183946.62956674799"/>
    <n v="3169"/>
    <n v="1.5192402257969799"/>
  </r>
  <r>
    <s v="2947Providence Alaska Medical Center4241Cardiac Rehabilitation (U)"/>
    <m/>
    <x v="0"/>
    <s v="AK"/>
    <s v="AK"/>
    <n v="2947"/>
    <x v="0"/>
    <n v="4241"/>
    <s v="Cardiac Rehabilitation Services"/>
    <s v="Cardiology and Vascular Services Series"/>
    <s v="Cardiac Rehabilitation (U)"/>
    <s v="Patient Visits"/>
    <n v="18842"/>
    <n v="19018"/>
    <n v="0.54930000000000001"/>
    <m/>
    <n v="0.72"/>
    <n v="0.86429999999999996"/>
    <n v="18"/>
    <n v="0.47"/>
    <n v="0.48"/>
    <n v="0.57999999999999996"/>
    <n v="0.86799999999999999"/>
    <n v="7.55"/>
    <n v="244445.924095689"/>
    <n v="5230"/>
    <n v="2.5076322771985402"/>
  </r>
  <r>
    <s v="2947Providence Alaska Medical Center12403W Orthopedics"/>
    <m/>
    <x v="0"/>
    <s v="AK"/>
    <s v="AK"/>
    <n v="2947"/>
    <x v="0"/>
    <n v="1240"/>
    <s v="Orthopedic Acute Care Unit"/>
    <s v="Nursing Services"/>
    <s v="3W Orthopedics"/>
    <s v="Equivalent Patient Day"/>
    <n v="8735"/>
    <n v="9042"/>
    <n v="0.4118"/>
    <n v="11.63"/>
    <n v="11.319282238442822"/>
    <n v="0.875"/>
    <n v="18"/>
    <n v="10.42"/>
    <n v="10.5"/>
    <n v="10.7"/>
    <n v="0.91300000000000003"/>
    <n v="53.9"/>
    <n v="322282.33734939748"/>
    <n v="8113.8554216867451"/>
    <n v="3.8902126478210035"/>
  </r>
  <r>
    <s v="3525Providence Centralia Hospital191034087200, NURSING ADMINISTRATION"/>
    <m/>
    <x v="1"/>
    <s v="SWR"/>
    <s v="WA"/>
    <n v="3525"/>
    <x v="10"/>
    <n v="1910"/>
    <s v="Nursing Administration"/>
    <s v="Nursing Services"/>
    <s v="34087200, NURSING ADMINISTRATION"/>
    <s v="Nursing Division Employees"/>
    <n v="270"/>
    <n v="263"/>
    <n v="0.52939999999999998"/>
    <n v="67.61"/>
    <n v="61.67"/>
    <n v="0.25"/>
    <n v="18"/>
    <n v="61.67"/>
    <n v="75.87"/>
    <n v="80.75"/>
    <n v="0.91510000000000002"/>
    <n v="6.1"/>
    <n v="-359190.13660047"/>
    <n v="-9082"/>
    <n v="-4.3545522157226104"/>
  </r>
  <r>
    <s v="3525Providence Centralia Hospital302034074270, RECOVERY ROOM SERVICES"/>
    <m/>
    <x v="1"/>
    <s v="SWR"/>
    <s v="WA"/>
    <n v="3525"/>
    <x v="10"/>
    <n v="3020"/>
    <s v="Post Anesthesia Care Unit (PACU)"/>
    <s v="Surgical Services"/>
    <s v="34074270, RECOVERY ROOM SERVICES"/>
    <s v="100 PACU Minutes"/>
    <n v="3847.45"/>
    <n v="3412.19"/>
    <n v="0.52939999999999998"/>
    <n v="2.37"/>
    <n v="2.21"/>
    <n v="5.8799999999999998E-2"/>
    <n v="18"/>
    <n v="3.21"/>
    <n v="3.71"/>
    <n v="3.96"/>
    <n v="0.62039999999999995"/>
    <n v="5.85"/>
    <n v="-473871.375457394"/>
    <n v="-8204"/>
    <n v="-3.93325751540061"/>
  </r>
  <r>
    <s v="3525Providence Centralia Hospital482534077900, OCCUPATIONAL THERAPY"/>
    <m/>
    <x v="1"/>
    <s v="SWR"/>
    <s v="WA"/>
    <n v="3525"/>
    <x v="10"/>
    <n v="4825"/>
    <s v="Occupational Therapy: Inpatient and Outpatient"/>
    <s v="Rehabilitation Services"/>
    <s v="34077900, OCCUPATIONAL THERAPY"/>
    <s v="1000 Baseline Billed Time Units (BTUs)"/>
    <n v="238.93"/>
    <n v="208.46"/>
    <n v="0.47060000000000002"/>
    <n v="18.12"/>
    <n v="24.39"/>
    <n v="0.47060000000000002"/>
    <n v="18"/>
    <n v="22.61"/>
    <n v="23.04"/>
    <n v="24.85"/>
    <n v="0.90269999999999995"/>
    <n v="2.71"/>
    <n v="13983.980887882701"/>
    <n v="332"/>
    <n v="0.159003136823408"/>
  </r>
  <r>
    <s v="3525Providence Centralia Hospital591034084200, Security &amp; Safety"/>
    <m/>
    <x v="1"/>
    <s v="SWR"/>
    <s v="WA"/>
    <n v="3525"/>
    <x v="10"/>
    <n v="5910"/>
    <s v="Security"/>
    <s v="Other Support Services"/>
    <s v="34084200, Security &amp; Safety"/>
    <s v="1000 Gross Square Feet Patrolled"/>
    <n v="648.29999999999995"/>
    <n v="648.29999999999995"/>
    <n v="0.52939999999999998"/>
    <n v="23.72"/>
    <n v="26.32"/>
    <n v="0.42859999999999998"/>
    <n v="18"/>
    <n v="24.08"/>
    <n v="25.59"/>
    <n v="27.39"/>
    <n v="0.86899999999999999"/>
    <n v="9.44"/>
    <n v="13160.9769304439"/>
    <n v="598"/>
    <n v="0.28676337025213"/>
  </r>
  <r>
    <s v="3523Providence Everett Medical Center141031664400, Rehab"/>
    <m/>
    <x v="1"/>
    <s v="NWR"/>
    <s v="WA"/>
    <n v="3523"/>
    <x v="1"/>
    <n v="1410"/>
    <s v="Acute Rehabilitation Unit"/>
    <s v="Nursing Services"/>
    <s v="31664400, Rehab"/>
    <s v="Equivalent Patient Day"/>
    <n v="5395"/>
    <n v="5455"/>
    <m/>
    <n v="9.07"/>
    <n v="9.18"/>
    <m/>
    <n v="18"/>
    <n v="8.61"/>
    <n v="8.67"/>
    <n v="8.89"/>
    <n v="0.91110000000000002"/>
    <n v="26.43"/>
    <n v="130644.317338265"/>
    <n v="3215"/>
    <n v="1.54165807575422"/>
  </r>
  <r>
    <s v="2687Providence Holy Cross Medical Center342072076800 HOSP CAT Scan"/>
    <m/>
    <x v="2"/>
    <s v="CA"/>
    <s v="CA"/>
    <n v="2687"/>
    <x v="4"/>
    <n v="3420"/>
    <s v="Computerized Tomography"/>
    <s v="Imaging Services"/>
    <s v="72076800 HOSP CAT Scan"/>
    <s v="APC Relative Weight"/>
    <n v="90956.67"/>
    <n v="93929.7"/>
    <n v="0.47060000000000002"/>
    <n v="0.15"/>
    <n v="0.16"/>
    <n v="0"/>
    <n v="18"/>
    <n v="0.22"/>
    <n v="0.23"/>
    <n v="0.24"/>
    <n v="0.85409999999999997"/>
    <n v="8.3699999999999992"/>
    <n v="-359254.25916757702"/>
    <n v="-7837"/>
    <n v="-3.7574699801931302"/>
  </r>
  <r>
    <s v="2687Providence Holy Cross Medical Center464072072350 Hematology Oncology Infusion Therapy"/>
    <m/>
    <x v="2"/>
    <s v="CA"/>
    <s v="CA"/>
    <n v="2687"/>
    <x v="4"/>
    <n v="4640"/>
    <s v="Hematology Oncology Infusion Therapy (Hema/Onc)"/>
    <s v="Other Clinical Support Services"/>
    <s v="72072350 Hematology Oncology Infusion Therapy"/>
    <s v="Infusions"/>
    <n v="1463"/>
    <n v="2121"/>
    <n v="0.58819999999999995"/>
    <n v="1.57"/>
    <n v="2.0099999999999998"/>
    <n v="0.23530000000000001"/>
    <n v="18"/>
    <n v="2.02"/>
    <n v="2.2200000000000002"/>
    <n v="2.35"/>
    <n v="0.92510000000000003"/>
    <n v="2.2200000000000002"/>
    <n v="-31525.825958387199"/>
    <n v="-460"/>
    <n v="-0.22035563406693601"/>
  </r>
  <r>
    <s v="2687Providence Holy Cross Medical Center651072087100 Medical Staff Office"/>
    <m/>
    <x v="2"/>
    <s v="CA"/>
    <s v="CA"/>
    <n v="2687"/>
    <x v="4"/>
    <n v="6510"/>
    <s v="Medical Staff Services"/>
    <s v="Medical Staff Services"/>
    <s v="72087100 Medical Staff Office"/>
    <s v="Physicians On Active Medical Staff"/>
    <n v="155"/>
    <n v="244"/>
    <m/>
    <n v="56.34"/>
    <n v="34.760163934426231"/>
    <n v="0.92859999999999998"/>
    <n v="18"/>
    <n v="23.67"/>
    <n v="27.85"/>
    <n v="30.35"/>
    <n v="0.90720000000000001"/>
    <n v="4.49"/>
    <n v="74435.079365079349"/>
    <n v="1858.553791887125"/>
    <n v="0.8910935378468261"/>
  </r>
  <r>
    <s v="3851Providence Holy Family Hospital5111Clinical Nutrition Services (N)"/>
    <m/>
    <x v="4"/>
    <s v="PHC"/>
    <s v="WA"/>
    <n v="3851"/>
    <x v="11"/>
    <n v="5111"/>
    <s v="Clinical Nutrition Services"/>
    <s v="Food and Nutrition Services"/>
    <s v="Clinical Nutrition Services (N)"/>
    <s v="Total Medical Nutritional Therapy Interventions"/>
    <n v="19420"/>
    <n v="15769"/>
    <n v="0.58819999999999995"/>
    <n v="0.5"/>
    <n v="0.61"/>
    <n v="0.70589999999999997"/>
    <n v="18"/>
    <n v="0.39"/>
    <n v="0.44"/>
    <n v="0.45"/>
    <n v="0.89200000000000002"/>
    <n v="5.15"/>
    <n v="89651.521607248593"/>
    <n v="2963"/>
    <n v="1.4205899730193501"/>
  </r>
  <r>
    <s v="3530Providence Newberg Hospital449057004490, PHARMACY SUPPORT SVCS (U,N)"/>
    <m/>
    <x v="3"/>
    <s v="OR"/>
    <s v="OR"/>
    <n v="3530"/>
    <x v="17"/>
    <n v="4490"/>
    <s v="Pharmacy Administration and Support"/>
    <s v="Pharmacy Services"/>
    <s v="57004490, PHARMACY SUPPORT SVCS (U,N)"/>
    <s v="CMI Weighted Adjusted Discharges"/>
    <n v="12058.25"/>
    <n v="12875.95"/>
    <n v="0.50680000000000003"/>
    <n v="0.39"/>
    <n v="0.4"/>
    <n v="0.7651"/>
    <n v="18"/>
    <n v="0.17"/>
    <n v="0.19"/>
    <n v="0.21"/>
    <n v="0.87809999999999999"/>
    <n v="2.82"/>
    <n v="155508.60698380999"/>
    <n v="3096"/>
    <n v="1.4842134562468801"/>
  </r>
  <r>
    <s v="3527Providence Portland Medical Center337052275000, 52289008, 52289009 CLIN STAT LAB"/>
    <m/>
    <x v="3"/>
    <s v="OR"/>
    <s v="OR"/>
    <n v="3527"/>
    <x v="18"/>
    <n v="3370"/>
    <s v="Laboratory Services: Clinical Operations"/>
    <s v="Laboratory Services"/>
    <s v="52275000, 52289008, 52289009 CLIN STAT LAB"/>
    <s v="100 Billed Tests"/>
    <n v="6384.37"/>
    <n v="8977.3799999999992"/>
    <n v="0.4118"/>
    <n v="10.92"/>
    <n v="8.1199999999999992"/>
    <n v="6.6699999999999995E-2"/>
    <n v="18"/>
    <n v="10.33"/>
    <n v="11.16"/>
    <n v="11.81"/>
    <n v="0.89939999999999998"/>
    <n v="38.96"/>
    <n v="-763890.90984916501"/>
    <n v="-30135"/>
    <n v="-14.448339893726001"/>
  </r>
  <r>
    <s v="3852Providence Sacred Heart Medical Center5111Clinical Nutrition Services (U,N)"/>
    <m/>
    <x v="4"/>
    <s v="PHC"/>
    <s v="WA"/>
    <n v="3852"/>
    <x v="9"/>
    <n v="5111"/>
    <s v="Clinical Nutrition Services"/>
    <s v="Food and Nutrition Services"/>
    <s v="Clinical Nutrition Services (U,N)"/>
    <s v="Total Medical Nutritional Therapy Interventions"/>
    <m/>
    <n v="90126"/>
    <m/>
    <m/>
    <n v="0.45"/>
    <n v="0.48559999999999998"/>
    <n v="18"/>
    <n v="0.39"/>
    <n v="0.44"/>
    <n v="0.45"/>
    <n v="0.87450000000000006"/>
    <n v="22.17"/>
    <n v="24024.783343086601"/>
    <n v="894"/>
    <n v="0.42841919051655403"/>
  </r>
  <r>
    <s v="3852Providence Sacred Heart Medical Center633034590300, FOUNDATION"/>
    <m/>
    <x v="4"/>
    <s v="PHC"/>
    <s v="WA"/>
    <n v="3852"/>
    <x v="9"/>
    <n v="6330"/>
    <s v="Foundation"/>
    <s v="Community Outreach"/>
    <s v="34590300, FOUNDATION"/>
    <s v="$1000 New Commitments Pledged"/>
    <n v="153.1"/>
    <n v="1169.49"/>
    <n v="0.82350000000000001"/>
    <n v="95.62"/>
    <n v="15.24"/>
    <n v="0.3125"/>
    <n v="18"/>
    <n v="14.29"/>
    <n v="16.09"/>
    <n v="22.68"/>
    <n v="0.90969999999999995"/>
    <n v="9.42"/>
    <n v="-34109.0658646335"/>
    <n v="-1038"/>
    <n v="-0.497507118530915"/>
  </r>
  <r>
    <s v="3852Providence Sacred Heart Medical Center661034586100, 86103 ADMINISTRATION"/>
    <m/>
    <x v="4"/>
    <s v="PHC"/>
    <s v="WA"/>
    <n v="3852"/>
    <x v="9"/>
    <n v="6610"/>
    <s v="Administration"/>
    <s v="Administration"/>
    <s v="34586100, 86103 ADMINISTRATION"/>
    <s v="100 Adjusted Discharges"/>
    <n v="432.91"/>
    <n v="421"/>
    <n v="0.4118"/>
    <n v="27.04"/>
    <n v="30.53"/>
    <n v="0"/>
    <n v="18"/>
    <n v="53.31"/>
    <n v="57.99"/>
    <n v="63.3"/>
    <n v="0.88759999999999994"/>
    <n v="6.96"/>
    <n v="-924506.98698065802"/>
    <n v="-12989"/>
    <n v="-6.2276092319287502"/>
  </r>
  <r>
    <s v="3854Providence Saint Mary Medical Center500132584600, 84602 PLANT SERVICES / GROUNDS"/>
    <m/>
    <x v="4"/>
    <s v="SER"/>
    <s v="WA"/>
    <n v="3854"/>
    <x v="8"/>
    <n v="5001"/>
    <s v="Plant Operations / Plant Maintenance and Grounds"/>
    <s v="Facility Services"/>
    <s v="32584600, 84602 PLANT SERVICES / GROUNDS"/>
    <s v="1000 Gross Square Feet Maintained"/>
    <n v="459.21"/>
    <n v="459.21"/>
    <n v="0.35289999999999999"/>
    <n v="35.57"/>
    <n v="34.01"/>
    <n v="0.64710000000000001"/>
    <n v="18"/>
    <n v="24.84"/>
    <n v="26.45"/>
    <n v="29.1"/>
    <n v="0.88370000000000004"/>
    <n v="8.5"/>
    <n v="111088.536804494"/>
    <n v="3984"/>
    <n v="1.91007734823968"/>
  </r>
  <r>
    <s v="3533Providence San Pedro Peninsula Hospital583077287500 SPH UTILZ CARE MGT"/>
    <m/>
    <x v="2"/>
    <s v="CA"/>
    <s v="CA"/>
    <n v="3533"/>
    <x v="14"/>
    <n v="5830"/>
    <s v="Case Management / Utilization Management"/>
    <s v="Clinical Resource Management Services"/>
    <s v="77287500 SPH UTILZ CARE MGT"/>
    <s v="Total Cases"/>
    <n v="21306"/>
    <n v="29009"/>
    <n v="0.47060000000000002"/>
    <n v="0.49"/>
    <n v="0.51"/>
    <n v="0"/>
    <n v="18"/>
    <n v="0.72"/>
    <n v="0.91"/>
    <n v="1.1200000000000001"/>
    <n v="0.90810000000000002"/>
    <n v="7.79"/>
    <n v="-633363.15011241997"/>
    <n v="-12822"/>
    <n v="-6.1476204475785599"/>
  </r>
  <r>
    <s v="3533Providence San Pedro Peninsula Hospital504077284601 SPH BIO MED ENGINEER"/>
    <m/>
    <x v="2"/>
    <s v="CA"/>
    <s v="CA"/>
    <n v="3533"/>
    <x v="14"/>
    <n v="5040"/>
    <s v="Biomedical Engineering"/>
    <s v="Facility Services"/>
    <s v="77284601 SPH BIO MED ENGINEER"/>
    <s v="100 Equipment and Devices Maintained"/>
    <n v="19.93"/>
    <n v="21.05"/>
    <s v=" "/>
    <n v="4.82"/>
    <n v="135.27838479809975"/>
    <n v="0.23530000000000001"/>
    <n v="18"/>
    <n v="161.75"/>
    <n v="176.94"/>
    <n v="194.83"/>
    <n v="0.91590000000000005"/>
    <n v="1.49"/>
    <n v="-36988.340987007323"/>
    <n v="-957.50300251119131"/>
    <n v="-0.45907992640897127"/>
  </r>
  <r>
    <s v="3533Providence San Pedro Peninsula Hospital582577287520, SPH PI AND OUTCOMES"/>
    <m/>
    <x v="2"/>
    <s v="CA"/>
    <s v="CA"/>
    <n v="3533"/>
    <x v="14"/>
    <n v="5825"/>
    <s v="Quality Management"/>
    <s v="Clinical Resource Management Services"/>
    <s v="77287520, SPH PI AND OUTCOMES"/>
    <s v="Total Admissions And Registrations"/>
    <n v="65996"/>
    <n v="66779"/>
    <n v="0.58819999999999995"/>
    <n v="0.12"/>
    <n v="0.1"/>
    <n v="0.47060000000000002"/>
    <n v="18"/>
    <n v="0.08"/>
    <n v="0.09"/>
    <n v="0.1"/>
    <n v="0.90680000000000005"/>
    <n v="3.54"/>
    <n v="41239.630463477697"/>
    <n v="756"/>
    <n v="0.36225482368130402"/>
  </r>
  <r>
    <s v="3533Providence San Pedro Peninsula Hospital101077260100, SPH ICU IMCU"/>
    <m/>
    <x v="2"/>
    <s v="CA"/>
    <s v="CA"/>
    <n v="3533"/>
    <x v="14"/>
    <n v="1010"/>
    <s v="Medical/Surgical Intensive Care Unit"/>
    <s v="Nursing Services"/>
    <s v="77260100, SPH ICU IMCU"/>
    <s v="Equivalent Patient Day"/>
    <n v="2316"/>
    <n v="2602"/>
    <n v="0.52939999999999998"/>
    <n v="19.84"/>
    <n v="19.5"/>
    <n v="0.33329999999999999"/>
    <n v="18"/>
    <n v="18.82"/>
    <n v="19.559999999999999"/>
    <n v="19.940000000000001"/>
    <n v="0.91159999999999997"/>
    <n v="26.75"/>
    <n v="-1888.64089932149"/>
    <n v="-38"/>
    <n v="-1.8250328618354E-2"/>
  </r>
  <r>
    <s v="3533Providence San Pedro Peninsula Hospital121077261721, SPH 2W MED SURG"/>
    <m/>
    <x v="2"/>
    <s v="CA"/>
    <s v="CA"/>
    <n v="3533"/>
    <x v="14"/>
    <n v="1210"/>
    <s v="Medical/Surgical Acute Care Unit"/>
    <s v="Nursing Services"/>
    <s v="77261721, SPH 2W MED SURG"/>
    <s v="Equivalent Patient Day"/>
    <n v="6149"/>
    <n v="6596"/>
    <n v="0.47060000000000002"/>
    <n v="10.4"/>
    <n v="11.34"/>
    <n v="0.75"/>
    <n v="18"/>
    <n v="9.59"/>
    <n v="10.41"/>
    <n v="10.86"/>
    <n v="0.92820000000000003"/>
    <n v="38.74"/>
    <n v="271768.26265878201"/>
    <n v="6824"/>
    <n v="3.2718961615648499"/>
  </r>
  <r>
    <s v="2719Providence St Joseph Medical Center111171061300 - 01111 - 71061300 3N (inlcudes 6 South)"/>
    <m/>
    <x v="2"/>
    <s v="CA"/>
    <s v="CA"/>
    <n v="2719"/>
    <x v="6"/>
    <n v="1111"/>
    <s v="Med/Surg/Cardiac Intermediate Care Unit"/>
    <s v="Nursing Services"/>
    <s v="71061300 - 01111 - 71061300 3N (inlcudes 6 South)"/>
    <s v="Equivalent Patient Day"/>
    <n v="10960"/>
    <n v="11650.58"/>
    <n v="0.88239999999999996"/>
    <n v="12.18"/>
    <n v="12.06"/>
    <n v="0.30769999999999997"/>
    <n v="18"/>
    <n v="11.76"/>
    <n v="12.13"/>
    <n v="12.32"/>
    <n v="0.89339999999999997"/>
    <n v="75.62"/>
    <n v="-18960.419213203899"/>
    <n v="-463"/>
    <n v="-0.222136361971252"/>
  </r>
  <r>
    <s v="2719Providence St Joseph Medical Center422071076100 - 04220 - PSJMC ECG (U)"/>
    <m/>
    <x v="2"/>
    <s v="CA"/>
    <s v="CA"/>
    <n v="2719"/>
    <x v="6"/>
    <n v="4220"/>
    <s v="Combined Noninvasive Cardiology and Vascular Services"/>
    <s v="Cardiology and Vascular Services Series"/>
    <s v="71076100 - 04220 - PSJMC ECG (U)"/>
    <s v="APC Relative Weight"/>
    <n v="39744.92"/>
    <n v="59735.44"/>
    <n v="0.45850000000000002"/>
    <n v="0.47"/>
    <n v="0.31"/>
    <n v="0.60660000000000003"/>
    <n v="18"/>
    <n v="0.23"/>
    <n v="0.26"/>
    <n v="0.3"/>
    <n v="0.87880000000000003"/>
    <n v="10.029999999999999"/>
    <n v="122289.981912923"/>
    <n v="3246"/>
    <n v="1.55648650304851"/>
  </r>
  <r>
    <s v="3855Providence St Joseph Medical Center Polson661046586100, ADMINISTRATION (U)"/>
    <m/>
    <x v="4"/>
    <s v="WMR"/>
    <s v="MT"/>
    <n v="3855"/>
    <x v="30"/>
    <n v="6610"/>
    <s v="Administration"/>
    <s v="Administration"/>
    <s v="46586100, ADMINISTRATION (U)"/>
    <s v="100 Adjusted Discharges"/>
    <n v="33.17"/>
    <n v="37.18"/>
    <n v="0.27650000000000002"/>
    <n v="232.24"/>
    <n v="209.71"/>
    <n v="0.67410000000000003"/>
    <n v="18"/>
    <n v="89.04"/>
    <n v="94"/>
    <n v="116.17"/>
    <n v="0.93389999999999995"/>
    <n v="4.01"/>
    <n v="358238.07302218099"/>
    <n v="4621"/>
    <n v="2.2157414579158199"/>
  </r>
  <r>
    <s v="3848Providence St Patrick Hospital &amp; Health Science Ce171046072300, OBSERVATION UNIT"/>
    <m/>
    <x v="4"/>
    <s v="WMR"/>
    <s v="MT"/>
    <n v="3848"/>
    <x v="21"/>
    <n v="1710"/>
    <s v="Observation Unit"/>
    <s v="Nursing Services"/>
    <s v="46072300, OBSERVATION UNIT"/>
    <s v="Outpatient Observation Days"/>
    <n v="5550"/>
    <n v="2417"/>
    <m/>
    <n v="1.96"/>
    <n v="4.5599999999999996"/>
    <m/>
    <n v="18"/>
    <n v="11.57"/>
    <n v="12.21"/>
    <n v="13.55"/>
    <n v="0.89590000000000003"/>
    <n v="5.92"/>
    <n v="-696164.54600346996"/>
    <n v="-20593"/>
    <n v="-9.8735928016045005"/>
  </r>
  <r>
    <s v="3524Providence St Peter Hospital582533087520, QUALITY ASSURANCE"/>
    <m/>
    <x v="1"/>
    <s v="SWR"/>
    <s v="WA"/>
    <n v="3524"/>
    <x v="2"/>
    <n v="5825"/>
    <s v="Quality Management"/>
    <s v="Clinical Resource Management Services"/>
    <s v="33087520, QUALITY ASSURANCE"/>
    <s v="Total Admissions And Registrations"/>
    <n v="146867"/>
    <n v="175394"/>
    <n v="0.52939999999999998"/>
    <n v="0.16"/>
    <n v="0.08"/>
    <n v="0.23530000000000001"/>
    <n v="18"/>
    <n v="0.08"/>
    <n v="0.09"/>
    <n v="0.11"/>
    <n v="0.83840000000000003"/>
    <n v="8.42"/>
    <n v="-49458.616820777897"/>
    <n v="-1266"/>
    <n v="-0.60722217484601504"/>
  </r>
  <r>
    <s v="3524Providence St Peter Hospital123833061730, MEDICAL ONCOLOGY"/>
    <m/>
    <x v="1"/>
    <s v="SWR"/>
    <s v="WA"/>
    <n v="3524"/>
    <x v="2"/>
    <n v="1238"/>
    <s v="Oncology Acute Care Unit"/>
    <s v="Nursing Services"/>
    <s v="33061730, MEDICAL ONCOLOGY"/>
    <s v="Equivalent Patient Day"/>
    <n v="7929.69"/>
    <n v="8278.76"/>
    <n v="0.52939999999999998"/>
    <n v="11.13"/>
    <n v="11.06"/>
    <n v="0.70589999999999997"/>
    <n v="18"/>
    <n v="9.39"/>
    <n v="10.199999999999999"/>
    <n v="10.77"/>
    <n v="0.90039999999999998"/>
    <n v="48.87"/>
    <n v="315635.39199738199"/>
    <n v="8144"/>
    <n v="3.9046335660867899"/>
  </r>
  <r>
    <s v="3524Providence St Peter Hospital229933064201, Chemical Dependency Admin"/>
    <m/>
    <x v="1"/>
    <s v="SWR"/>
    <s v="WA"/>
    <n v="3524"/>
    <x v="2"/>
    <n v="2299"/>
    <s v="Ambulatory Services Administration"/>
    <s v="Ambulatory Care Clinics"/>
    <s v="33064201, Chemical Dependency Admin"/>
    <s v="Patient Visits Supported"/>
    <m/>
    <n v="10324"/>
    <n v="0.47060000000000002"/>
    <m/>
    <n v="1.1000000000000001"/>
    <n v="1"/>
    <n v="18"/>
    <n v="0.3"/>
    <n v="0.31"/>
    <n v="0.34"/>
    <n v="0.8901"/>
    <n v="6.13"/>
    <n v="190661.59476171501"/>
    <n v="9190"/>
    <n v="4.4060723016496199"/>
  </r>
  <r>
    <s v="3535Providence St Vincent Medical Center201053070100, 53070101 EMERGENCY SVCS"/>
    <m/>
    <x v="3"/>
    <s v="OR"/>
    <s v="OR"/>
    <n v="3535"/>
    <x v="22"/>
    <n v="2010"/>
    <s v="Emergency Department"/>
    <s v="Emergency Services"/>
    <s v="53070100, 53070101 EMERGENCY SVCS"/>
    <s v="Patient Visits"/>
    <n v="77043"/>
    <n v="75447"/>
    <n v="0.58819999999999995"/>
    <n v="2.58"/>
    <n v="3.02"/>
    <n v="0.64710000000000001"/>
    <n v="18"/>
    <n v="2.69"/>
    <n v="2.76"/>
    <n v="2.83"/>
    <n v="0.90549999999999997"/>
    <n v="120.9"/>
    <n v="987849.31835771701"/>
    <n v="22196"/>
    <n v="10.641834612158901"/>
  </r>
  <r>
    <s v="3535Providence St Vincent Medical Center124053061770, ORTHOPEDICS - 9W"/>
    <m/>
    <x v="3"/>
    <s v="OR"/>
    <s v="OR"/>
    <n v="3535"/>
    <x v="22"/>
    <n v="1240"/>
    <s v="Orthopedic Acute Care Unit"/>
    <s v="Nursing Services"/>
    <s v="53061770, ORTHOPEDICS - 9W"/>
    <s v="Equivalent Patient Day"/>
    <n v="4727.08"/>
    <n v="4546"/>
    <n v="0.4118"/>
    <n v="9.19"/>
    <n v="9.69"/>
    <n v="0.1176"/>
    <n v="18"/>
    <n v="9.9600000000000009"/>
    <n v="10.43"/>
    <n v="10.89"/>
    <n v="0.85299999999999998"/>
    <n v="24.84"/>
    <n v="-166059.66805368999"/>
    <n v="-3777"/>
    <n v="-1.8109606165941801"/>
  </r>
  <r>
    <s v="3535Providence St Vincent Medical Center487253070813, BRIDGEPORT REHAB SRVS"/>
    <m/>
    <x v="3"/>
    <s v="OR"/>
    <s v="OR"/>
    <n v="3535"/>
    <x v="22"/>
    <n v="4872"/>
    <s v="PT/OT/SLP Combined: Outpatient"/>
    <s v="Rehabilitation Services"/>
    <s v="53070813, BRIDGEPORT REHAB SRVS"/>
    <s v="1000 Baseline Billed Time Units (BTUs)"/>
    <n v="489.97"/>
    <n v="712.64"/>
    <n v="0.4118"/>
    <n v="24.14"/>
    <n v="21.38"/>
    <n v="0.2"/>
    <n v="18"/>
    <n v="22.02"/>
    <n v="22.65"/>
    <n v="23.84"/>
    <n v="0.91080000000000005"/>
    <n v="8.0399999999999991"/>
    <n v="-33960.553926258697"/>
    <n v="-953"/>
    <n v="-0.45695931192915901"/>
  </r>
  <r>
    <s v="3535Providence St Vincent Medical Center500153084100, 53084500, 53084600 GARDEN &amp; GROUNDS, FACILITY &amp; MAINT"/>
    <m/>
    <x v="3"/>
    <s v="OR"/>
    <s v="OR"/>
    <n v="3535"/>
    <x v="22"/>
    <n v="5001"/>
    <s v="Plant Operations / Plant Maintenance and Grounds"/>
    <s v="Facility Services"/>
    <s v="53084100, 53084500, 53084600 GARDEN &amp; GROUNDS, FACILITY &amp; MAINT"/>
    <s v="1000 Gross Square Feet Maintained"/>
    <n v="2197.11"/>
    <n v="2197.11"/>
    <n v="0.47060000000000002"/>
    <n v="26.41"/>
    <n v="20.510297618234862"/>
    <n v="0.17649999999999999"/>
    <n v="18"/>
    <n v="25.03"/>
    <n v="27.45"/>
    <n v="29.52"/>
    <n v="0.88109999999999999"/>
    <n v="28.67"/>
    <n v="-618647.82615480665"/>
    <n v="-17304.834298036549"/>
    <n v="-8.2968951901215657"/>
  </r>
  <r>
    <s v="3535Providence St Vincent Medical Center560853005608, CENTRALIZED SCHEDULING (U,N)"/>
    <m/>
    <x v="3"/>
    <s v="OR"/>
    <s v="OR"/>
    <n v="3535"/>
    <x v="22"/>
    <n v="5608"/>
    <s v="Centralized Scheduling"/>
    <s v="Revenue Cycle Management"/>
    <s v="53005608, CENTRALIZED SCHEDULING (U,N)"/>
    <s v="Adjusted Discharges"/>
    <n v="48308.45"/>
    <n v="48912.93"/>
    <n v="0.80379999999999996"/>
    <n v="0.78"/>
    <n v="0.71"/>
    <n v="0.40910000000000002"/>
    <n v="18"/>
    <n v="0.54"/>
    <n v="0.65"/>
    <n v="0.91"/>
    <n v="0.88349999999999995"/>
    <n v="18.87"/>
    <n v="69212.894778012604"/>
    <n v="3371"/>
    <n v="1.6164430966693499"/>
  </r>
  <r>
    <s v="4283Providence St. John's Health Center592573583700, SJHC CENTRAL TRANSPORTATION (U)"/>
    <m/>
    <x v="2"/>
    <s v="CA"/>
    <s v="CA"/>
    <n v="4283"/>
    <x v="23"/>
    <n v="5925"/>
    <s v="Patient Escort (Transport) Service"/>
    <s v="Other Support Services"/>
    <s v="73583700, SJHC CENTRAL TRANSPORTATION (U)"/>
    <s v="100 Patient Transports Performed"/>
    <m/>
    <n v="373.43"/>
    <n v="0.44650000000000001"/>
    <m/>
    <n v="60.79"/>
    <n v="0.65690000000000004"/>
    <n v="18"/>
    <n v="38.01"/>
    <n v="49.39"/>
    <n v="54.4"/>
    <n v="0.95099999999999996"/>
    <n v="11.48"/>
    <n v="87408.216271828001"/>
    <n v="4550"/>
    <n v="2.1814362535894198"/>
  </r>
  <r>
    <s v="3849Providence Willamette Falls Medical Center349953576395, DIAGNOSTIC IMAGING ADM SUPPORT"/>
    <m/>
    <x v="3"/>
    <s v="OR"/>
    <s v="OR"/>
    <n v="3849"/>
    <x v="7"/>
    <n v="3499"/>
    <s v="Imaging Services Administration"/>
    <s v="Imaging Services"/>
    <s v="53576395, DIAGNOSTIC IMAGING ADM SUPPORT"/>
    <s v="APC Relative Weight Supported"/>
    <n v="100162.54"/>
    <n v="103524.81"/>
    <n v="0.58819999999999995"/>
    <n v="0.08"/>
    <n v="0.04"/>
    <n v="0.125"/>
    <n v="18"/>
    <n v="0.06"/>
    <n v="7.0000000000000007E-2"/>
    <n v="7.0000000000000007E-2"/>
    <n v="0.77470000000000006"/>
    <n v="2.71"/>
    <n v="-125558.04345278299"/>
    <n v="-3702"/>
    <n v="-1.7749446227227099"/>
  </r>
  <r>
    <s v="3930Swedish Ballard411021577200 RESPIRATORY THERAPY"/>
    <m/>
    <x v="1"/>
    <s v="SHS"/>
    <s v="WA"/>
    <n v="3930"/>
    <x v="24"/>
    <n v="4110"/>
    <s v="Respiratory Care"/>
    <s v="Respiratory and Pulmonary Care Services"/>
    <s v="21577200 RESPIRATORY THERAPY"/>
    <s v="CMI Weighted Total Facility Discharges"/>
    <n v="4639.47"/>
    <n v="4887.6899999999996"/>
    <n v="0.35289999999999999"/>
    <n v="1.91"/>
    <n v="1.82"/>
    <n v="5.8799999999999998E-2"/>
    <n v="18"/>
    <n v="2.54"/>
    <n v="3.25"/>
    <n v="4.05"/>
    <n v="0.90590000000000004"/>
    <n v="4.71"/>
    <n v="-408641.45538373501"/>
    <n v="-7711"/>
    <n v="-3.6972684180302"/>
  </r>
  <r>
    <s v="3930Swedish Ballard591021584200 SECURITY"/>
    <m/>
    <x v="1"/>
    <s v="SHS"/>
    <s v="WA"/>
    <n v="3930"/>
    <x v="24"/>
    <n v="5910"/>
    <s v="Security"/>
    <s v="Other Support Services"/>
    <s v="21584200 SECURITY"/>
    <s v="1000 Gross Square Feet Patrolled"/>
    <n v="520.09"/>
    <n v="520.09"/>
    <n v="0.4118"/>
    <n v="34.78"/>
    <n v="33.03"/>
    <n v="0.47060000000000002"/>
    <n v="18"/>
    <n v="25.66"/>
    <n v="27.33"/>
    <n v="34.700000000000003"/>
    <n v="0.87749999999999995"/>
    <n v="9.41"/>
    <n v="89100.712470555096"/>
    <n v="3428"/>
    <n v="1.6436104749107601"/>
  </r>
  <r>
    <s v="3928Swedish Cherry Hill1830Centralized Telemetry (N)"/>
    <m/>
    <x v="1"/>
    <s v="SHS"/>
    <s v="WA"/>
    <n v="3928"/>
    <x v="25"/>
    <n v="1830"/>
    <s v="Centralized Telemetry"/>
    <s v="Nursing Services"/>
    <s v="Centralized Telemetry (N)"/>
    <s v="Telemetry Days Supported"/>
    <n v="28916"/>
    <n v="44125"/>
    <n v="0.47060000000000002"/>
    <n v="0.65"/>
    <n v="0.49"/>
    <n v="0.29409999999999997"/>
    <n v="18"/>
    <n v="0.48"/>
    <n v="0.51"/>
    <n v="0.57999999999999996"/>
    <n v="0.88980000000000004"/>
    <n v="11.59"/>
    <n v="-29423.658979437299"/>
    <n v="-1118"/>
    <n v="-0.53580701175790701"/>
  </r>
  <r>
    <s v="3928Swedish Cherry Hill425022075710 ELECTROPHYSIOLOGY LAB/22075702 STERIOTAXIS LAB"/>
    <m/>
    <x v="1"/>
    <s v="SHS"/>
    <s v="WA"/>
    <n v="3928"/>
    <x v="25"/>
    <n v="4250"/>
    <s v="Electrophysiology Laboratory"/>
    <s v="Cardiology and Vascular Services Series"/>
    <s v="22075710 ELECTROPHYSIOLOGY LAB/22075702 STERIOTAXIS LAB"/>
    <s v="Procedure Minutes"/>
    <n v="166207"/>
    <n v="184326"/>
    <n v="0.47060000000000002"/>
    <n v="0.1"/>
    <n v="0.11"/>
    <n v="0.375"/>
    <n v="18"/>
    <n v="0.09"/>
    <n v="0.1"/>
    <n v="0.12"/>
    <n v="0.89729999999999999"/>
    <n v="10.71"/>
    <n v="94240.053826739299"/>
    <n v="1796"/>
    <n v="0.86088768887730904"/>
  </r>
  <r>
    <s v="3928Swedish Cherry Hill141022064400, REHAB UNIT"/>
    <m/>
    <x v="1"/>
    <s v="SHS"/>
    <s v="WA"/>
    <n v="3928"/>
    <x v="25"/>
    <n v="1410"/>
    <s v="Acute Rehabilitation Unit"/>
    <s v="Nursing Services"/>
    <s v="22064400, REHAB UNIT"/>
    <s v="Equivalent Patient Day"/>
    <n v="5830"/>
    <n v="6609"/>
    <n v="0.47060000000000002"/>
    <n v="10.029999999999999"/>
    <n v="10.66"/>
    <n v="0.8125"/>
    <n v="18"/>
    <n v="9.66"/>
    <n v="9.89"/>
    <n v="10.15"/>
    <n v="0.90310000000000001"/>
    <n v="37.5"/>
    <n v="255775.00830633601"/>
    <n v="5838"/>
    <n v="2.7988106518635201"/>
  </r>
  <r>
    <s v="3928Swedish Cherry Hill511122083401 DIET CONSULTANTS"/>
    <m/>
    <x v="1"/>
    <s v="SHS"/>
    <s v="WA"/>
    <n v="3928"/>
    <x v="25"/>
    <n v="5111"/>
    <s v="Clinical Nutrition Services"/>
    <s v="Food and Nutrition Services"/>
    <s v="22083401 DIET CONSULTANTS"/>
    <s v="Total Medical Nutritional Therapy Interventions"/>
    <n v="27516"/>
    <n v="36942"/>
    <n v="0.52939999999999998"/>
    <n v="0.39"/>
    <n v="0.33"/>
    <n v="0.21429999999999999"/>
    <n v="18"/>
    <n v="0.34"/>
    <n v="0.36"/>
    <n v="0.37"/>
    <n v="0.87690000000000001"/>
    <n v="6.7"/>
    <n v="-33888.918254894503"/>
    <n v="-1192"/>
    <n v="-0.57144952044706399"/>
  </r>
  <r>
    <s v="3928Swedish Cherry Hill500122084500 FACILITY MANAGEMENT/22084560 FACILITIES CONSTRUCTION"/>
    <m/>
    <x v="1"/>
    <s v="SHS"/>
    <s v="WA"/>
    <n v="3928"/>
    <x v="25"/>
    <n v="5001"/>
    <s v="Plant Operations / Plant Maintenance and Grounds"/>
    <s v="Facility Services"/>
    <s v="22084500 FACILITY MANAGEMENT/22084560 FACILITIES CONSTRUCTION"/>
    <s v="1000 Gross Square Feet Maintained"/>
    <n v="936.16"/>
    <n v="964.23"/>
    <n v="0.52939999999999998"/>
    <n v="37.78"/>
    <n v="28.57"/>
    <n v="0.17649999999999999"/>
    <n v="18"/>
    <n v="31.24"/>
    <n v="33.6"/>
    <n v="36.75"/>
    <n v="0.87460000000000004"/>
    <n v="15.14"/>
    <n v="-197113.77199306499"/>
    <n v="-5466"/>
    <n v="-2.6206396462683101"/>
  </r>
  <r>
    <s v="3929Swedish Edmonds554023084700 TELECOMMUNICATIONS"/>
    <m/>
    <x v="1"/>
    <s v="SHS"/>
    <s v="WA"/>
    <n v="3929"/>
    <x v="31"/>
    <n v="5540"/>
    <s v="Telecom Switchboard Combined"/>
    <s v="Information Technology"/>
    <s v="23084700 TELECOMMUNICATIONS"/>
    <s v="Adjusted Discharges"/>
    <n v="14737.7"/>
    <n v="17352.55"/>
    <n v="0.23530000000000001"/>
    <n v="0.61"/>
    <n v="0.53"/>
    <n v="0.4118"/>
    <n v="18"/>
    <n v="0.46"/>
    <n v="0.47"/>
    <n v="0.56999999999999995"/>
    <n v="0.86360000000000003"/>
    <n v="5.0999999999999996"/>
    <n v="26982.392037303402"/>
    <n v="1193"/>
    <n v="0.57210145097309395"/>
  </r>
  <r>
    <s v="3929Swedish Edmonds229823070701, 23078780 WOUND OSTOMY CLINIC, HYPERBARIC OXYGEN CHAMBER"/>
    <m/>
    <x v="1"/>
    <s v="SHS"/>
    <s v="WA"/>
    <n v="3929"/>
    <x v="31"/>
    <n v="2298"/>
    <s v="Wound Care"/>
    <s v="Ambulatory Care Clinics"/>
    <s v="23070701, 23078780 WOUND OSTOMY CLINIC, HYPERBARIC OXYGEN CHAMBER"/>
    <s v="Patient Visits"/>
    <n v="7481"/>
    <n v="8537"/>
    <n v="0.58819999999999995"/>
    <n v="1.68"/>
    <n v="1.74"/>
    <n v="0.5"/>
    <n v="18"/>
    <n v="1.36"/>
    <n v="1.58"/>
    <n v="1.74"/>
    <n v="0.90649999999999997"/>
    <n v="7.86"/>
    <n v="67114.420529498602"/>
    <n v="1514"/>
    <n v="0.72584207576817095"/>
  </r>
  <r>
    <s v="3929Swedish Edmonds585023087550, 23083600 CARE COORDINATION, ED SOCIAL WORKERS"/>
    <m/>
    <x v="1"/>
    <s v="SHS"/>
    <s v="WA"/>
    <n v="3929"/>
    <x v="31"/>
    <n v="5850"/>
    <s v="Clinical Resource Management"/>
    <s v="Clinical Resource Management Services"/>
    <s v="23087550, 23083600 CARE COORDINATION, ED SOCIAL WORKERS"/>
    <s v="Total Cases"/>
    <n v="19370"/>
    <n v="40176"/>
    <n v="0.52939999999999998"/>
    <n v="1.9"/>
    <n v="0.98"/>
    <n v="0.4667"/>
    <n v="18"/>
    <n v="0.85"/>
    <n v="0.9"/>
    <n v="0.99"/>
    <n v="0.89339999999999997"/>
    <n v="21.17"/>
    <n v="164701.80651825099"/>
    <n v="3681"/>
    <n v="1.7650997088395599"/>
  </r>
  <r>
    <s v="3927Swedish First Hill101021060100 INTENSIVE CARE"/>
    <m/>
    <x v="1"/>
    <s v="SHS"/>
    <s v="WA"/>
    <n v="3927"/>
    <x v="26"/>
    <n v="1010"/>
    <s v="Medical/Surgical Intensive Care Unit"/>
    <s v="Nursing Services"/>
    <s v="21060100 INTENSIVE CARE"/>
    <s v="Equivalent Patient Day"/>
    <n v="12441.79"/>
    <n v="12513"/>
    <n v="0.94120000000000004"/>
    <n v="19.47"/>
    <n v="20.48"/>
    <n v="0.58819999999999995"/>
    <n v="18"/>
    <n v="18.170000000000002"/>
    <n v="19.07"/>
    <n v="20.12"/>
    <n v="0.89370000000000005"/>
    <n v="137.83000000000001"/>
    <n v="1038136.0344791299"/>
    <n v="20467"/>
    <n v="9.8127367751724499"/>
  </r>
  <r>
    <s v="3927Swedish First Hill341221075700 CARDIAC CATHERIZATION"/>
    <m/>
    <x v="1"/>
    <s v="SHS"/>
    <s v="WA"/>
    <n v="3927"/>
    <x v="26"/>
    <n v="3412"/>
    <s v="Interventional Radiology"/>
    <s v="Imaging Services"/>
    <s v="21075700 CARDIAC CATHERIZATION"/>
    <s v="APC Relative Weight"/>
    <n v="13347.03"/>
    <n v="47063.16"/>
    <n v="0.47060000000000002"/>
    <n v="0.14000000000000001"/>
    <n v="0.22"/>
    <n v="0.3125"/>
    <n v="18"/>
    <n v="0.21"/>
    <n v="0.24"/>
    <n v="0.26"/>
    <n v="0.95399999999999996"/>
    <n v="5.21"/>
    <n v="-47997.462710093001"/>
    <n v="-973"/>
    <n v="-0.46664989176069599"/>
  </r>
  <r>
    <s v="3927Swedish First Hill224221074303 SCI COLORECTAL SURGERY"/>
    <m/>
    <x v="1"/>
    <s v="SHS"/>
    <s v="WA"/>
    <n v="3927"/>
    <x v="26"/>
    <n v="2242"/>
    <s v="General Surgery Clinic"/>
    <s v="Ambulatory Care Clinics"/>
    <s v="21074303 SCI COLORECTAL SURGERY"/>
    <s v="Patient Visits"/>
    <n v="8543"/>
    <n v="9340"/>
    <n v="0.47060000000000002"/>
    <n v="1.17"/>
    <n v="1.78"/>
    <n v="0.4667"/>
    <n v="18"/>
    <n v="1.55"/>
    <n v="1.66"/>
    <n v="1.82"/>
    <n v="0.87809999999999999"/>
    <n v="9.08"/>
    <n v="43996.801771911698"/>
    <n v="1281"/>
    <n v="0.61437267522379502"/>
  </r>
  <r>
    <s v="3927Swedish First Hill341121076300 MEDICAL IMAGING"/>
    <m/>
    <x v="1"/>
    <s v="SHS"/>
    <s v="WA"/>
    <n v="3927"/>
    <x v="26"/>
    <n v="3411"/>
    <s v="Diagnostic Radiology Without Interventional Procedures"/>
    <s v="Imaging Services"/>
    <s v="21076300 MEDICAL IMAGING"/>
    <s v="APC Relative Weight"/>
    <n v="52678.74"/>
    <n v="55303.87"/>
    <n v="0.52939999999999998"/>
    <n v="0.86"/>
    <n v="0.76"/>
    <n v="0.64710000000000001"/>
    <n v="18"/>
    <n v="0.57999999999999996"/>
    <n v="0.59"/>
    <n v="0.64"/>
    <n v="0.85489999999999999"/>
    <n v="23.61"/>
    <n v="475220.14083619398"/>
    <n v="11076"/>
    <n v="5.3104514243909202"/>
  </r>
  <r>
    <s v="3927Swedish First Hill511121083401 DIET CONSULTANTS"/>
    <m/>
    <x v="1"/>
    <s v="SHS"/>
    <s v="WA"/>
    <n v="3927"/>
    <x v="26"/>
    <n v="5111"/>
    <s v="Clinical Nutrition Services"/>
    <s v="Food and Nutrition Services"/>
    <s v="21083401 DIET CONSULTANTS"/>
    <s v="Total Medical Nutritional Therapy Interventions"/>
    <n v="63190"/>
    <n v="90940"/>
    <n v="0.4118"/>
    <n v="0.42"/>
    <n v="0.35"/>
    <n v="0.2"/>
    <n v="18"/>
    <n v="0.35"/>
    <n v="0.36"/>
    <n v="0.41"/>
    <n v="0.88859999999999995"/>
    <n v="17.190000000000001"/>
    <n v="-29979.253549274301"/>
    <n v="-989"/>
    <n v="-0.47441667977534202"/>
  </r>
  <r>
    <s v="3931Swedish Issaquah301122574200 SURGERY"/>
    <m/>
    <x v="1"/>
    <s v="SHS"/>
    <s v="WA"/>
    <n v="3931"/>
    <x v="28"/>
    <n v="3011"/>
    <s v="Operating Room"/>
    <s v="Surgical Services"/>
    <s v="22574200 SURGERY"/>
    <s v="100 Operating Room Minutes"/>
    <n v="4561.5200000000004"/>
    <n v="5550.49"/>
    <n v="0.47060000000000002"/>
    <n v="11.46"/>
    <n v="10.32"/>
    <n v="5.8799999999999998E-2"/>
    <n v="18"/>
    <n v="10.8"/>
    <n v="11.35"/>
    <n v="12.87"/>
    <n v="0.88449999999999995"/>
    <n v="31.15"/>
    <n v="-258880.82905679199"/>
    <n v="-6255"/>
    <n v="-2.9989620306876899"/>
  </r>
  <r>
    <s v="3931Swedish Issaquah441122577102 RETAIL PHARMACY"/>
    <m/>
    <x v="1"/>
    <s v="SHS"/>
    <s v="WA"/>
    <n v="3931"/>
    <x v="28"/>
    <n v="4411"/>
    <s v="Pharmacy Retail/Prescription Services"/>
    <s v="Pharmacy Services"/>
    <s v="22577102 RETAIL PHARMACY"/>
    <s v="Retail Prescriptions Processed"/>
    <n v="36010"/>
    <n v="36213"/>
    <n v="0.58819999999999995"/>
    <n v="0.19"/>
    <n v="0.19"/>
    <n v="5.8799999999999998E-2"/>
    <n v="18"/>
    <n v="0.21"/>
    <n v="0.23"/>
    <n v="0.26"/>
    <n v="0.91859999999999997"/>
    <n v="3.51"/>
    <n v="-79178.175924467796"/>
    <n v="-1746"/>
    <n v="-0.83724441734385702"/>
  </r>
  <r>
    <s v="3931Swedish Issaquah101022561724 INTENSIVE CARE TELEMETRY"/>
    <m/>
    <x v="1"/>
    <s v="SHS"/>
    <s v="WA"/>
    <n v="3931"/>
    <x v="28"/>
    <n v="1010"/>
    <s v="Medical/Surgical Intensive Care Unit"/>
    <s v="Nursing Services"/>
    <s v="22561724 INTENSIVE CARE TELEMETRY"/>
    <s v="Equivalent Patient Day"/>
    <n v="1585.92"/>
    <n v="1102"/>
    <n v="0.52939999999999998"/>
    <n v="19.489999999999998"/>
    <n v="29.92"/>
    <n v="0.82350000000000001"/>
    <n v="18"/>
    <n v="18.45"/>
    <n v="19.43"/>
    <n v="20.94"/>
    <n v="0.90610000000000002"/>
    <n v="17.489999999999998"/>
    <n v="675034.91753922205"/>
    <n v="12848"/>
    <n v="6.1600909510532897"/>
  </r>
  <r>
    <s v="2947Providence Alaska Medical Center3370Laboratory"/>
    <m/>
    <x v="0"/>
    <s v="AK"/>
    <s v="AK"/>
    <n v="2947"/>
    <x v="0"/>
    <n v="3370"/>
    <s v="Laboratory Services: Clinical Operations"/>
    <s v="Laboratory Services"/>
    <s v="Laboratory"/>
    <s v="100 Billed Tests"/>
    <n v="7501.79"/>
    <n v="7607.18"/>
    <n v="0.5"/>
    <n v="11.06"/>
    <n v="10.71"/>
    <n v="0.22220000000000001"/>
    <n v="19"/>
    <n v="10.91"/>
    <n v="12.02"/>
    <n v="12.64"/>
    <n v="0.90480000000000005"/>
    <n v="43.28"/>
    <n v="-337503.29025964899"/>
    <n v="-10790"/>
    <n v="-5.1733408774422696"/>
  </r>
  <r>
    <s v="2947Providence Alaska Medical Center3380Anatomic Pathology"/>
    <m/>
    <x v="0"/>
    <s v="AK"/>
    <s v="AK"/>
    <n v="2947"/>
    <x v="0"/>
    <n v="3380"/>
    <s v="Laboratory Services: Anatomic Pathology"/>
    <s v="Laboratory Services"/>
    <s v="Anatomic Pathology"/>
    <s v="100 Billed Tests"/>
    <n v="416.51"/>
    <n v="411.12"/>
    <n v="0.55559999999999998"/>
    <n v="29.56"/>
    <n v="23.84"/>
    <n v="5.8799999999999998E-2"/>
    <n v="19"/>
    <n v="31.42"/>
    <n v="32.909999999999997"/>
    <n v="35.58"/>
    <n v="0.83379999999999999"/>
    <n v="5.65"/>
    <n v="-150554.08006772699"/>
    <n v="-4443"/>
    <n v="-2.13005657388989"/>
  </r>
  <r>
    <s v="2947Providence Alaska Medical Center1410Rehabilitation IP"/>
    <m/>
    <x v="0"/>
    <s v="AK"/>
    <s v="AK"/>
    <n v="2947"/>
    <x v="0"/>
    <n v="1410"/>
    <s v="Acute Rehabilitation Unit"/>
    <s v="Nursing Services"/>
    <s v="Rehabilitation IP"/>
    <s v="Equivalent Patient Day"/>
    <n v="2370"/>
    <n v="2757"/>
    <n v="0.61109999999999998"/>
    <n v="10.64"/>
    <n v="10.38"/>
    <n v="0.375"/>
    <n v="19"/>
    <n v="10.24"/>
    <n v="10.38"/>
    <n v="10.6"/>
    <n v="0.88329999999999997"/>
    <n v="15.58"/>
    <n v="4101.19057443768"/>
    <n v="97"/>
    <n v="4.6330953120461899E-2"/>
  </r>
  <r>
    <s v="2947Providence Alaska Medical Center4822OCCUP THERAPY OP ONLY"/>
    <m/>
    <x v="0"/>
    <s v="AK"/>
    <s v="AK"/>
    <n v="2947"/>
    <x v="0"/>
    <n v="4822"/>
    <s v="Occupational Therapy: Outpatient"/>
    <s v="Rehabilitation Services"/>
    <s v="OCCUP THERAPY OP ONLY"/>
    <s v="1000 Baseline Billed Time Units (BTUs)"/>
    <n v="259.55"/>
    <n v="243.75"/>
    <n v="0.61109999999999998"/>
    <n v="24.08"/>
    <n v="25.03"/>
    <n v="0.66669999999999996"/>
    <n v="19"/>
    <n v="22.02"/>
    <n v="22.46"/>
    <n v="24.2"/>
    <n v="0.88490000000000002"/>
    <n v="3.31"/>
    <n v="33064.876840559002"/>
    <n v="717"/>
    <n v="0.34374597827644099"/>
  </r>
  <r>
    <s v="2947Providence Alaska Medical Center1060Pediatric ICU"/>
    <m/>
    <x v="0"/>
    <s v="AK"/>
    <s v="AK"/>
    <n v="2947"/>
    <x v="0"/>
    <n v="1060"/>
    <s v="Pediatric Intensive Care Unit"/>
    <s v="Nursing Services"/>
    <s v="Pediatric ICU"/>
    <s v="Equivalent Patient Day"/>
    <n v="1421"/>
    <n v="1900"/>
    <n v="0.55559999999999998"/>
    <n v="22.81"/>
    <n v="23.346489473684212"/>
    <n v="0.83330000000000004"/>
    <n v="19"/>
    <n v="18.600000000000001"/>
    <n v="20.16"/>
    <n v="20.45"/>
    <n v="0.89859999999999995"/>
    <n v="23.73"/>
    <n v="254812.77609614967"/>
    <n v="6737.5139105274902"/>
    <n v="3.2303215262560423"/>
  </r>
  <r>
    <s v="3525Providence Centralia Hospital401034076452, Radiant Care Centralia"/>
    <m/>
    <x v="1"/>
    <s v="SWR"/>
    <s v="WA"/>
    <n v="3525"/>
    <x v="10"/>
    <n v="4010"/>
    <s v="Radiation Therapy (Oncology)"/>
    <s v="Radiation Therapy Services"/>
    <s v="34076452, Radiant Care Centralia"/>
    <s v="APC Relative Weight"/>
    <m/>
    <n v="19185.310000000001"/>
    <n v="0.5"/>
    <m/>
    <n v="0.3"/>
    <n v="0.1176"/>
    <n v="19"/>
    <n v="0.35"/>
    <n v="0.38"/>
    <n v="0.44"/>
    <n v="0.9143"/>
    <n v="3.07"/>
    <n v="-62349.783436320598"/>
    <n v="-1571"/>
    <n v="-0.75306653813858504"/>
  </r>
  <r>
    <s v="3523Providence Everett Medical Center335031675000 Clinical Lab Services"/>
    <m/>
    <x v="1"/>
    <s v="NWR"/>
    <s v="WA"/>
    <n v="3523"/>
    <x v="1"/>
    <n v="3350"/>
    <s v="Laboratory Services: Clinical Operations and Blood Bank Combined"/>
    <s v="Laboratory Services"/>
    <s v="31675000 Clinical Lab Services"/>
    <s v="100 Billed Tests"/>
    <n v="19487.990000000002"/>
    <n v="20451.23"/>
    <n v="0.77780000000000005"/>
    <n v="10.76"/>
    <n v="11.49"/>
    <n v="0.5"/>
    <n v="19"/>
    <n v="9.2899999999999991"/>
    <n v="10.210000000000001"/>
    <n v="11.49"/>
    <n v="0.90649999999999997"/>
    <n v="124.66"/>
    <n v="969058.69243028003"/>
    <n v="29659"/>
    <n v="14.220221878073399"/>
  </r>
  <r>
    <s v="2687Providence Holy Cross Medical Center591072084200 Security"/>
    <m/>
    <x v="2"/>
    <s v="CA"/>
    <s v="CA"/>
    <n v="2687"/>
    <x v="4"/>
    <n v="5910"/>
    <s v="Security"/>
    <s v="Other Support Services"/>
    <s v="72084200 Security"/>
    <s v="1000 Gross Square Feet Patrolled"/>
    <n v="874.06"/>
    <n v="874.06"/>
    <n v="0.61109999999999998"/>
    <n v="32.97"/>
    <n v="18.55"/>
    <n v="0.3125"/>
    <n v="19"/>
    <n v="15"/>
    <n v="20.05"/>
    <n v="25.45"/>
    <n v="0.92130000000000001"/>
    <n v="8.4600000000000009"/>
    <n v="-29960.583674074202"/>
    <n v="-1377"/>
    <n v="-0.66016531441057902"/>
  </r>
  <r>
    <s v="3851Providence Holy Family Hospital101036560100, INTENSIVE CARE"/>
    <m/>
    <x v="4"/>
    <s v="PHC"/>
    <s v="WA"/>
    <n v="3851"/>
    <x v="11"/>
    <n v="1010"/>
    <s v="Medical/Surgical Intensive Care Unit"/>
    <s v="Nursing Services"/>
    <s v="36560100, INTENSIVE CARE"/>
    <s v="Equivalent Patient Day"/>
    <n v="3548.65"/>
    <n v="3638"/>
    <n v="0.5"/>
    <n v="17.57"/>
    <n v="17.78"/>
    <n v="0.375"/>
    <n v="19"/>
    <n v="17.48"/>
    <n v="17.71"/>
    <n v="18.57"/>
    <n v="0.86009999999999998"/>
    <n v="36.159999999999997"/>
    <n v="21879.502226025401"/>
    <n v="510"/>
    <n v="0.24461989272965201"/>
  </r>
  <r>
    <s v="3528Providence Hood River Memorial Hospital201056070100, 56070101 EMERGENCY SERVICES (U)"/>
    <m/>
    <x v="3"/>
    <s v="OR"/>
    <s v="OR"/>
    <n v="3528"/>
    <x v="12"/>
    <n v="2010"/>
    <s v="Emergency Department"/>
    <s v="Emergency Services"/>
    <s v="56070100, 56070101 EMERGENCY SERVICES (U)"/>
    <s v="Patient Visits"/>
    <n v="9570"/>
    <n v="10624"/>
    <n v="0.63819999999999999"/>
    <n v="2.71"/>
    <n v="2.64"/>
    <n v="6.3899999999999998E-2"/>
    <n v="19"/>
    <n v="2.83"/>
    <n v="2.93"/>
    <n v="3.11"/>
    <n v="0.86370000000000002"/>
    <n v="15.62"/>
    <n v="-166367.40208228599"/>
    <n v="-3462"/>
    <n v="-1.6598879354609299"/>
  </r>
  <r>
    <s v="3529Providence Milwaukie Hospital342055076800, CTT SCANNER"/>
    <m/>
    <x v="3"/>
    <s v="OR"/>
    <s v="OR"/>
    <n v="3529"/>
    <x v="15"/>
    <n v="3420"/>
    <s v="Computerized Tomography"/>
    <s v="Imaging Services"/>
    <s v="55076800, CTT SCANNER"/>
    <s v="APC Relative Weight"/>
    <n v="26948.03"/>
    <n v="29725.46"/>
    <n v="0.61109999999999998"/>
    <n v="0.25"/>
    <n v="0.19"/>
    <n v="0.1176"/>
    <n v="19"/>
    <n v="0.27"/>
    <n v="0.28000000000000003"/>
    <n v="0.31"/>
    <n v="0.95469999999999999"/>
    <n v="2.87"/>
    <n v="-121524.956587917"/>
    <n v="-2732"/>
    <n v="-1.30991886261723"/>
  </r>
  <r>
    <s v="3530Providence Newberg Hospital344057076390, MAMMOGRAPHY"/>
    <m/>
    <x v="3"/>
    <s v="OR"/>
    <s v="OR"/>
    <n v="3530"/>
    <x v="17"/>
    <n v="3440"/>
    <s v="Mammography"/>
    <s v="Imaging Services"/>
    <s v="57076390, MAMMOGRAPHY"/>
    <s v="APC Relative Weight"/>
    <n v="6146.44"/>
    <n v="7795.66"/>
    <n v="0.61109999999999998"/>
    <n v="0.65"/>
    <n v="0.52"/>
    <n v="0.35289999999999999"/>
    <n v="19"/>
    <n v="0.5"/>
    <n v="0.52"/>
    <n v="0.59"/>
    <n v="0.88900000000000001"/>
    <n v="2.1800000000000002"/>
    <n v="-471.35777126638902"/>
    <n v="-13"/>
    <n v="-6.2641384718791198E-3"/>
  </r>
  <r>
    <s v="3530Providence Newberg Hospital487057078091, REHAB SERVICES"/>
    <m/>
    <x v="3"/>
    <s v="OR"/>
    <s v="OR"/>
    <n v="3530"/>
    <x v="17"/>
    <n v="4870"/>
    <s v="PT/OT/SLP Combined: Inpatient and Outpatient"/>
    <s v="Rehabilitation Services"/>
    <s v="57078091, REHAB SERVICES"/>
    <s v="1000 Baseline Billed Time Units (BTUs)"/>
    <n v="1064.24"/>
    <n v="1225.6300000000001"/>
    <n v="0.55559999999999998"/>
    <n v="26.22"/>
    <n v="26.44"/>
    <n v="0.58819999999999995"/>
    <n v="19"/>
    <n v="24.82"/>
    <n v="25.55"/>
    <n v="26.23"/>
    <n v="0.90429999999999999"/>
    <n v="17.23"/>
    <n v="45654.192944963797"/>
    <n v="1308"/>
    <n v="0.62702495178790896"/>
  </r>
  <r>
    <s v="3527Providence Portland Medical Center309952203099, SURG SVCS ADMIN (U,N)"/>
    <m/>
    <x v="3"/>
    <s v="OR"/>
    <s v="OR"/>
    <n v="3527"/>
    <x v="18"/>
    <n v="3099"/>
    <s v="Surgical Services Administration"/>
    <s v="Surgical Services"/>
    <s v="52203099, SURG SVCS ADMIN (U,N)"/>
    <s v="Cases Supported"/>
    <n v="17179"/>
    <n v="16768"/>
    <n v="0.52280000000000004"/>
    <n v="1.45"/>
    <n v="1.42"/>
    <n v="0.64270000000000005"/>
    <n v="19"/>
    <n v="0.91"/>
    <n v="1.04"/>
    <n v="1.0900000000000001"/>
    <n v="0.83819999999999995"/>
    <n v="13.66"/>
    <n v="292734.65520822699"/>
    <n v="7686"/>
    <n v="3.68494940979688"/>
  </r>
  <r>
    <s v="3527Providence Portland Medical Center121252261720, 52261704 SURGICAL UNIT - 4th Floor"/>
    <m/>
    <x v="3"/>
    <s v="OR"/>
    <s v="OR"/>
    <n v="3527"/>
    <x v="18"/>
    <n v="1212"/>
    <s v="General Surgical Acute Care Unit"/>
    <s v="Nursing Services"/>
    <s v="52261720, 52261704 SURGICAL UNIT - 4th Floor"/>
    <s v="Equivalent Patient Day"/>
    <n v="10526.8"/>
    <n v="12005"/>
    <n v="0.55559999999999998"/>
    <n v="10.02"/>
    <n v="10.53"/>
    <n v="0.58819999999999995"/>
    <n v="19"/>
    <n v="9.8699999999999992"/>
    <n v="9.9700000000000006"/>
    <n v="10.42"/>
    <n v="0.90439999999999998"/>
    <n v="67.209999999999994"/>
    <n v="352295.76152795297"/>
    <n v="7838"/>
    <n v="3.75805663985525"/>
  </r>
  <r>
    <s v="3852Providence Sacred Heart Medical Center511234583400, DIETARY"/>
    <m/>
    <x v="4"/>
    <s v="PHC"/>
    <s v="WA"/>
    <n v="3852"/>
    <x v="9"/>
    <n v="5112"/>
    <s v="Patient and Nonpatient Food Services"/>
    <s v="Food and Nutrition Services"/>
    <s v="34583400, DIETARY"/>
    <s v="ART: Total Meal Equivalents"/>
    <n v="1870430.88"/>
    <n v="2000825.45"/>
    <n v="0.77780000000000005"/>
    <n v="0.09"/>
    <n v="0.09"/>
    <n v="0.4118"/>
    <n v="19"/>
    <n v="0.08"/>
    <n v="0.09"/>
    <n v="0.1"/>
    <n v="0.88759999999999994"/>
    <n v="99.62"/>
    <n v="86698.235126552201"/>
    <n v="4900"/>
    <n v="2.34917986798362"/>
  </r>
  <r>
    <s v="3852Providence Sacred Heart Medical Center101034560100, ICU"/>
    <m/>
    <x v="4"/>
    <s v="PHC"/>
    <s v="WA"/>
    <n v="3852"/>
    <x v="9"/>
    <n v="1010"/>
    <s v="Medical/Surgical Intensive Care Unit"/>
    <s v="Nursing Services"/>
    <s v="34560100, ICU"/>
    <s v="Equivalent Patient Day"/>
    <n v="7107.63"/>
    <n v="7075.27"/>
    <n v="0.55559999999999998"/>
    <n v="19.45"/>
    <n v="20.07"/>
    <n v="0.75"/>
    <n v="19"/>
    <n v="18.170000000000002"/>
    <n v="19.07"/>
    <n v="20.12"/>
    <n v="0.85670000000000002"/>
    <n v="79.7"/>
    <n v="401127.42371892149"/>
    <n v="8258.7486868215256"/>
    <n v="3.9597011491688767"/>
  </r>
  <r>
    <s v="3852Providence Sacred Heart Medical Center106034560500, PICU"/>
    <m/>
    <x v="4"/>
    <s v="PHC"/>
    <s v="WA"/>
    <n v="3852"/>
    <x v="9"/>
    <n v="1060"/>
    <s v="Pediatric Intensive Care Unit"/>
    <s v="Nursing Services"/>
    <s v="34560500, PICU"/>
    <s v="Equivalent Patient Day"/>
    <n v="3063.53"/>
    <n v="3496"/>
    <n v="0.9"/>
    <n v="23.89"/>
    <n v="23.66"/>
    <n v="0.7"/>
    <n v="19"/>
    <n v="18.59"/>
    <n v="19.059999999999999"/>
    <n v="20.350000000000001"/>
    <n v="0.86339999999999995"/>
    <n v="46.06"/>
    <n v="887524.02131109615"/>
    <n v="18625.897614083864"/>
    <n v="8.9302860498076733"/>
  </r>
  <r>
    <s v="3852Providence Sacred Heart Medical Center651034587100, MEDICAL STAFF SERVICES"/>
    <m/>
    <x v="4"/>
    <s v="PHC"/>
    <s v="WA"/>
    <n v="3852"/>
    <x v="9"/>
    <n v="6510"/>
    <s v="Medical Staff Services"/>
    <s v="Medical Staff Services"/>
    <s v="34587100, MEDICAL STAFF SERVICES"/>
    <s v="Physicians On Active Medical Staff"/>
    <n v="657"/>
    <n v="651"/>
    <n v="0.72219999999999995"/>
    <n v="12.18"/>
    <n v="12.21"/>
    <n v="0.1"/>
    <n v="19"/>
    <n v="12.84"/>
    <n v="21.16"/>
    <n v="24.34"/>
    <n v="0.86919999999999997"/>
    <n v="4.4000000000000004"/>
    <n v="-178359.617230681"/>
    <n v="-6671"/>
    <n v="-3.1984514541319999"/>
  </r>
  <r>
    <s v="3533Providence San Pedro Peninsula Hospital347077276304, SPH RADIOLOGY 1360"/>
    <m/>
    <x v="2"/>
    <s v="CA"/>
    <s v="CA"/>
    <n v="3533"/>
    <x v="14"/>
    <n v="3470"/>
    <s v="Outpatient Imaging"/>
    <s v="Imaging Services"/>
    <s v="77276304, SPH RADIOLOGY 1360"/>
    <s v="APC Relative Weight"/>
    <n v="4516.42"/>
    <n v="10420.49"/>
    <n v="0.66669999999999996"/>
    <n v="1.53"/>
    <n v="0.53"/>
    <n v="0.38890000000000002"/>
    <n v="19"/>
    <n v="0.41"/>
    <n v="0.53"/>
    <n v="0.62"/>
    <n v="0.92059999999999997"/>
    <n v="2.89"/>
    <n v="1042.3675988559601"/>
    <n v="28"/>
    <n v="1.3653521344267E-2"/>
  </r>
  <r>
    <s v="3526Providence Seaside Hospital441051077100, PHARMACY"/>
    <m/>
    <x v="3"/>
    <s v="OR"/>
    <s v="OR"/>
    <n v="3526"/>
    <x v="19"/>
    <n v="4410"/>
    <s v="Pharmacy Services"/>
    <s v="Pharmacy Services"/>
    <s v="51077100, PHARMACY"/>
    <s v="CMI Weighted Department Adjusted Discharges"/>
    <n v="4493.17"/>
    <n v="4866.8"/>
    <n v="0.77780000000000005"/>
    <n v="1.69"/>
    <n v="1.56"/>
    <n v="0.25"/>
    <n v="19"/>
    <n v="1.56"/>
    <n v="1.98"/>
    <n v="2.1800000000000002"/>
    <n v="0.9113"/>
    <n v="4.01"/>
    <n v="-120075.38109508"/>
    <n v="-2211"/>
    <n v="-1.0598542963478399"/>
  </r>
  <r>
    <s v="2719Providence St Joseph Medical Center301171074200 - 03011 - PSJMC SURGERY"/>
    <m/>
    <x v="2"/>
    <s v="CA"/>
    <s v="CA"/>
    <n v="2719"/>
    <x v="6"/>
    <n v="3011"/>
    <s v="Operating Room"/>
    <s v="Surgical Services"/>
    <s v="71074200 - 03011 - PSJMC SURGERY"/>
    <s v="100 Operating Room Minutes"/>
    <n v="10509"/>
    <n v="10660.5"/>
    <n v="0.55559999999999998"/>
    <n v="11.73"/>
    <n v="12.22"/>
    <n v="0.5"/>
    <n v="19"/>
    <n v="11.54"/>
    <n v="11.97"/>
    <n v="12.22"/>
    <n v="0.87970000000000004"/>
    <n v="71.209999999999994"/>
    <n v="131210.441302689"/>
    <n v="3466"/>
    <n v="1.6618964943944501"/>
  </r>
  <r>
    <s v="2719Providence St Joseph Medical Center582571087400 - 05825 - PSJMC QUALTY IMPROVMNT OUTCMS"/>
    <m/>
    <x v="2"/>
    <s v="CA"/>
    <s v="CA"/>
    <n v="2719"/>
    <x v="6"/>
    <n v="5825"/>
    <s v="Quality Management"/>
    <s v="Clinical Resource Management Services"/>
    <s v="71087400 - 05825 - PSJMC QUALTY IMPROVMNT OUTCMS"/>
    <s v="Total Admissions And Registrations"/>
    <n v="102290"/>
    <n v="131932"/>
    <n v="0.44440000000000002"/>
    <n v="0.17"/>
    <n v="0.13"/>
    <n v="1"/>
    <n v="19"/>
    <n v="0.08"/>
    <n v="0.09"/>
    <n v="0.09"/>
    <n v="0.87839999999999996"/>
    <n v="9.42"/>
    <n v="295295.41198709997"/>
    <n v="6130"/>
    <n v="2.9389035092200801"/>
  </r>
  <r>
    <s v="3853Providence St Joseph's Hospital Chewelah511237583400, DIETARY"/>
    <m/>
    <x v="4"/>
    <s v="PHC"/>
    <s v="WA"/>
    <n v="3853"/>
    <x v="20"/>
    <n v="5112"/>
    <s v="Patient and Nonpatient Food Services"/>
    <s v="Food and Nutrition Services"/>
    <s v="37583400, DIETARY"/>
    <s v="ART: Total Meal Equivalents"/>
    <n v="54469.54"/>
    <n v="67380.78"/>
    <n v="0.33329999999999999"/>
    <n v="0.25"/>
    <n v="0.2"/>
    <n v="0.23530000000000001"/>
    <n v="19"/>
    <n v="0.2"/>
    <n v="0.21"/>
    <n v="0.22"/>
    <n v="0.88290000000000002"/>
    <n v="7.35"/>
    <n v="-9928.5502180893"/>
    <n v="-697"/>
    <n v="-0.33408164777412303"/>
  </r>
  <r>
    <s v="3524Providence St Peter Hospital591033084200, SECURITY"/>
    <m/>
    <x v="1"/>
    <s v="SWR"/>
    <s v="WA"/>
    <n v="3524"/>
    <x v="2"/>
    <n v="5910"/>
    <s v="Security"/>
    <s v="Other Support Services"/>
    <s v="33084200, SECURITY"/>
    <s v="1000 Gross Square Feet Patrolled"/>
    <n v="3929.6"/>
    <n v="3929.6"/>
    <n v="0.5"/>
    <n v="6.84"/>
    <n v="6.65"/>
    <n v="5.8799999999999998E-2"/>
    <n v="19"/>
    <n v="9.98"/>
    <n v="11.45"/>
    <n v="12.39"/>
    <n v="0.91279999999999994"/>
    <n v="13.77"/>
    <n v="-455880.08018408"/>
    <n v="-20572"/>
    <n v="-9.8634083639618204"/>
  </r>
  <r>
    <s v="3524Providence St Peter Hospital661033086100, ADMINISTRATION"/>
    <m/>
    <x v="1"/>
    <s v="SWR"/>
    <s v="WA"/>
    <n v="3524"/>
    <x v="2"/>
    <n v="6610"/>
    <s v="Administration"/>
    <s v="Administration"/>
    <s v="33086100, ADMINISTRATION"/>
    <s v="100 Adjusted Discharges"/>
    <n v="276.58999999999997"/>
    <n v="290.60000000000002"/>
    <n v="0.55559999999999998"/>
    <n v="49.24"/>
    <n v="48.26"/>
    <n v="0"/>
    <n v="19"/>
    <n v="57.65"/>
    <n v="62.13"/>
    <n v="65.81"/>
    <n v="0.86839999999999995"/>
    <n v="7.76"/>
    <n v="-444703.58484957699"/>
    <n v="-4606"/>
    <n v="-2.2083965831949901"/>
  </r>
  <r>
    <s v="3524Providence St Peter Hospital121333061710, Medical Telemetry"/>
    <m/>
    <x v="1"/>
    <s v="SWR"/>
    <s v="WA"/>
    <n v="3524"/>
    <x v="2"/>
    <n v="1213"/>
    <s v="Med/Surg/Cardiac Acute Care Unit"/>
    <s v="Nursing Services"/>
    <s v="33061710, Medical Telemetry"/>
    <s v="Equivalent Patient Day"/>
    <n v="6921.89"/>
    <n v="8832.82"/>
    <n v="0.55559999999999998"/>
    <n v="11.27"/>
    <n v="10.31"/>
    <n v="0.22220000000000001"/>
    <n v="19"/>
    <n v="10.39"/>
    <n v="10.73"/>
    <n v="11.41"/>
    <n v="0.88980000000000004"/>
    <n v="49.22"/>
    <n v="-139873.566923629"/>
    <n v="-3856"/>
    <n v="-1.8487067044096901"/>
  </r>
  <r>
    <s v="3524Providence St Peter Hospital126033062900, PEDIATRIC ACUTE"/>
    <m/>
    <x v="1"/>
    <s v="SWR"/>
    <s v="WA"/>
    <n v="3524"/>
    <x v="2"/>
    <n v="1260"/>
    <s v="Pediatric Acute Care Unit"/>
    <s v="Nursing Services"/>
    <s v="33062900, PEDIATRIC ACUTE"/>
    <s v="Equivalent Patient Day"/>
    <n v="1061.6500000000001"/>
    <n v="1126.26"/>
    <n v="0.44440000000000002"/>
    <n v="17.079999999999998"/>
    <n v="16.04"/>
    <n v="0.4118"/>
    <n v="19"/>
    <n v="15.67"/>
    <n v="15.75"/>
    <n v="17.47"/>
    <n v="0.81889999999999996"/>
    <n v="10.6"/>
    <n v="24352.068329695201"/>
    <n v="447"/>
    <n v="0.21428248331729099"/>
  </r>
  <r>
    <s v="3524Providence St Peter Hospital431033078741, Neurodiagnostic Laboratory (EEG)"/>
    <m/>
    <x v="1"/>
    <s v="SWR"/>
    <s v="WA"/>
    <n v="3524"/>
    <x v="2"/>
    <n v="4310"/>
    <s v="Neurodiagnostic Laboratory (EEG)"/>
    <s v="Neurodiagnostic Services"/>
    <s v="33078741, Neurodiagnostic Laboratory (EEG)"/>
    <s v="APC Relative Weight"/>
    <n v="2227.1"/>
    <n v="2689.52"/>
    <n v="0.5"/>
    <n v="2.06"/>
    <n v="1.76"/>
    <n v="0.83330000000000004"/>
    <n v="19"/>
    <n v="0.76"/>
    <n v="1.07"/>
    <n v="1.21"/>
    <n v="0.89159999999999995"/>
    <n v="2.56"/>
    <n v="95920.5287424462"/>
    <n v="2112"/>
    <n v="1.0124786303055799"/>
  </r>
  <r>
    <s v="3524Providence St Peter Hospital464033077102, OP INFUSION CENTER"/>
    <m/>
    <x v="1"/>
    <s v="SWR"/>
    <s v="WA"/>
    <n v="3524"/>
    <x v="2"/>
    <n v="4640"/>
    <s v="Hematology Oncology Infusion Therapy (Hema/Onc)"/>
    <s v="Other Clinical Support Services"/>
    <s v="33077102, OP INFUSION CENTER"/>
    <s v="Infusions"/>
    <n v="3988"/>
    <n v="4525"/>
    <n v="0.55559999999999998"/>
    <n v="2.73"/>
    <n v="2.4500000000000002"/>
    <n v="0.52939999999999998"/>
    <n v="19"/>
    <n v="1.78"/>
    <n v="1.91"/>
    <n v="2.23"/>
    <n v="0.88859999999999995"/>
    <n v="5.99"/>
    <n v="123451.388762767"/>
    <n v="2767"/>
    <n v="1.32669521848568"/>
  </r>
  <r>
    <s v="2719Providence St Joseph Medical Center101371060100 - 01013 - PSJMC ICU"/>
    <m/>
    <x v="2"/>
    <s v="CA"/>
    <s v="CA"/>
    <n v="2719"/>
    <x v="6"/>
    <n v="1013"/>
    <s v="Med/Surg/Cardiac Intensive Care Unit"/>
    <s v="Nursing Services"/>
    <s v="71060100 - 01013 - PSJMC ICU"/>
    <s v="Equivalent Patient Day"/>
    <n v="10416"/>
    <n v="10269"/>
    <m/>
    <n v="20.18"/>
    <n v="20.32"/>
    <n v="0.7"/>
    <n v="19"/>
    <n v="17.670000000000002"/>
    <n v="17.940000000000001"/>
    <n v="18.54"/>
    <n v="0.88859999999999995"/>
    <n v="112.88"/>
    <n v="1388477.11539221"/>
    <n v="28112"/>
    <n v="13.478613425520001"/>
  </r>
  <r>
    <s v="3524Providence St Peter Hospital349933076302, DIAGNOSTIC IMAGING EXP"/>
    <m/>
    <x v="1"/>
    <s v="SWR"/>
    <s v="WA"/>
    <n v="3524"/>
    <x v="2"/>
    <n v="3499"/>
    <s v="Imaging Services Administration"/>
    <s v="Imaging Services"/>
    <s v="33076302, DIAGNOSTIC IMAGING EXP"/>
    <s v="APC Relative Weight Supported"/>
    <n v="345948.54"/>
    <n v="345257.84"/>
    <n v="0.5"/>
    <n v="0.08"/>
    <n v="7.0000000000000007E-2"/>
    <n v="0.55559999999999998"/>
    <n v="19"/>
    <n v="0.05"/>
    <n v="0.05"/>
    <n v="0.06"/>
    <n v="0.86899999999999999"/>
    <n v="13.26"/>
    <n v="209059.928171379"/>
    <n v="7791"/>
    <n v="3.7355054874463498"/>
  </r>
  <r>
    <s v="3524Providence St Peter Hospital441033077100, 33077103 PHARMACY and RESIDENCY"/>
    <m/>
    <x v="1"/>
    <s v="SWR"/>
    <s v="WA"/>
    <n v="3524"/>
    <x v="2"/>
    <n v="4410"/>
    <s v="Pharmacy Services"/>
    <s v="Pharmacy Services"/>
    <s v="33077100, 33077103 PHARMACY and RESIDENCY"/>
    <s v="CMI Weighted Department Adjusted Discharges"/>
    <n v="39407.31"/>
    <n v="43870"/>
    <n v="0.5"/>
    <n v="2.12"/>
    <n v="2.16"/>
    <n v="0.57889999999999997"/>
    <n v="19"/>
    <n v="1.85"/>
    <n v="1.99"/>
    <n v="2.1"/>
    <n v="0.91669999999999996"/>
    <n v="49.69"/>
    <n v="339499.84952400997"/>
    <n v="8404"/>
    <n v="4.0293974435223703"/>
  </r>
  <r>
    <s v="3524Providence St Peter Hospital181033077150, IV THERAPY"/>
    <m/>
    <x v="1"/>
    <s v="SWR"/>
    <s v="WA"/>
    <n v="3524"/>
    <x v="2"/>
    <n v="1810"/>
    <s v="IV Team (Vascular Access)"/>
    <s v="Nursing Services"/>
    <s v="33077150, IV THERAPY"/>
    <s v="100 Procedures"/>
    <n v="38.17"/>
    <n v="39.61"/>
    <n v="0.5"/>
    <n v="700.9"/>
    <n v="729.58"/>
    <n v="0.94120000000000004"/>
    <n v="19"/>
    <n v="107.31"/>
    <n v="120"/>
    <n v="195.64"/>
    <n v="0.90690000000000004"/>
    <n v="15.32"/>
    <n v="1478302.1758035801"/>
    <n v="26712"/>
    <n v="12.8071020883492"/>
  </r>
  <r>
    <s v="3524Providence St Peter Hospital621033082901, Nursing Education"/>
    <m/>
    <x v="1"/>
    <s v="SWR"/>
    <s v="WA"/>
    <n v="3524"/>
    <x v="2"/>
    <n v="6210"/>
    <s v="Clinical Staff Education"/>
    <s v="Educational Services"/>
    <s v="33082901, Nursing Education"/>
    <s v="Adjusted Discharges"/>
    <n v="27659.279999999999"/>
    <n v="29059.52"/>
    <n v="0.55559999999999998"/>
    <n v="1.1599999999999999"/>
    <n v="1.79"/>
    <n v="1"/>
    <n v="19"/>
    <n v="0.34"/>
    <n v="0.4"/>
    <n v="0.49"/>
    <n v="0.96350000000000002"/>
    <n v="25.95"/>
    <n v="1575327.8271316099"/>
    <n v="42060"/>
    <n v="20.165779136447401"/>
  </r>
  <r>
    <s v="3535Providence St Vincent Medical Center304053074291, SURGICAL SVCS-OPHTHALMOLOGY"/>
    <m/>
    <x v="3"/>
    <s v="OR"/>
    <s v="OR"/>
    <n v="3535"/>
    <x v="22"/>
    <n v="3040"/>
    <s v="Ambulatory Surgery Center"/>
    <s v="Surgical Services"/>
    <s v="53074291, SURGICAL SVCS-OPHTHALMOLOGY"/>
    <s v="100 Operating Room Minutes"/>
    <n v="1339.8"/>
    <n v="1332.86"/>
    <n v="0.44440000000000002"/>
    <n v="16.920000000000002"/>
    <n v="14.213930945485648"/>
    <n v="0.17649999999999999"/>
    <n v="19"/>
    <n v="16.82"/>
    <n v="17.989999999999998"/>
    <n v="18.739999999999998"/>
    <n v="0.86739999999999995"/>
    <n v="11.08"/>
    <n v="-289944.17899239087"/>
    <n v="-5802.3649988471252"/>
    <n v="-2.7819748759874985"/>
  </r>
  <r>
    <s v="3535Providence St Vincent Medical Center486153077800, SPEECH THERAPY"/>
    <m/>
    <x v="3"/>
    <s v="OR"/>
    <s v="OR"/>
    <n v="3535"/>
    <x v="22"/>
    <n v="4861"/>
    <s v="Speech Language Pathology: Inpatient and Outpatient"/>
    <s v="Rehabilitation Services"/>
    <s v="53077800, SPEECH THERAPY"/>
    <s v="1000 Baseline Billed Time Units (BTUs)"/>
    <n v="407.62"/>
    <n v="495"/>
    <n v="0.77780000000000005"/>
    <n v="19.23"/>
    <n v="19.600000000000001"/>
    <n v="0.1053"/>
    <n v="19"/>
    <n v="21.21"/>
    <n v="22.97"/>
    <n v="25.6"/>
    <n v="0.90620000000000001"/>
    <n v="5.15"/>
    <n v="-69327.585797456704"/>
    <n v="-1806"/>
    <n v="-0.86575713939527499"/>
  </r>
  <r>
    <s v="3535Providence St Vincent Medical Center112253060340, CARDIOLOGY - 6E"/>
    <m/>
    <x v="3"/>
    <s v="OR"/>
    <s v="OR"/>
    <n v="3535"/>
    <x v="22"/>
    <n v="1122"/>
    <s v="Cardiac Intermediate Care Unit"/>
    <s v="Nursing Services"/>
    <s v="53060340, CARDIOLOGY - 6E"/>
    <s v="Equivalent Patient Day"/>
    <n v="10864.67"/>
    <n v="12790"/>
    <n v="0.5"/>
    <n v="10.89"/>
    <n v="10.9"/>
    <n v="0.58819999999999995"/>
    <n v="19"/>
    <n v="9.7100000000000009"/>
    <n v="10.01"/>
    <n v="10.46"/>
    <n v="0.89939999999999998"/>
    <n v="74.56"/>
    <n v="603227.29976968304"/>
    <n v="13162"/>
    <n v="6.3104334422327097"/>
  </r>
  <r>
    <s v="4283Providence St. John's Health Center201073570100, SJHC EMERGENCY ROOM (U)"/>
    <m/>
    <x v="2"/>
    <s v="CA"/>
    <s v="CA"/>
    <n v="4283"/>
    <x v="23"/>
    <n v="2010"/>
    <s v="Emergency Department"/>
    <s v="Emergency Services"/>
    <s v="73570100, SJHC EMERGENCY ROOM (U)"/>
    <s v="Patient Visits"/>
    <m/>
    <n v="38547"/>
    <n v="0.56850000000000001"/>
    <m/>
    <n v="2.71"/>
    <n v="0.24759999999999999"/>
    <n v="19"/>
    <n v="2.72"/>
    <n v="2.91"/>
    <n v="3.02"/>
    <n v="0.91800000000000004"/>
    <n v="54.71"/>
    <n v="-419500.903066281"/>
    <n v="-8083"/>
    <n v="-3.8753529214342102"/>
  </r>
  <r>
    <s v="4283Providence St. John's Health Center582573587520, 7540 SJHC QUALITY ASSURANCE - RISK"/>
    <m/>
    <x v="2"/>
    <s v="CA"/>
    <s v="CA"/>
    <n v="4283"/>
    <x v="23"/>
    <n v="5825"/>
    <s v="Quality Management"/>
    <s v="Clinical Resource Management Services"/>
    <s v="73587520, 7540 SJHC QUALITY ASSURANCE - RISK"/>
    <s v="Total Admissions And Registrations"/>
    <m/>
    <n v="37317"/>
    <n v="0.55559999999999998"/>
    <m/>
    <n v="0.12"/>
    <n v="0.70589999999999997"/>
    <n v="19"/>
    <n v="0.08"/>
    <n v="0.09"/>
    <n v="0.1"/>
    <n v="0.85389999999999999"/>
    <n v="9.85"/>
    <n v="18082.4113775839"/>
    <n v="1202.87077394894"/>
    <n v="2.3068912575134299"/>
  </r>
  <r>
    <s v="4283Providence St. John's Health Center123873561730, SJHC ONCOLOGY ACUTE (U)"/>
    <m/>
    <x v="2"/>
    <s v="CA"/>
    <s v="CA"/>
    <n v="4283"/>
    <x v="23"/>
    <n v="1238"/>
    <s v="Oncology Acute Care Unit"/>
    <s v="Nursing Services"/>
    <s v="73561730, SJHC ONCOLOGY ACUTE (U)"/>
    <s v="Equivalent Patient Day"/>
    <m/>
    <n v="5212.67"/>
    <n v="0.49080000000000001"/>
    <m/>
    <n v="13.55"/>
    <m/>
    <n v="19"/>
    <n v="10.11"/>
    <n v="10.52"/>
    <n v="10.68"/>
    <n v="0.91300000000000003"/>
    <n v="37.19"/>
    <n v="773508.13212156098"/>
    <n v="17505"/>
    <n v="8.3925950874680293"/>
  </r>
  <r>
    <s v="3849Providence Willamette Falls Medical Center343053576600, MRI"/>
    <m/>
    <x v="3"/>
    <s v="OR"/>
    <s v="OR"/>
    <n v="3849"/>
    <x v="7"/>
    <n v="3430"/>
    <s v="Magnetic Resonance Imaging"/>
    <s v="Imaging Services"/>
    <s v="53576600, MRI"/>
    <s v="APC Relative Weight"/>
    <n v="13821.9"/>
    <n v="14394.51"/>
    <n v="0.61109999999999998"/>
    <n v="0.33"/>
    <n v="0.33"/>
    <n v="0.66669999999999996"/>
    <n v="19"/>
    <n v="0.26"/>
    <n v="0.27"/>
    <n v="0.31"/>
    <n v="0.84419999999999995"/>
    <n v="2.73"/>
    <n v="48182.054640685601"/>
    <n v="1090"/>
    <n v="0.52268933860004896"/>
  </r>
  <r>
    <s v="3930Swedish Ballard441021577100 PHARMACY"/>
    <m/>
    <x v="1"/>
    <s v="SHS"/>
    <s v="WA"/>
    <n v="3930"/>
    <x v="24"/>
    <n v="4410"/>
    <s v="Pharmacy Services"/>
    <s v="Pharmacy Services"/>
    <s v="21577100 PHARMACY"/>
    <s v="CMI Weighted Department Adjusted Discharges"/>
    <n v="19294.560000000001"/>
    <n v="21891.63"/>
    <n v="0.55559999999999998"/>
    <n v="0.61"/>
    <n v="0.72"/>
    <m/>
    <n v="19"/>
    <n v="1.79"/>
    <n v="1.81"/>
    <n v="2.02"/>
    <n v="0.87329999999999997"/>
    <n v="8.67"/>
    <n v="-1603462.2294507499"/>
    <n v="-27290"/>
    <n v="-13.0841126389319"/>
  </r>
  <r>
    <s v="3930Swedish Ballard661021586100 ADMINISTRATION"/>
    <m/>
    <x v="1"/>
    <s v="SHS"/>
    <s v="WA"/>
    <n v="3930"/>
    <x v="24"/>
    <n v="6610"/>
    <s v="Administration"/>
    <s v="Administration"/>
    <s v="21586100 ADMINISTRATION"/>
    <s v="100 Adjusted Discharges"/>
    <n v="86.97"/>
    <n v="82.53"/>
    <n v="0.61109999999999998"/>
    <n v="56.63"/>
    <n v="61.76"/>
    <n v="5.8799999999999998E-2"/>
    <n v="19"/>
    <n v="70.83"/>
    <n v="92.08"/>
    <n v="108.45"/>
    <n v="0.94220000000000004"/>
    <n v="2.6"/>
    <n v="-219954.47984171199"/>
    <n v="-2643"/>
    <n v="-1.26707161288847"/>
  </r>
  <r>
    <s v="3930Swedish Ballard300121574200,21574270,21574300,21574701,21574704,21577600 Surgical Svc"/>
    <m/>
    <x v="1"/>
    <s v="SHS"/>
    <s v="WA"/>
    <n v="3930"/>
    <x v="24"/>
    <n v="3001"/>
    <s v="Surgical Services Combined Without Anesthesia"/>
    <s v="Surgical Services"/>
    <s v="21574200,21574270,21574300,21574701,21574704,21577600 Surgical Svc"/>
    <s v="100 Operating Room Minutes"/>
    <n v="2278.42"/>
    <n v="2506.96"/>
    <n v="0.88890000000000002"/>
    <n v="24.83"/>
    <n v="27.64"/>
    <n v="0.70589999999999997"/>
    <n v="19"/>
    <n v="20.43"/>
    <n v="22.51"/>
    <n v="23.53"/>
    <n v="0.88719999999999999"/>
    <n v="37.549999999999997"/>
    <n v="647470.23357142496"/>
    <n v="14712"/>
    <n v="7.0535332918612301"/>
  </r>
  <r>
    <s v="3928Swedish Cherry Hill342022076800 CT SCANNING"/>
    <m/>
    <x v="1"/>
    <s v="SHS"/>
    <s v="WA"/>
    <n v="3928"/>
    <x v="25"/>
    <n v="3420"/>
    <s v="Computerized Tomography"/>
    <s v="Imaging Services"/>
    <s v="22076800 CT SCANNING"/>
    <s v="APC Relative Weight"/>
    <n v="48541.63"/>
    <n v="51535.63"/>
    <n v="0.77780000000000005"/>
    <n v="0.33"/>
    <n v="0.35"/>
    <n v="1"/>
    <n v="19"/>
    <n v="0.25"/>
    <n v="0.26"/>
    <n v="0.28000000000000003"/>
    <n v="0.83879999999999999"/>
    <n v="10.37"/>
    <n v="276871.38458668703"/>
    <n v="5654"/>
    <n v="2.7110246017748398"/>
  </r>
  <r>
    <s v="3928Swedish Cherry Hill661022076200 NEUROSCIENCE ADMIN/22086100 ADMINISTRATION/22087902 SWED HEART AND VASC (U)"/>
    <m/>
    <x v="1"/>
    <s v="SHS"/>
    <s v="WA"/>
    <n v="3928"/>
    <x v="25"/>
    <n v="6610"/>
    <s v="Administration"/>
    <s v="Administration"/>
    <s v="22076200 NEUROSCIENCE ADMIN/22086100 ADMINISTRATION/22087902 SWED HEART AND VASC (U)"/>
    <s v="100 Adjusted Discharges"/>
    <n v="134.13999999999999"/>
    <n v="129.04"/>
    <n v="0.4874"/>
    <n v="210.47"/>
    <n v="245.74"/>
    <m/>
    <n v="19"/>
    <n v="73"/>
    <n v="74.489999999999995"/>
    <n v="87.37"/>
    <n v="0.91769999999999996"/>
    <n v="16.61"/>
    <n v="1903788.1821774"/>
    <n v="24169"/>
    <n v="11.588080395930101"/>
  </r>
  <r>
    <s v="3929Swedish Edmonds302023074270 RECOVERY"/>
    <m/>
    <x v="1"/>
    <s v="SHS"/>
    <s v="WA"/>
    <n v="3929"/>
    <x v="31"/>
    <n v="3020"/>
    <s v="Post Anesthesia Care Unit (PACU)"/>
    <s v="Surgical Services"/>
    <s v="23074270 RECOVERY"/>
    <s v="100 PACU Minutes"/>
    <n v="3966.31"/>
    <n v="2895.46"/>
    <n v="0.44440000000000002"/>
    <n v="3.22"/>
    <n v="4.72"/>
    <n v="0.58819999999999995"/>
    <n v="19"/>
    <n v="3.94"/>
    <n v="4.22"/>
    <n v="4.6399999999999997"/>
    <n v="0.90600000000000003"/>
    <n v="7.25"/>
    <n v="99669.638218975495"/>
    <n v="1635"/>
    <n v="0.78378736589671105"/>
  </r>
  <r>
    <s v="3929Swedish Edmonds349923086107, 23076395, MEDICAL IMAGING ADMIN, CARDIAC IMAGING SUPPORT"/>
    <m/>
    <x v="1"/>
    <s v="SHS"/>
    <s v="WA"/>
    <n v="3929"/>
    <x v="31"/>
    <n v="3499"/>
    <s v="Imaging Services Administration"/>
    <s v="Imaging Services"/>
    <s v="23086107, 23076395, MEDICAL IMAGING ADMIN, CARDIAC IMAGING SUPPORT"/>
    <s v="APC Relative Weight Supported"/>
    <n v="198761.72"/>
    <n v="209145.96"/>
    <n v="0.55559999999999998"/>
    <n v="0.1"/>
    <n v="0.08"/>
    <n v="0.72219999999999995"/>
    <n v="19"/>
    <n v="0.05"/>
    <n v="0.06"/>
    <n v="7.0000000000000007E-2"/>
    <n v="0.88160000000000005"/>
    <n v="9.4700000000000006"/>
    <n v="189839.96659409901"/>
    <n v="5518"/>
    <n v="2.6453983373254601"/>
  </r>
  <r>
    <s v="3929Swedish Edmonds181023087340 PICC NURSING TEAM"/>
    <m/>
    <x v="1"/>
    <s v="SHS"/>
    <s v="WA"/>
    <n v="3929"/>
    <x v="31"/>
    <n v="1810"/>
    <s v="IV Team (Vascular Access)"/>
    <s v="Nursing Services"/>
    <s v="23087340 PICC NURSING TEAM"/>
    <s v="100 Procedures"/>
    <n v="0.83"/>
    <n v="5.55"/>
    <n v="0.22220000000000001"/>
    <n v="7659.61"/>
    <n v="1231.55"/>
    <n v="0.88890000000000002"/>
    <n v="19"/>
    <n v="136.79"/>
    <n v="181.27"/>
    <n v="447.86"/>
    <n v="0.89629999999999999"/>
    <n v="3.67"/>
    <n v="336806.45890415797"/>
    <n v="6532"/>
    <n v="3.1318371925119499"/>
  </r>
  <r>
    <s v="3929Swedish Edmonds341123076300 MEDICAL IMAGING"/>
    <m/>
    <x v="1"/>
    <s v="SHS"/>
    <s v="WA"/>
    <n v="3929"/>
    <x v="31"/>
    <n v="3411"/>
    <s v="Diagnostic Radiology Without Interventional Procedures"/>
    <s v="Imaging Services"/>
    <s v="23076300 MEDICAL IMAGING"/>
    <s v="APC Relative Weight"/>
    <n v="28377.25"/>
    <n v="30680.62"/>
    <n v="0.5"/>
    <n v="0.84"/>
    <n v="0.91"/>
    <n v="0.83330000000000004"/>
    <n v="19"/>
    <n v="0.59"/>
    <n v="0.62"/>
    <n v="0.68"/>
    <n v="0.89649999999999996"/>
    <n v="14.89"/>
    <n v="390542.32744075102"/>
    <n v="9838"/>
    <n v="4.7168912728191499"/>
  </r>
  <r>
    <s v="3928Swedish Cherry Hill511022083400 NUTRITION SERVICES"/>
    <m/>
    <x v="1"/>
    <s v="SHS"/>
    <s v="WA"/>
    <n v="3928"/>
    <x v="25"/>
    <n v="5110"/>
    <s v="Patient Food Services"/>
    <s v="Food and Nutrition Services"/>
    <s v="22083400 NUTRITION SERVICES"/>
    <s v="ART: Total Patient Meal Equivalents"/>
    <n v="202967.92"/>
    <n v="224213.74"/>
    <n v="0.1111"/>
    <n v="0.31"/>
    <n v="0.31"/>
    <n v="0.61109999999999998"/>
    <n v="19"/>
    <n v="0.25"/>
    <n v="0.27"/>
    <n v="0.3"/>
    <n v="0.88280000000000003"/>
    <n v="38.32"/>
    <n v="248132.35664391899"/>
    <n v="11349"/>
    <n v="5.4415131871181996"/>
  </r>
  <r>
    <s v="3927Swedish First Hill106021060500 PEDIATRIC INTENSIVE CARE"/>
    <m/>
    <x v="1"/>
    <s v="SHS"/>
    <s v="WA"/>
    <n v="3927"/>
    <x v="26"/>
    <n v="1060"/>
    <s v="Pediatric Intensive Care Unit"/>
    <s v="Nursing Services"/>
    <s v="21060500 PEDIATRIC INTENSIVE CARE"/>
    <s v="Equivalent Patient Day"/>
    <n v="967.46"/>
    <n v="1242"/>
    <n v="0.44440000000000002"/>
    <n v="22.34"/>
    <n v="20.28"/>
    <n v="0.17649999999999999"/>
    <n v="19"/>
    <n v="20.54"/>
    <n v="21.3"/>
    <n v="22.37"/>
    <n v="0.90810000000000002"/>
    <n v="13.33"/>
    <n v="-74353.593595793296"/>
    <n v="-1329"/>
    <n v="-0.63740359443248495"/>
  </r>
  <r>
    <s v="3927Swedish First Hill481221077705 WEST SEATTLE REHAB SVCS"/>
    <m/>
    <x v="1"/>
    <s v="SHS"/>
    <s v="WA"/>
    <n v="3927"/>
    <x v="26"/>
    <n v="4812"/>
    <s v="Physical Therapy: Outpatient"/>
    <s v="Rehabilitation Services"/>
    <s v="21077705 WEST SEATTLE REHAB SVCS"/>
    <s v="1000 Baseline Billed Time Units (BTUs)"/>
    <n v="296.72000000000003"/>
    <n v="295.64999999999998"/>
    <n v="0.55559999999999998"/>
    <n v="17.850000000000001"/>
    <n v="19.62"/>
    <n v="6.6699999999999995E-2"/>
    <n v="19"/>
    <n v="22.7"/>
    <n v="23.41"/>
    <n v="25.1"/>
    <n v="0.89510000000000001"/>
    <n v="3.12"/>
    <n v="-55682.976747763103"/>
    <n v="-1225"/>
    <n v="-0.58728435783733302"/>
  </r>
  <r>
    <s v="3927Swedish First Hill224221071919 SCI THORACIC SURGERY"/>
    <m/>
    <x v="1"/>
    <s v="SHS"/>
    <s v="WA"/>
    <n v="3927"/>
    <x v="26"/>
    <n v="2242"/>
    <s v="General Surgery Clinic"/>
    <s v="Ambulatory Care Clinics"/>
    <s v="21071919 SCI THORACIC SURGERY"/>
    <s v="Patient Visits"/>
    <n v="5511"/>
    <n v="6419"/>
    <n v="0.44440000000000002"/>
    <n v="1.17"/>
    <n v="1.56"/>
    <n v="0.38890000000000002"/>
    <n v="19"/>
    <n v="1.22"/>
    <n v="1.44"/>
    <n v="1.85"/>
    <n v="0.90769999999999995"/>
    <n v="5.31"/>
    <n v="46167.5333878253"/>
    <n v="892"/>
    <n v="0.42757375801325398"/>
  </r>
  <r>
    <s v="3927Swedish First Hill229921087010 Ambulatory Services Administration"/>
    <m/>
    <x v="1"/>
    <s v="SHS"/>
    <s v="WA"/>
    <n v="3927"/>
    <x v="26"/>
    <n v="2299"/>
    <s v="Ambulatory Services Administration"/>
    <s v="Ambulatory Care Clinics"/>
    <s v="21087010 Ambulatory Services Administration"/>
    <s v="Patient Visits Supported"/>
    <n v="113325"/>
    <n v="122202"/>
    <n v="0.5"/>
    <n v="0.96"/>
    <n v="0.87"/>
    <n v="0.94120000000000004"/>
    <n v="19"/>
    <n v="0.27"/>
    <n v="0.37"/>
    <n v="0.41"/>
    <n v="0.89270000000000005"/>
    <n v="57.35"/>
    <n v="2312264.1773701399"/>
    <n v="68966"/>
    <n v="33.065863691582997"/>
  </r>
  <r>
    <s v="3932Swedish Health Services Corp (S)585020587550 CARE COORDINATION"/>
    <m/>
    <x v="1"/>
    <s v="SHS"/>
    <s v="WA"/>
    <n v="3932"/>
    <x v="27"/>
    <n v="5850"/>
    <s v="Clinical Resource Management"/>
    <s v="Clinical Resource Management Services"/>
    <s v="20587550 CARE COORDINATION"/>
    <s v="Total Cases"/>
    <n v="94523"/>
    <n v="196653"/>
    <n v="1"/>
    <n v="1.98"/>
    <n v="0.94"/>
    <n v="0.66669999999999996"/>
    <n v="19"/>
    <n v="0.67"/>
    <n v="0.88"/>
    <n v="0.9"/>
    <n v="0.90549999999999997"/>
    <n v="97.97"/>
    <n v="537892.80742703401"/>
    <n v="13221"/>
    <n v="6.3388889664300798"/>
  </r>
  <r>
    <s v="3931Swedish Issaquah521122584400 ENVIRONMENTAL SERVICES/22584401 EVS IP"/>
    <m/>
    <x v="1"/>
    <s v="SHS"/>
    <s v="WA"/>
    <n v="3931"/>
    <x v="28"/>
    <n v="5211"/>
    <s v="Environmental Services"/>
    <s v="Environmental Services"/>
    <s v="22584400 ENVIRONMENTAL SERVICES/22584401 EVS IP"/>
    <s v="1000 Net Sq Ft Cleaned"/>
    <n v="294.83"/>
    <n v="380.37"/>
    <n v="0.5"/>
    <n v="186.45"/>
    <n v="148.43"/>
    <n v="0.16669999999999999"/>
    <n v="19"/>
    <n v="163.41"/>
    <n v="173.49"/>
    <n v="180.31"/>
    <n v="0.92810000000000004"/>
    <n v="29.25"/>
    <n v="-211498.099054561"/>
    <n v="-10096"/>
    <n v="-4.8405564206547602"/>
  </r>
  <r>
    <s v="3531Providence Medford Medical Center432059078745, SLEEP LAB"/>
    <m/>
    <x v="3"/>
    <s v="OR"/>
    <s v="OR"/>
    <n v="3531"/>
    <x v="29"/>
    <n v="4320"/>
    <s v="Sleep Diagnostic Center"/>
    <s v="Neurodiagnostic Services"/>
    <s v="59078745, SLEEP LAB"/>
    <s v="APC Relative Weight"/>
    <n v="3378.65"/>
    <n v="5789.07"/>
    <n v="0.55559999999999998"/>
    <n v="0.92"/>
    <n v="1.23"/>
    <n v="0.64710000000000001"/>
    <n v="19"/>
    <n v="0.92"/>
    <n v="0.97"/>
    <n v="1.03"/>
    <n v="0.91910000000000003"/>
    <n v="3.72"/>
    <n v="44218.857067723002"/>
    <n v="1649"/>
    <n v="0.79068599469327305"/>
  </r>
  <r>
    <s v="3531Providence Medford Medical Center466559004665, PRE ADMIT PRE PROC TESTING (U,N)"/>
    <m/>
    <x v="3"/>
    <s v="OR"/>
    <s v="OR"/>
    <n v="3531"/>
    <x v="29"/>
    <n v="4665"/>
    <s v="Pre Admission / Pre Procedure Testing"/>
    <s v="Other Clinical Support Services"/>
    <s v="59004665, PRE ADMIT PRE PROC TESTING (U,N)"/>
    <s v="Patient Visits"/>
    <n v="1938"/>
    <n v="1938"/>
    <n v="0.65"/>
    <n v="2.46"/>
    <n v="2.62"/>
    <n v="6.0199999999999997E-2"/>
    <n v="19"/>
    <n v="3.76"/>
    <n v="3.86"/>
    <n v="4.2300000000000004"/>
    <n v="0.86170000000000002"/>
    <n v="2.84"/>
    <n v="-103581.225093266"/>
    <n v="-2758"/>
    <n v="-1.3222977409418699"/>
  </r>
  <r>
    <s v="3525Providence Centralia Hospital4899Rehabilitation Administration And Support (U,N)"/>
    <m/>
    <x v="1"/>
    <s v="SWR"/>
    <s v="WA"/>
    <n v="3525"/>
    <x v="10"/>
    <n v="4899"/>
    <s v="Rehabilitation Services Administration"/>
    <s v="Rehabilitation Services"/>
    <s v="Rehabilitation Administration And Support (U,N)"/>
    <s v="1000 Baseline Billed Time Units (BTUs) Supported"/>
    <n v="2706.06"/>
    <n v="2904.79"/>
    <n v="0.5161"/>
    <n v="6.22"/>
    <n v="4.5999999999999996"/>
    <n v="0.65269999999999995"/>
    <n v="20"/>
    <n v="2.31"/>
    <n v="2.5099999999999998"/>
    <n v="3.91"/>
    <n v="0.87549999999999994"/>
    <n v="7.34"/>
    <n v="142643.457309688"/>
    <n v="6981"/>
    <n v="3.3471732104562202"/>
  </r>
  <r>
    <s v="3525Providence Centralia Hospital5608Centralized Scheduling (U,N)"/>
    <m/>
    <x v="1"/>
    <s v="SWR"/>
    <s v="WA"/>
    <n v="3525"/>
    <x v="10"/>
    <n v="5608"/>
    <s v="Centralized Scheduling"/>
    <s v="Revenue Cycle Management"/>
    <s v="Centralized Scheduling (U,N)"/>
    <s v="Adjusted Discharges"/>
    <n v="14540.1"/>
    <n v="12790.03"/>
    <n v="0.4642"/>
    <n v="1.46"/>
    <n v="1.57"/>
    <n v="0.89790000000000003"/>
    <n v="20"/>
    <n v="0.69"/>
    <n v="0.8"/>
    <n v="1.19"/>
    <n v="0.89129999999999998"/>
    <n v="10.81"/>
    <n v="250129.48847668601"/>
    <n v="11067"/>
    <n v="5.3059065041325404"/>
  </r>
  <r>
    <s v="3523Providence Everett Medical Center201031670100, Emergency Services"/>
    <m/>
    <x v="1"/>
    <s v="NWR"/>
    <s v="WA"/>
    <n v="3523"/>
    <x v="1"/>
    <n v="2010"/>
    <s v="Emergency Department"/>
    <s v="Emergency Services"/>
    <s v="31670100, Emergency Services"/>
    <s v="Patient Visits"/>
    <n v="97117"/>
    <n v="95251"/>
    <n v="0.68420000000000003"/>
    <n v="2.73"/>
    <n v="2.97"/>
    <n v="0.4375"/>
    <n v="20"/>
    <n v="2.78"/>
    <n v="2.89"/>
    <n v="3.01"/>
    <n v="0.90200000000000002"/>
    <n v="150.93"/>
    <n v="399017.77111757599"/>
    <n v="9611"/>
    <n v="4.6082091375682799"/>
  </r>
  <r>
    <s v="3532Providence Little Company of Mary Hospital486176277800 04861 SPEECH THERAPY"/>
    <m/>
    <x v="2"/>
    <s v="CA"/>
    <s v="CA"/>
    <n v="3532"/>
    <x v="13"/>
    <n v="4861"/>
    <s v="Speech Language Pathology: Inpatient and Outpatient"/>
    <s v="Rehabilitation Services"/>
    <s v="76277800 04861 SPEECH THERAPY"/>
    <s v="1000 Baseline Billed Time Units (BTUs)"/>
    <n v="265.91000000000003"/>
    <n v="338.64"/>
    <n v="0.63160000000000005"/>
    <n v="28.78"/>
    <n v="25.55"/>
    <n v="0.44440000000000002"/>
    <n v="20"/>
    <n v="22.89"/>
    <n v="23.54"/>
    <n v="25.8"/>
    <n v="0.90239999999999998"/>
    <n v="4.6100000000000003"/>
    <n v="37294.490972600899"/>
    <n v="781"/>
    <n v="0.37460630085924501"/>
  </r>
  <r>
    <s v="3532Providence Little Company of Mary Hospital441176277102 - 4440 - LCMH OP Pharmacy"/>
    <m/>
    <x v="2"/>
    <s v="CA"/>
    <s v="CA"/>
    <n v="3532"/>
    <x v="13"/>
    <n v="4411"/>
    <s v="Pharmacy Ambulatory/Clinic Services"/>
    <s v="Pharmacy Services"/>
    <s v="76277102 - 4440 - LCMH OP Pharmacy"/>
    <s v="Retail Prescriptions Processed"/>
    <m/>
    <n v="64372"/>
    <m/>
    <m/>
    <n v="0.25455415397999132"/>
    <m/>
    <n v="20"/>
    <n v="0.16"/>
    <n v="0.2"/>
    <n v="0.22"/>
    <n v="0.94330000000000003"/>
    <n v="8.34"/>
    <n v="133017.26364889217"/>
    <n v="3722.845330223683"/>
    <n v="1.7849380688611418"/>
  </r>
  <r>
    <s v="3532Providence Little Company of Mary Hospital621076287401 06210 EDUCATION-SIMULATION (87405)"/>
    <m/>
    <x v="2"/>
    <s v="CA"/>
    <s v="CA"/>
    <n v="3532"/>
    <x v="13"/>
    <n v="6210"/>
    <s v="Clinical Staff Education"/>
    <s v="Educational Services"/>
    <s v="76287401 06210 EDUCATION-SIMULATION (87405)"/>
    <s v="Adjusted Discharges"/>
    <n v="29637.5"/>
    <n v="33654.39"/>
    <n v="0.52629999999999999"/>
    <n v="0.72"/>
    <n v="0.48"/>
    <n v="0.55559999999999998"/>
    <n v="20"/>
    <n v="0.28999999999999998"/>
    <n v="0.37"/>
    <n v="0.43"/>
    <n v="0.86929999999999996"/>
    <n v="8.94"/>
    <n v="185913.72952250901"/>
    <n v="4322"/>
    <n v="2.0721322049588502"/>
  </r>
  <r>
    <s v="3527Providence Portland Medical Center521152284400, ENVIRONMENTAL SERVICES"/>
    <m/>
    <x v="3"/>
    <s v="OR"/>
    <s v="OR"/>
    <n v="3527"/>
    <x v="18"/>
    <n v="5211"/>
    <s v="Environmental Services"/>
    <s v="Environmental Services"/>
    <s v="52284400, ENVIRONMENTAL SERVICES"/>
    <s v="1000 Net Sq Ft Cleaned"/>
    <n v="887.71"/>
    <n v="887.71"/>
    <n v="0.52629999999999999"/>
    <n v="204.82"/>
    <n v="214.55520383909158"/>
    <n v="0.36840000000000001"/>
    <n v="20"/>
    <n v="174.68"/>
    <n v="184.44"/>
    <n v="209.25"/>
    <n v="0.87719999999999998"/>
    <n v="90.02"/>
    <n v="497063.93930232525"/>
    <n v="30476.023255813936"/>
    <n v="14.611892053418007"/>
  </r>
  <r>
    <s v="3527Providence Portland Medical Center127252263805, POST PARTUM - 3G"/>
    <m/>
    <x v="3"/>
    <s v="OR"/>
    <s v="OR"/>
    <n v="3527"/>
    <x v="18"/>
    <n v="1272"/>
    <s v="Mother/Baby Unit"/>
    <s v="Nursing Services"/>
    <s v="52263805, POST PARTUM - 3G"/>
    <s v="Equivalent Patient Day"/>
    <n v="9059.1200000000008"/>
    <n v="8682"/>
    <n v="0.47370000000000001"/>
    <n v="7.14"/>
    <n v="6.85"/>
    <n v="0.21049999999999999"/>
    <n v="20"/>
    <n v="7.31"/>
    <n v="7.53"/>
    <n v="7.93"/>
    <n v="0.88780000000000003"/>
    <n v="32.19"/>
    <n v="-323201.04814658302"/>
    <n v="-6499"/>
    <n v="-3.1159397603844501"/>
  </r>
  <r>
    <s v="3527Providence Portland Medical Center423052275700, CARDIOVASCULAR LAB"/>
    <m/>
    <x v="3"/>
    <s v="OR"/>
    <s v="OR"/>
    <n v="3527"/>
    <x v="18"/>
    <n v="4230"/>
    <s v="Combined Invasive Cardiology and Vascular Services"/>
    <s v="Cardiology and Vascular Services Series"/>
    <s v="52275700, CARDIOVASCULAR LAB"/>
    <s v="Procedure Minutes"/>
    <n v="299135"/>
    <n v="310806"/>
    <n v="0.47370000000000001"/>
    <n v="0.15"/>
    <n v="0.14000000000000001"/>
    <n v="0.4"/>
    <n v="20"/>
    <n v="0.13"/>
    <n v="0.14000000000000001"/>
    <n v="0.15"/>
    <n v="0.88480000000000003"/>
    <n v="24.01"/>
    <n v="41519.2255129615"/>
    <n v="899"/>
    <n v="0.43126645396651903"/>
  </r>
  <r>
    <s v="3526Providence Seaside Hospital500151084500, FACILITY SERVICES"/>
    <m/>
    <x v="3"/>
    <s v="OR"/>
    <s v="OR"/>
    <n v="3526"/>
    <x v="19"/>
    <n v="5001"/>
    <s v="Plant Operations / Plant Maintenance and Grounds"/>
    <s v="Facility Services"/>
    <s v="51084500, FACILITY SERVICES"/>
    <s v="1000 Gross Square Feet Maintained"/>
    <n v="202.6"/>
    <n v="204.6"/>
    <n v="0.57889999999999997"/>
    <n v="55.62"/>
    <n v="51.35"/>
    <n v="0.45"/>
    <n v="20"/>
    <n v="39.090000000000003"/>
    <n v="44.05"/>
    <n v="53.21"/>
    <n v="0.89449999999999996"/>
    <n v="5.65"/>
    <n v="33239.337371722802"/>
    <n v="1709"/>
    <n v="0.81919668021800396"/>
  </r>
  <r>
    <s v="3526Providence Seaside Hospital201051070100, 51070101 EMERGENCY SERVICES"/>
    <m/>
    <x v="3"/>
    <s v="OR"/>
    <s v="OR"/>
    <n v="3526"/>
    <x v="19"/>
    <n v="2010"/>
    <s v="Emergency Department"/>
    <s v="Emergency Services"/>
    <s v="51070100, 51070101 EMERGENCY SERVICES"/>
    <s v="Patient Visits"/>
    <n v="10252"/>
    <n v="10318"/>
    <n v="0.57889999999999997"/>
    <n v="2.66"/>
    <n v="2.75"/>
    <n v="0.1037"/>
    <n v="20"/>
    <n v="2.85"/>
    <n v="2.98"/>
    <n v="3.31"/>
    <n v="0.87409999999999999"/>
    <n v="15.61"/>
    <n v="-131213.65541700032"/>
    <n v="-2714.9525225946686"/>
    <n v="-1.3016984813706041"/>
  </r>
  <r>
    <s v="2719Providence St Joseph Medical Center441071077100 - 04410 - PSJMC PHARMACY"/>
    <m/>
    <x v="2"/>
    <s v="CA"/>
    <s v="CA"/>
    <n v="2719"/>
    <x v="6"/>
    <n v="4410"/>
    <s v="Pharmacy Services"/>
    <s v="Pharmacy Services"/>
    <s v="71077100 - 04410 - PSJMC PHARMACY"/>
    <s v="CMI Weighted Department Adjusted Discharges"/>
    <n v="38685.129999999997"/>
    <n v="44501.74"/>
    <n v="0.57889999999999997"/>
    <n v="1.91"/>
    <n v="1.81"/>
    <n v="0.31580000000000003"/>
    <n v="20"/>
    <n v="1.72"/>
    <n v="1.94"/>
    <n v="2.15"/>
    <n v="0.88539999999999996"/>
    <n v="43.82"/>
    <n v="-283541.73604557698"/>
    <n v="-6112"/>
    <n v="-2.9306187513564201"/>
  </r>
  <r>
    <s v="2719Providence St Joseph Medical Center423071075700 - 04230 - PSJMC CARDIAC PHYSIOLOGY LAB"/>
    <m/>
    <x v="2"/>
    <s v="CA"/>
    <s v="CA"/>
    <n v="2719"/>
    <x v="6"/>
    <n v="4230"/>
    <s v="Combined Invasive Cardiology and Vascular Services"/>
    <s v="Cardiology and Vascular Services Series"/>
    <s v="71075700 - 04230 - PSJMC CARDIAC PHYSIOLOGY LAB"/>
    <s v="Procedure Minutes"/>
    <n v="9748.94"/>
    <n v="116400"/>
    <n v="0.42109999999999997"/>
    <n v="2.15"/>
    <n v="0.17"/>
    <n v="0.27779999999999999"/>
    <n v="20"/>
    <n v="0.16"/>
    <n v="0.18"/>
    <n v="0.21"/>
    <n v="0.90759999999999996"/>
    <n v="10.19"/>
    <n v="-139716.37004708199"/>
    <n v="-1832"/>
    <n v="-0.87825502113248499"/>
  </r>
  <r>
    <s v="2719Providence St Joseph Medical Center345071076700 - 03450 - PSJMC ULTRASOUND"/>
    <m/>
    <x v="2"/>
    <s v="CA"/>
    <s v="CA"/>
    <n v="2719"/>
    <x v="6"/>
    <n v="3450"/>
    <s v="Ultrasound"/>
    <s v="Imaging Services"/>
    <s v="71076700 - 03450 - PSJMC ULTRASOUND"/>
    <s v="APC Relative Weight"/>
    <n v="20419.59"/>
    <n v="21345.599999999999"/>
    <n v="0.31580000000000003"/>
    <n v="0.41"/>
    <n v="0.35"/>
    <n v="5.2600000000000001E-2"/>
    <n v="20"/>
    <n v="0.38"/>
    <n v="0.4"/>
    <n v="0.43"/>
    <n v="0.88039999999999996"/>
    <n v="4.0999999999999996"/>
    <n v="-67352.041382679396"/>
    <n v="-1147"/>
    <n v="-0.54982366129305704"/>
  </r>
  <r>
    <s v="2719Providence St Joseph Medical Center637071086700 - 06370 - PSJMC VOLUNTEERS"/>
    <m/>
    <x v="2"/>
    <s v="CA"/>
    <s v="CA"/>
    <n v="2719"/>
    <x v="6"/>
    <n v="6370"/>
    <s v="Volunteer Services"/>
    <s v="Community Outreach"/>
    <s v="71086700 - 06370 - PSJMC VOLUNTEERS"/>
    <s v="100 Volunteer Service Hours"/>
    <n v="672.41"/>
    <n v="805.21"/>
    <n v="0.57889999999999997"/>
    <n v="8.1199999999999992"/>
    <n v="6.39"/>
    <n v="0.5"/>
    <n v="20"/>
    <n v="4.28"/>
    <n v="5.94"/>
    <n v="6.39"/>
    <n v="0.87680000000000002"/>
    <n v="2.82"/>
    <n v="8042.4028326059297"/>
    <n v="427"/>
    <n v="0.20456926799768499"/>
  </r>
  <r>
    <s v="3848Providence St Patrick Hospital &amp; Health Science Ce504046084601, BIOMED"/>
    <m/>
    <x v="4"/>
    <s v="WMR"/>
    <s v="MT"/>
    <n v="3848"/>
    <x v="21"/>
    <n v="5040"/>
    <s v="Biomedical Engineering"/>
    <s v="Facility Services"/>
    <s v="46084601, BIOMED"/>
    <s v="100 Equipment and Devices Maintained"/>
    <n v="77.08"/>
    <n v="77.08"/>
    <n v="0.84209999999999996"/>
    <n v="241.52"/>
    <n v="250.7"/>
    <n v="0.94440000000000002"/>
    <n v="20"/>
    <n v="128.08000000000001"/>
    <n v="139.37"/>
    <n v="156.65"/>
    <n v="0.89139999999999997"/>
    <n v="10.42"/>
    <n v="340873.76177667"/>
    <n v="9682"/>
    <n v="4.6418802913079"/>
  </r>
  <r>
    <s v="3524Providence St Peter Hospital3399Laboratory Services - Administration And Support (U,N)"/>
    <m/>
    <x v="1"/>
    <s v="SWR"/>
    <s v="WA"/>
    <n v="3524"/>
    <x v="2"/>
    <n v="3399"/>
    <s v="Laboratory Services Administration"/>
    <s v="Laboratory Services"/>
    <s v="Laboratory Services - Administration And Support (U,N)"/>
    <s v="100 Billed Tests Supported"/>
    <n v="20525.16"/>
    <n v="20978.77"/>
    <n v="0.84770000000000001"/>
    <n v="0.12"/>
    <n v="0.26"/>
    <n v="3.56E-2"/>
    <n v="20"/>
    <n v="1.07"/>
    <n v="1.39"/>
    <n v="1.69"/>
    <n v="0.90649999999999997"/>
    <n v="2.86"/>
    <n v="-1031827.40090241"/>
    <n v="-26203"/>
    <n v="-12.563224218942"/>
  </r>
  <r>
    <s v="3524Providence St Peter Hospital423033075700, CARDIOVASCULAR LAB"/>
    <m/>
    <x v="1"/>
    <s v="SWR"/>
    <s v="WA"/>
    <n v="3524"/>
    <x v="2"/>
    <n v="4230"/>
    <s v="Combined Invasive Cardiology and Vascular Services"/>
    <s v="Cardiology and Vascular Services Series"/>
    <s v="33075700, CARDIOVASCULAR LAB"/>
    <s v="Procedure Minutes"/>
    <n v="239636"/>
    <n v="267503"/>
    <n v="0.52629999999999999"/>
    <n v="0.15"/>
    <n v="0.13"/>
    <n v="0.16669999999999999"/>
    <n v="20"/>
    <n v="0.14000000000000001"/>
    <n v="0.15"/>
    <n v="0.16"/>
    <n v="0.85770000000000002"/>
    <n v="19.36"/>
    <n v="-294171.42433326598"/>
    <n v="-6403"/>
    <n v="-3.07017514475015"/>
  </r>
  <r>
    <s v="3524Providence St Peter Hospital341233076490, INTERVENTIONAL RADIOLOGY"/>
    <m/>
    <x v="1"/>
    <s v="SWR"/>
    <s v="WA"/>
    <n v="3524"/>
    <x v="2"/>
    <n v="3412"/>
    <s v="Interventional Radiology"/>
    <s v="Imaging Services"/>
    <s v="33076490, INTERVENTIONAL RADIOLOGY"/>
    <s v="APC Relative Weight"/>
    <n v="103172.82"/>
    <n v="102766.76"/>
    <n v="0.57889999999999997"/>
    <n v="0.12"/>
    <n v="0.11"/>
    <n v="0.1053"/>
    <n v="20"/>
    <n v="0.12"/>
    <n v="0.13"/>
    <n v="0.16"/>
    <n v="0.88219999999999998"/>
    <n v="5.92"/>
    <n v="-133458.89843682299"/>
    <n v="-2796"/>
    <n v="-1.3406770850684999"/>
  </r>
  <r>
    <s v="3524Providence St Peter Hospital487233078004, PT/ST/OT OP NEURO"/>
    <m/>
    <x v="1"/>
    <s v="SWR"/>
    <s v="WA"/>
    <n v="3524"/>
    <x v="2"/>
    <n v="4872"/>
    <s v="PT/OT/SLP Combined: Outpatient"/>
    <s v="Rehabilitation Services"/>
    <s v="33078004, PT/ST/OT OP NEURO"/>
    <s v="1000 Baseline Billed Time Units (BTUs)"/>
    <n v="371.43"/>
    <n v="377.47"/>
    <n v="0.15790000000000001"/>
    <n v="26.64"/>
    <n v="28.09"/>
    <n v="0.52629999999999999"/>
    <n v="20"/>
    <n v="23.65"/>
    <n v="25.83"/>
    <n v="27.97"/>
    <n v="0.85540000000000005"/>
    <n v="5.96"/>
    <n v="46620.293141090398"/>
    <n v="1033"/>
    <n v="0.49505544379163002"/>
  </r>
  <r>
    <s v="3524Providence St Peter Hospital466533085601, PREADMIT SURGERY"/>
    <m/>
    <x v="1"/>
    <s v="SWR"/>
    <s v="WA"/>
    <n v="3524"/>
    <x v="2"/>
    <n v="4665"/>
    <s v="Pre Admission / Pre Procedure Testing"/>
    <s v="Other Clinical Support Services"/>
    <s v="33085601, PREADMIT SURGERY"/>
    <s v="Patient Visits"/>
    <n v="8777"/>
    <n v="9575"/>
    <n v="0.52629999999999999"/>
    <n v="1.95"/>
    <n v="2.08"/>
    <n v="0.66669999999999996"/>
    <n v="20"/>
    <n v="1.45"/>
    <n v="1.63"/>
    <n v="1.88"/>
    <n v="0.88419999999999999"/>
    <n v="10.83"/>
    <n v="208444.130705394"/>
    <n v="4937"/>
    <n v="2.3670059539980799"/>
  </r>
  <r>
    <s v="3524Providence St Peter Hospital504033084601, BIOMED INSTRUMENT SERVICES"/>
    <m/>
    <x v="1"/>
    <s v="SWR"/>
    <s v="WA"/>
    <n v="3524"/>
    <x v="2"/>
    <n v="5040"/>
    <s v="Biomedical Engineering"/>
    <s v="Facility Services"/>
    <s v="33084601, BIOMED INSTRUMENT SERVICES"/>
    <s v="100 Equipment and Devices Maintained"/>
    <n v="80.400000000000006"/>
    <n v="85.62"/>
    <n v="0.47370000000000001"/>
    <n v="217.14"/>
    <n v="199.21"/>
    <n v="0.70589999999999997"/>
    <n v="20"/>
    <n v="140.55000000000001"/>
    <n v="146.28"/>
    <n v="154.4"/>
    <n v="0.83109999999999995"/>
    <n v="9.8699999999999992"/>
    <n v="218959.937693382"/>
    <n v="5516"/>
    <n v="2.64471384734111"/>
  </r>
  <r>
    <s v="3535Providence St Vincent Medical Center422053075910, 53075600 EKG &amp; ECHO"/>
    <m/>
    <x v="3"/>
    <s v="OR"/>
    <s v="OR"/>
    <n v="3535"/>
    <x v="22"/>
    <n v="4220"/>
    <s v="Combined Noninvasive Cardiology and Vascular Services"/>
    <s v="Cardiology and Vascular Services Series"/>
    <s v="53075910, 53075600 EKG &amp; ECHO"/>
    <s v="APC Relative Weight"/>
    <n v="99420.76"/>
    <n v="200036.27"/>
    <n v="0.94740000000000002"/>
    <n v="0.38"/>
    <n v="0.19"/>
    <n v="5.2600000000000001E-2"/>
    <n v="20"/>
    <n v="0.22"/>
    <n v="0.26"/>
    <n v="0.28000000000000003"/>
    <n v="0.88429999999999997"/>
    <n v="21.1"/>
    <n v="-531760.10779723199"/>
    <n v="-14806"/>
    <n v="-7.0988001514933599"/>
  </r>
  <r>
    <s v="3535Providence St Vincent Medical Center481253070856, ORENCO REHAB (U)"/>
    <m/>
    <x v="3"/>
    <s v="OR"/>
    <s v="OR"/>
    <n v="3535"/>
    <x v="22"/>
    <n v="4812"/>
    <s v="Physical Therapy: Outpatient"/>
    <s v="Rehabilitation Services"/>
    <s v="53070856, ORENCO REHAB (U)"/>
    <s v="1000 Baseline Billed Time Units (BTUs)"/>
    <n v="268.89999999999998"/>
    <n v="335.78"/>
    <n v="0.3765"/>
    <n v="20.99"/>
    <n v="16.41"/>
    <m/>
    <n v="20"/>
    <n v="22.22"/>
    <n v="22.72"/>
    <n v="23.93"/>
    <n v="0.9073"/>
    <n v="2.92"/>
    <n v="-93396.852768148397"/>
    <n v="-2318"/>
    <n v="-1.1114418493467"/>
  </r>
  <r>
    <s v="3535Providence St Vincent Medical Center301253074230, SURGICAL SERVICES - CARDIAC"/>
    <m/>
    <x v="3"/>
    <s v="OR"/>
    <s v="OR"/>
    <n v="3535"/>
    <x v="22"/>
    <n v="3012"/>
    <s v="Cardiac Operating Room"/>
    <s v="Surgical Services"/>
    <s v="53074230, SURGICAL SERVICES - CARDIAC"/>
    <s v="100 Operating Room Minutes"/>
    <n v="2020.44"/>
    <n v="2097.5500000000002"/>
    <n v="0.57889999999999997"/>
    <n v="18.52"/>
    <n v="16.91"/>
    <n v="0.76470000000000005"/>
    <n v="20"/>
    <n v="13.76"/>
    <n v="15.34"/>
    <n v="16.329999999999998"/>
    <n v="0.89439999999999997"/>
    <n v="19.07"/>
    <n v="177097.22062899001"/>
    <n v="3799"/>
    <n v="1.82139209300095"/>
  </r>
  <r>
    <s v="3849Providence Willamette Falls Medical Center309953503099, SURG SVCS ADMIN (N)"/>
    <m/>
    <x v="3"/>
    <s v="OR"/>
    <s v="OR"/>
    <n v="3849"/>
    <x v="7"/>
    <n v="3099"/>
    <s v="Surgical Services Administration"/>
    <s v="Surgical Services"/>
    <s v="53503099, SURG SVCS ADMIN (N)"/>
    <s v="Cases Supported"/>
    <n v="3971"/>
    <n v="4304"/>
    <n v="0.47370000000000001"/>
    <n v="3.11"/>
    <n v="2.65"/>
    <n v="0.83330000000000004"/>
    <n v="20"/>
    <n v="1.21"/>
    <n v="1.4"/>
    <n v="1.79"/>
    <n v="0.88419999999999999"/>
    <n v="6.19"/>
    <n v="215804.452389137"/>
    <n v="6096"/>
    <n v="2.9226327877371601"/>
  </r>
  <r>
    <s v="3930Swedish Ballard487221577709 OP REHAB SERVICES"/>
    <m/>
    <x v="1"/>
    <s v="SHS"/>
    <s v="WA"/>
    <n v="3930"/>
    <x v="24"/>
    <n v="4872"/>
    <s v="PT/OT/SLP Combined: Outpatient"/>
    <s v="Rehabilitation Services"/>
    <s v="21577709 OP REHAB SERVICES"/>
    <s v="1000 Baseline Billed Time Units (BTUs)"/>
    <n v="601.02"/>
    <n v="654.88"/>
    <n v="0.52629999999999999"/>
    <n v="21.25"/>
    <n v="22.59"/>
    <n v="0.33329999999999999"/>
    <n v="20"/>
    <n v="22.39"/>
    <n v="22.62"/>
    <n v="23.82"/>
    <n v="0.8579"/>
    <n v="8.2899999999999991"/>
    <n v="1030.50132895144"/>
    <n v="23"/>
    <n v="1.1229967754880801E-2"/>
  </r>
  <r>
    <s v="3930Swedish Ballard522121583500 LINEN"/>
    <m/>
    <x v="1"/>
    <s v="SHS"/>
    <s v="WA"/>
    <n v="3930"/>
    <x v="24"/>
    <n v="5221"/>
    <s v="Laundry and Linen Distribution Only"/>
    <s v="Environmental Services"/>
    <s v="21583500 LINEN"/>
    <s v="100 Lbs Clean Laundry Distributed"/>
    <n v="5065.12"/>
    <n v="5382.64"/>
    <n v="0.52629999999999999"/>
    <n v="0.78"/>
    <n v="0.68"/>
    <n v="0.44440000000000002"/>
    <n v="20"/>
    <n v="0.56999999999999995"/>
    <n v="0.67"/>
    <n v="0.73"/>
    <n v="0.88260000000000005"/>
    <n v="2"/>
    <n v="1779.9205260508199"/>
    <n v="85"/>
    <n v="4.0910067292039901E-2"/>
  </r>
  <r>
    <s v="3930Swedish Ballard342021576800 CT SCANNING"/>
    <m/>
    <x v="1"/>
    <s v="SHS"/>
    <s v="WA"/>
    <n v="3930"/>
    <x v="24"/>
    <n v="3420"/>
    <s v="Computerized Tomography"/>
    <s v="Imaging Services"/>
    <s v="21576800 CT SCANNING"/>
    <s v="APC Relative Weight"/>
    <n v="20116.36"/>
    <n v="19832.29"/>
    <n v="0.47370000000000001"/>
    <n v="0.32"/>
    <n v="0.35"/>
    <n v="0.73680000000000001"/>
    <n v="20"/>
    <n v="0.22"/>
    <n v="0.26"/>
    <n v="0.28000000000000003"/>
    <n v="0.89029999999999998"/>
    <n v="3.76"/>
    <n v="107248.47673487299"/>
    <n v="2050"/>
    <n v="0.983114339930797"/>
  </r>
  <r>
    <s v="3930Swedish Ballard401021576420 RADIATION TREATMENT CENTER"/>
    <m/>
    <x v="1"/>
    <s v="SHS"/>
    <s v="WA"/>
    <n v="3930"/>
    <x v="24"/>
    <n v="4010"/>
    <s v="Radiation Therapy (Oncology)"/>
    <s v="Radiation Therapy Services"/>
    <s v="21576420 RADIATION TREATMENT CENTER"/>
    <s v="APC Relative Weight"/>
    <n v="49059.040000000001"/>
    <n v="21787"/>
    <n v="0.36840000000000001"/>
    <n v="0.25"/>
    <n v="0.53"/>
    <n v="0.88890000000000002"/>
    <n v="20"/>
    <n v="0.35"/>
    <n v="0.35"/>
    <n v="0.39"/>
    <n v="0.84870000000000001"/>
    <n v="6.59"/>
    <n v="334412.75420065399"/>
    <n v="4760"/>
    <n v="2.2821612904933302"/>
  </r>
  <r>
    <s v="3928Swedish Cherry Hill487222077709 OP REHAB SERVICES"/>
    <m/>
    <x v="1"/>
    <s v="SHS"/>
    <s v="WA"/>
    <n v="3928"/>
    <x v="25"/>
    <n v="4872"/>
    <s v="PT/OT/SLP Combined: Outpatient"/>
    <s v="Rehabilitation Services"/>
    <s v="22077709 OP REHAB SERVICES"/>
    <s v="1000 Baseline Billed Time Units (BTUs)"/>
    <n v="792.01"/>
    <n v="1188.82"/>
    <n v="0.42109999999999997"/>
    <n v="22.92"/>
    <n v="20.3"/>
    <n v="0.22220000000000001"/>
    <n v="20"/>
    <n v="21.55"/>
    <n v="23.14"/>
    <n v="25.26"/>
    <n v="0.86750000000000005"/>
    <n v="13.37"/>
    <n v="-175933.24911026401"/>
    <n v="-3825"/>
    <n v="-1.83400951781025"/>
  </r>
  <r>
    <s v="3928Swedish Cherry Hill343022076600 MRI"/>
    <m/>
    <x v="1"/>
    <s v="SHS"/>
    <s v="WA"/>
    <n v="3928"/>
    <x v="25"/>
    <n v="3430"/>
    <s v="Magnetic Resonance Imaging"/>
    <s v="Imaging Services"/>
    <s v="22076600 MRI"/>
    <s v="APC Relative Weight"/>
    <n v="70666.240000000005"/>
    <n v="73445.279999999999"/>
    <n v="0.47370000000000001"/>
    <n v="0.34"/>
    <n v="0.37"/>
    <n v="0.36840000000000001"/>
    <n v="20"/>
    <n v="0.33"/>
    <n v="0.37"/>
    <n v="0.39"/>
    <n v="0.86360000000000003"/>
    <n v="15.04"/>
    <n v="-5088.2532491972397"/>
    <n v="-98"/>
    <n v="-4.6939199089289098E-2"/>
  </r>
  <r>
    <s v="3928Swedish Cherry Hill521122084400 ENVIRONMENTAL SERVICES"/>
    <m/>
    <x v="1"/>
    <s v="SHS"/>
    <s v="WA"/>
    <n v="3928"/>
    <x v="25"/>
    <n v="5211"/>
    <s v="Environmental Services"/>
    <s v="Environmental Services"/>
    <s v="22084400 ENVIRONMENTAL SERVICES"/>
    <s v="1000 Net Sq Ft Cleaned"/>
    <n v="565.01"/>
    <n v="565.01"/>
    <n v="0.47370000000000001"/>
    <n v="158.41"/>
    <n v="181.71"/>
    <n v="0.42109999999999997"/>
    <n v="20"/>
    <n v="144.72"/>
    <n v="169.15"/>
    <n v="190.69"/>
    <n v="0.88990000000000002"/>
    <n v="55.47"/>
    <n v="165086.99037024399"/>
    <n v="8298"/>
    <n v="3.9785539298870098"/>
  </r>
  <r>
    <s v="3929Swedish Edmonds307023074701 STERILE PROCESSING"/>
    <m/>
    <x v="1"/>
    <s v="SHS"/>
    <s v="WA"/>
    <n v="3929"/>
    <x v="31"/>
    <n v="3070"/>
    <s v="Sterile Processing"/>
    <s v="Surgical Services"/>
    <s v="23074701 STERILE PROCESSING"/>
    <s v="100 Items Processed"/>
    <n v="1800"/>
    <n v="1889.47"/>
    <n v="0.52629999999999999"/>
    <n v="10.25"/>
    <n v="10.5"/>
    <n v="0.16669999999999999"/>
    <n v="20"/>
    <n v="11.37"/>
    <n v="14.95"/>
    <n v="17.3"/>
    <n v="0.88229999999999997"/>
    <n v="10.81"/>
    <n v="-243699.485365998"/>
    <n v="-9469"/>
    <n v="-4.5401658837763597"/>
  </r>
  <r>
    <s v="3927Swedish First Hill121221061720 GENERAL SURGICAL"/>
    <m/>
    <x v="1"/>
    <s v="SHS"/>
    <s v="WA"/>
    <n v="3927"/>
    <x v="26"/>
    <n v="1212"/>
    <s v="General Surgical Acute Care Unit"/>
    <s v="Nursing Services"/>
    <s v="21061720 GENERAL SURGICAL"/>
    <s v="Equivalent Patient Day"/>
    <n v="8687.92"/>
    <n v="8970"/>
    <n v="0.42109999999999997"/>
    <n v="10.119999999999999"/>
    <n v="10.87"/>
    <n v="0.42109999999999997"/>
    <n v="20"/>
    <n v="10.4"/>
    <n v="10.82"/>
    <n v="10.87"/>
    <n v="0.89670000000000005"/>
    <n v="52.27"/>
    <n v="32670.305169711799"/>
    <n v="783"/>
    <n v="0.37557635432137498"/>
  </r>
  <r>
    <s v="3927Swedish First Hill345021076700 ULTRASOUND"/>
    <m/>
    <x v="1"/>
    <s v="SHS"/>
    <s v="WA"/>
    <n v="3927"/>
    <x v="26"/>
    <n v="3450"/>
    <s v="Ultrasound"/>
    <s v="Imaging Services"/>
    <s v="21076700 ULTRASOUND"/>
    <s v="APC Relative Weight"/>
    <n v="46066.45"/>
    <n v="47182.39"/>
    <n v="0.63160000000000005"/>
    <n v="0.49"/>
    <n v="0.47"/>
    <n v="0.47060000000000002"/>
    <n v="20"/>
    <n v="0.42"/>
    <n v="0.46"/>
    <n v="0.49"/>
    <n v="0.90539999999999998"/>
    <n v="11.88"/>
    <n v="38724.289313374698"/>
    <n v="807"/>
    <n v="0.38668164490652002"/>
  </r>
  <r>
    <s v="3927Swedish First Hill302021074278 AMBULATORY SURGERY RECOVERY C Level"/>
    <m/>
    <x v="1"/>
    <s v="SHS"/>
    <s v="WA"/>
    <n v="3927"/>
    <x v="26"/>
    <n v="3020"/>
    <s v="Post Anesthesia Care Unit (PACU)"/>
    <s v="Surgical Services"/>
    <s v="21074278 AMBULATORY SURGERY RECOVERY C Level"/>
    <s v="100 PACU Minutes"/>
    <n v="3435.76"/>
    <n v="3596.06"/>
    <n v="0.42109999999999997"/>
    <n v="4.59"/>
    <n v="4.28"/>
    <n v="0.47370000000000001"/>
    <n v="20"/>
    <n v="3.21"/>
    <n v="3.73"/>
    <n v="4.29"/>
    <n v="0.85119999999999996"/>
    <n v="8.69"/>
    <n v="107417.91515726699"/>
    <n v="2367"/>
    <n v="1.1346897121862001"/>
  </r>
  <r>
    <s v="3927Swedish First Hill344021076391 MOBILE BREAST CANCER SVCS"/>
    <m/>
    <x v="1"/>
    <s v="SHS"/>
    <s v="WA"/>
    <n v="3927"/>
    <x v="26"/>
    <n v="3440"/>
    <s v="Mammography"/>
    <s v="Imaging Services"/>
    <s v="21076391 MOBILE BREAST CANCER SVCS"/>
    <s v="APC Relative Weight"/>
    <n v="11863.5"/>
    <n v="15010.47"/>
    <n v="0.57889999999999997"/>
    <n v="1.05"/>
    <n v="0.78"/>
    <n v="0.73680000000000001"/>
    <n v="20"/>
    <n v="0.56000000000000005"/>
    <n v="0.56999999999999995"/>
    <n v="0.6"/>
    <n v="0.8821"/>
    <n v="6.36"/>
    <n v="127239.31617328701"/>
    <n v="3566"/>
    <n v="1.7095017711121501"/>
  </r>
  <r>
    <s v="3927Swedish First Hill349921086107 MEDICAL IMAGING ADMIN"/>
    <m/>
    <x v="1"/>
    <s v="SHS"/>
    <s v="WA"/>
    <n v="3927"/>
    <x v="26"/>
    <n v="3499"/>
    <s v="Imaging Services Administration"/>
    <s v="Imaging Services"/>
    <s v="21086107 MEDICAL IMAGING ADMIN"/>
    <s v="APC Relative Weight Supported"/>
    <n v="595022.91"/>
    <n v="588906.06000000006"/>
    <n v="0.57889999999999997"/>
    <n v="0.06"/>
    <n v="0.06"/>
    <n v="0.68420000000000003"/>
    <n v="20"/>
    <n v="0.04"/>
    <n v="0.04"/>
    <n v="0.06"/>
    <n v="0.87350000000000005"/>
    <n v="21.03"/>
    <n v="604135.20223247202"/>
    <n v="16895"/>
    <n v="8.1002161657465308"/>
  </r>
  <r>
    <s v="3927Swedish First Hill181021077158 INTRAVENOUS NURSES"/>
    <m/>
    <x v="1"/>
    <s v="SHS"/>
    <s v="WA"/>
    <n v="3927"/>
    <x v="26"/>
    <n v="1810"/>
    <s v="IV Team (Vascular Access)"/>
    <s v="Nursing Services"/>
    <s v="21077158 INTRAVENOUS NURSES"/>
    <s v="100 Procedures"/>
    <n v="0.93"/>
    <n v="18.309999999999999"/>
    <n v="0.21049999999999999"/>
    <n v="49448.32"/>
    <n v="3737.7"/>
    <n v="0.94740000000000002"/>
    <n v="20"/>
    <n v="60.85"/>
    <n v="79.87"/>
    <n v="242.97"/>
    <n v="0.88009999999999999"/>
    <n v="37.380000000000003"/>
    <n v="4026053.8338816599"/>
    <n v="76302"/>
    <n v="36.583312200163"/>
  </r>
  <r>
    <s v="3931Swedish Issaquah441022577100 PHARMACY"/>
    <m/>
    <x v="1"/>
    <s v="SHS"/>
    <s v="WA"/>
    <n v="3931"/>
    <x v="28"/>
    <n v="4410"/>
    <s v="Pharmacy Services"/>
    <s v="Pharmacy Services"/>
    <s v="22577100 PHARMACY"/>
    <s v="CMI Weighted Department Adjusted Discharges"/>
    <n v="14923.78"/>
    <n v="18469.939999999999"/>
    <n v="0.57889999999999997"/>
    <n v="1.77"/>
    <n v="1.38"/>
    <n v="0"/>
    <n v="20"/>
    <n v="1.82"/>
    <n v="2.04"/>
    <n v="2.11"/>
    <n v="0.92110000000000003"/>
    <n v="13.35"/>
    <n v="-647901.11127313797"/>
    <n v="-13062"/>
    <n v="-6.2626838907852296"/>
  </r>
  <r>
    <s v="3931Swedish Issaquah1110Medical/Surgical Intermediate Unit (N)"/>
    <m/>
    <x v="1"/>
    <s v="SHS"/>
    <s v="WA"/>
    <n v="3931"/>
    <x v="28"/>
    <n v="1110"/>
    <s v="Medical/Surgical Intermediate Care Unit"/>
    <s v="Nursing Services"/>
    <s v="Medical/Surgical Intermediate Unit (N)"/>
    <s v="Equivalent Patient Day"/>
    <n v="6643"/>
    <n v="3909"/>
    <n v="0.36840000000000001"/>
    <n v="5.19"/>
    <n v="9.8800000000000008"/>
    <n v="0"/>
    <n v="20"/>
    <n v="12.21"/>
    <n v="12.53"/>
    <n v="13.55"/>
    <n v="0.92130000000000001"/>
    <n v="20.16"/>
    <n v="-536499.09135099803"/>
    <n v="-11116"/>
    <n v="-5.3296474726169896"/>
  </r>
  <r>
    <s v="3931Swedish Issaquah127222563800, 22563801, FAMILY CHILDBIRTH CENTER, POSTPARTUM"/>
    <m/>
    <x v="1"/>
    <s v="SHS"/>
    <s v="WA"/>
    <n v="3931"/>
    <x v="28"/>
    <n v="1272"/>
    <s v="Mother/Baby Unit"/>
    <s v="Nursing Services"/>
    <s v="22563800, 22563801, FAMILY CHILDBIRTH CENTER, POSTPARTUM"/>
    <s v="Equivalent Patient Day"/>
    <n v="4233.33"/>
    <n v="4101"/>
    <n v="0.47370000000000001"/>
    <n v="7.18"/>
    <n v="7.47"/>
    <n v="0.16669999999999999"/>
    <n v="20"/>
    <n v="7.66"/>
    <n v="8.11"/>
    <n v="9.4700000000000006"/>
    <n v="0.89729999999999999"/>
    <n v="16.41"/>
    <n v="-133063.42420616001"/>
    <n v="-2839"/>
    <n v="-1.36137841422175"/>
  </r>
  <r>
    <s v="3931Swedish Issaquah432022578740 SLEEP LAB"/>
    <m/>
    <x v="1"/>
    <s v="SHS"/>
    <s v="WA"/>
    <n v="3931"/>
    <x v="28"/>
    <n v="4320"/>
    <s v="Sleep Diagnostic Center"/>
    <s v="Neurodiagnostic Services"/>
    <s v="22578740 SLEEP LAB"/>
    <s v="APC Relative Weight"/>
    <n v="16146.7"/>
    <n v="15903.59"/>
    <n v="0.63160000000000005"/>
    <n v="0.64"/>
    <n v="0.7"/>
    <n v="0.17649999999999999"/>
    <n v="20"/>
    <n v="0.76"/>
    <n v="0.8"/>
    <n v="0.85"/>
    <n v="0.89890000000000003"/>
    <n v="5.94"/>
    <n v="-69100.433159705601"/>
    <n v="-1765"/>
    <n v="-0.84612627037996502"/>
  </r>
  <r>
    <s v="3531Providence Medford Medical Center623059006230, COMBO ALL STAFF EDUC (U,N)"/>
    <m/>
    <x v="3"/>
    <s v="OR"/>
    <s v="OR"/>
    <n v="3531"/>
    <x v="29"/>
    <n v="6230"/>
    <s v="Staff Education Combined"/>
    <s v="Educational Services"/>
    <s v="59006230, COMBO ALL STAFF EDUC (U,N)"/>
    <s v="Adjusted Discharges"/>
    <n v="13415.83"/>
    <n v="13761.01"/>
    <n v="0.6452"/>
    <n v="0.3"/>
    <n v="0.55000000000000004"/>
    <n v="0.57450000000000001"/>
    <n v="20"/>
    <n v="0.35"/>
    <n v="0.41"/>
    <n v="0.49"/>
    <n v="0.86799999999999999"/>
    <n v="4.1500000000000004"/>
    <n v="89070.372122910296"/>
    <n v="2156"/>
    <n v="1.03353250983381"/>
  </r>
  <r>
    <s v="2947Providence Alaska Medical Center3099Perioperative Services Admin"/>
    <m/>
    <x v="0"/>
    <s v="AK"/>
    <s v="AK"/>
    <n v="2947"/>
    <x v="0"/>
    <n v="3099"/>
    <s v="Surgical Services Administration"/>
    <s v="Surgical Services"/>
    <s v="Perioperative Services Admin"/>
    <s v="Cases Supported"/>
    <n v="18786"/>
    <n v="16501"/>
    <n v="0.65"/>
    <n v="0.92"/>
    <n v="1.06"/>
    <n v="0.33329999999999999"/>
    <n v="21"/>
    <n v="0.97"/>
    <n v="1.07"/>
    <n v="1.17"/>
    <n v="0.88390000000000002"/>
    <n v="9.56"/>
    <n v="-849.02050239706898"/>
    <n v="-36"/>
    <n v="-1.7211248537558201E-2"/>
  </r>
  <r>
    <s v="2947Providence Alaska Medical Center3011Operating Room"/>
    <m/>
    <x v="0"/>
    <s v="AK"/>
    <s v="AK"/>
    <n v="2947"/>
    <x v="0"/>
    <n v="3011"/>
    <s v="Operating Room"/>
    <s v="Surgical Services"/>
    <s v="Operating Room"/>
    <s v="100 Operating Room Minutes"/>
    <n v="14523.57"/>
    <n v="14070.54"/>
    <n v="0.55000000000000004"/>
    <n v="12.34"/>
    <n v="13.36"/>
    <n v="0.94440000000000002"/>
    <n v="21"/>
    <n v="10.84"/>
    <n v="11.18"/>
    <n v="11.52"/>
    <n v="0.89700000000000002"/>
    <n v="100.74"/>
    <n v="1467828.12337741"/>
    <n v="34742"/>
    <n v="16.656983350392199"/>
  </r>
  <r>
    <s v="3525Providence Centralia Hospital5925Patient Transport Normalized Only Dept (U,N)"/>
    <m/>
    <x v="1"/>
    <s v="SWR"/>
    <s v="WA"/>
    <n v="3525"/>
    <x v="10"/>
    <n v="5925"/>
    <s v="Patient Escort (Transport) Service"/>
    <s v="Other Support Services"/>
    <s v="Patient Transport Normalized Only Dept (U,N)"/>
    <s v="100 Patient Transports Performed"/>
    <n v="45.65"/>
    <n v="381.16"/>
    <n v="0.50349999999999995"/>
    <n v="137.26"/>
    <n v="18.38"/>
    <m/>
    <n v="21"/>
    <n v="52.07"/>
    <n v="53.98"/>
    <n v="57.81"/>
    <n v="0.89929999999999999"/>
    <n v="3.74"/>
    <n v="-540276.54726337898"/>
    <n v="-15078"/>
    <n v="-7.22942249452504"/>
  </r>
  <r>
    <s v="3525Providence Centralia Hospital481233377705 PHYSICAL THERAPY CHEHALIS"/>
    <m/>
    <x v="1"/>
    <s v="SWR"/>
    <s v="WA"/>
    <n v="3525"/>
    <x v="10"/>
    <n v="4812"/>
    <s v="Physical Therapy: Outpatient"/>
    <s v="Rehabilitation Services"/>
    <s v="33377705 PHYSICAL THERAPY CHEHALIS"/>
    <s v="1000 Baseline Billed Time Units (BTUs)"/>
    <n v="238.21"/>
    <n v="279.22000000000003"/>
    <n v="0.55000000000000004"/>
    <n v="20.92"/>
    <n v="19.21"/>
    <n v="0.05"/>
    <n v="21"/>
    <n v="20.25"/>
    <n v="21.28"/>
    <n v="23.39"/>
    <n v="0.90849999999999997"/>
    <n v="2.84"/>
    <n v="-29273.1471827942"/>
    <n v="-617"/>
    <n v="-0.29574958593872902"/>
  </r>
  <r>
    <s v="3523Providence Everett Medical Center309903099 Surgical Services Administration (U,N)"/>
    <m/>
    <x v="1"/>
    <s v="NWR"/>
    <s v="WA"/>
    <n v="3523"/>
    <x v="1"/>
    <n v="3099"/>
    <s v="Surgical Services Administration"/>
    <s v="Surgical Services"/>
    <s v="03099 Surgical Services Administration (U,N)"/>
    <s v="Cases Supported"/>
    <m/>
    <n v="14189"/>
    <n v="0.25650000000000001"/>
    <m/>
    <n v="0.96"/>
    <n v="0.2394"/>
    <n v="21"/>
    <n v="0.97"/>
    <n v="1.07"/>
    <n v="1.17"/>
    <n v="0.86170000000000002"/>
    <n v="7.59"/>
    <n v="-65816.6772613059"/>
    <n v="-1788"/>
    <n v="-0.857488949060775"/>
  </r>
  <r>
    <s v="2687Providence Holy Cross Medical Center3499Imaging Services Administration (U,N)"/>
    <m/>
    <x v="2"/>
    <s v="CA"/>
    <s v="CA"/>
    <n v="2687"/>
    <x v="4"/>
    <n v="3499"/>
    <s v="Imaging Services Administration"/>
    <s v="Imaging Services"/>
    <s v="Imaging Services Administration (U,N)"/>
    <s v="APC Relative Weight Supported"/>
    <n v="313278.09999999998"/>
    <n v="355525"/>
    <n v="0.65190000000000003"/>
    <n v="0.03"/>
    <n v="0.04"/>
    <n v="0.128"/>
    <n v="21"/>
    <n v="0.05"/>
    <n v="0.05"/>
    <n v="0.06"/>
    <n v="0.90790000000000004"/>
    <n v="7.59"/>
    <n v="-155869.76211214499"/>
    <n v="-3749"/>
    <n v="-1.7975073963999799"/>
  </r>
  <r>
    <s v="2687Providence Holy Cross Medical Center423072075700 Card Cath Lab Invasive Cardiology"/>
    <m/>
    <x v="2"/>
    <s v="CA"/>
    <s v="CA"/>
    <n v="2687"/>
    <x v="4"/>
    <n v="4230"/>
    <s v="Combined Invasive Cardiology and Vascular Services"/>
    <s v="Cardiology and Vascular Services Series"/>
    <s v="72075700 Card Cath Lab Invasive Cardiology"/>
    <s v="Procedure Minutes"/>
    <m/>
    <n v="90455"/>
    <n v="0.45"/>
    <m/>
    <n v="0.22"/>
    <n v="0.35289999999999999"/>
    <n v="21"/>
    <n v="0.21"/>
    <n v="0.22"/>
    <n v="0.24"/>
    <n v="0.88990000000000002"/>
    <n v="10.68"/>
    <n v="-5006.1153857801201"/>
    <n v="-87"/>
    <n v="-4.1664441357784902E-2"/>
  </r>
  <r>
    <s v="3528Providence Hood River Memorial Hospital500156084600, MAINTENANCE"/>
    <m/>
    <x v="3"/>
    <s v="OR"/>
    <s v="OR"/>
    <n v="3528"/>
    <x v="12"/>
    <n v="5001"/>
    <s v="Plant Operations / Plant Maintenance and Grounds"/>
    <s v="Facility Services"/>
    <s v="56084600, MAINTENANCE"/>
    <s v="1000 Gross Square Feet Maintained"/>
    <n v="195.75"/>
    <n v="195.75"/>
    <n v="0.35"/>
    <n v="44.27"/>
    <n v="44.05"/>
    <n v="0.4"/>
    <n v="21"/>
    <n v="39.090000000000003"/>
    <n v="41.19"/>
    <n v="46.74"/>
    <n v="0.87719999999999998"/>
    <n v="4.7300000000000004"/>
    <n v="19852.712296858099"/>
    <n v="674"/>
    <n v="0.32299951260839699"/>
  </r>
  <r>
    <s v="4282Providence Kodiak Hospital591018984200, SECURITY"/>
    <m/>
    <x v="0"/>
    <s v="AK"/>
    <s v="AK"/>
    <n v="4282"/>
    <x v="5"/>
    <n v="5910"/>
    <s v="Security"/>
    <s v="Other Support Services"/>
    <s v="18984200, SECURITY"/>
    <s v="1000 Gross Square Feet Patrolled"/>
    <n v="550"/>
    <n v="550"/>
    <n v="0.65"/>
    <n v="14.39"/>
    <n v="18.16"/>
    <n v="0.16669999999999999"/>
    <n v="21"/>
    <n v="20.100000000000001"/>
    <n v="23.13"/>
    <n v="26.32"/>
    <n v="0.8831"/>
    <n v="5.44"/>
    <n v="-70891.557710464403"/>
    <n v="-3059"/>
    <n v="-1.4667954837728501"/>
  </r>
  <r>
    <s v="3532Providence Little Company of Mary Hospital111076261740 61745 - 1110 - LCMH 4 MS ONC TELE ONC"/>
    <m/>
    <x v="2"/>
    <s v="CA"/>
    <s v="CA"/>
    <n v="3532"/>
    <x v="13"/>
    <n v="1110"/>
    <s v="Medical/Surgical Intermediate Care Unit"/>
    <s v="Nursing Services"/>
    <s v="76261740 61745 - 1110 - LCMH 4 MS ONC TELE ONC"/>
    <s v="Equivalent Patient Day"/>
    <m/>
    <n v="17648"/>
    <n v="0.95"/>
    <m/>
    <n v="10.96"/>
    <n v="0.35"/>
    <n v="21"/>
    <n v="10.76"/>
    <n v="10.96"/>
    <n v="11.23"/>
    <n v="0.91759999999999997"/>
    <n v="101.33"/>
    <n v="25373.987906454498"/>
    <n v="553"/>
    <n v="0.264994676039294"/>
  </r>
  <r>
    <s v="3529Providence Milwaukie Hospital481255078099, HAPPY VALLEY REHAB (U)"/>
    <m/>
    <x v="3"/>
    <s v="OR"/>
    <s v="OR"/>
    <n v="3529"/>
    <x v="15"/>
    <n v="4812"/>
    <s v="Physical Therapy: Outpatient"/>
    <s v="Rehabilitation Services"/>
    <s v="55078099, HAPPY VALLEY REHAB (U)"/>
    <s v="1000 Baseline Billed Time Units (BTUs)"/>
    <n v="178.74"/>
    <n v="245.24"/>
    <n v="0.51439999999999997"/>
    <n v="24.67"/>
    <n v="21.107894307617027"/>
    <m/>
    <n v="21"/>
    <n v="20.23"/>
    <n v="21.57"/>
    <n v="22.47"/>
    <n v="0.93520000000000003"/>
    <n v="2.1"/>
    <n v="-4004.9729897348298"/>
    <n v="-121.17921300256673"/>
    <n v="-5.8100020617810201E-2"/>
  </r>
  <r>
    <s v="3529Providence Milwaukie Hospital349955076395, DIAGNOSTIC IMAGING ADM SUPPORT"/>
    <m/>
    <x v="3"/>
    <s v="OR"/>
    <s v="OR"/>
    <n v="3529"/>
    <x v="15"/>
    <n v="3499"/>
    <s v="Imaging Services Administration"/>
    <s v="Imaging Services"/>
    <s v="55076395, DIAGNOSTIC IMAGING ADM SUPPORT"/>
    <s v="APC Relative Weight Supported"/>
    <n v="97690.17"/>
    <n v="108755.6"/>
    <n v="0.65"/>
    <n v="0.08"/>
    <n v="0.09"/>
    <n v="0.78949999999999998"/>
    <n v="21"/>
    <n v="0.05"/>
    <n v="0.05"/>
    <n v="0.08"/>
    <n v="0.91320000000000001"/>
    <n v="5.25"/>
    <n v="158078.25468221499"/>
    <n v="4995"/>
    <n v="2.3950146168774902"/>
  </r>
  <r>
    <s v="3532Providence Little Company of Mary Hospital511276283200 05112 DIETARY (83300-83400)"/>
    <m/>
    <x v="2"/>
    <s v="CA"/>
    <s v="CA"/>
    <n v="3532"/>
    <x v="13"/>
    <n v="5112"/>
    <s v="Patient and Nonpatient Food Services"/>
    <s v="Food and Nutrition Services"/>
    <s v="76283200 05112 DIETARY (83300-83400)"/>
    <s v="ART: Total Meal Equivalents"/>
    <n v="1758845.62"/>
    <n v="1798294.08"/>
    <m/>
    <n v="0.08"/>
    <n v="7.5359198201886982E-2"/>
    <m/>
    <n v="21"/>
    <n v="7.0000000000000007E-2"/>
    <n v="0.08"/>
    <n v="0.09"/>
    <n v="0.92100000000000004"/>
    <n v="72.3"/>
    <n v="-146069.36543756785"/>
    <n v="-9061.375027144406"/>
    <n v="-4.3445246330461744"/>
  </r>
  <r>
    <s v="3530Providence Newberg Hospital335057075000 57075400 57075098 57089008 57089009, CLIN AND BLOOD COMBO"/>
    <m/>
    <x v="3"/>
    <s v="OR"/>
    <s v="OR"/>
    <n v="3530"/>
    <x v="17"/>
    <n v="3350"/>
    <s v="Laboratory Services: Clinical Operations and Blood Bank Combined"/>
    <s v="Laboratory Services"/>
    <s v="57075000 57075400 57075098 57089008 57089009, CLIN AND BLOOD COMBO"/>
    <s v="100 Billed Tests"/>
    <n v="2685.18"/>
    <n v="3063.17"/>
    <n v="0.65"/>
    <n v="9.94"/>
    <n v="9.18"/>
    <n v="0"/>
    <n v="21"/>
    <n v="14.64"/>
    <n v="15.13"/>
    <n v="16.89"/>
    <n v="0.90200000000000002"/>
    <n v="14.98"/>
    <n v="-561309.81310444302"/>
    <n v="-20137"/>
    <n v="-9.6549479674017196"/>
  </r>
  <r>
    <s v="3527Providence Portland Medical Center111052261731, SURGICAL ONCOLOGY - 7S"/>
    <m/>
    <x v="3"/>
    <s v="OR"/>
    <s v="OR"/>
    <n v="3527"/>
    <x v="18"/>
    <n v="1110"/>
    <s v="Medical/Surgical Intermediate Care Unit"/>
    <s v="Nursing Services"/>
    <s v="52261731, SURGICAL ONCOLOGY - 7S"/>
    <s v="Equivalent Patient Day"/>
    <n v="7849.42"/>
    <n v="7738"/>
    <n v="0.6"/>
    <n v="10.1"/>
    <n v="10.47"/>
    <n v="0.15790000000000001"/>
    <n v="21"/>
    <n v="11.34"/>
    <n v="11.48"/>
    <n v="11.78"/>
    <n v="0.89749999999999996"/>
    <n v="43.39"/>
    <n v="-388002.83366221201"/>
    <n v="-8479"/>
    <n v="-4.0652553981128703"/>
  </r>
  <r>
    <s v="3527Providence Portland Medical Center339052275400, BLOOD BANK"/>
    <m/>
    <x v="3"/>
    <s v="OR"/>
    <s v="OR"/>
    <n v="3527"/>
    <x v="18"/>
    <n v="3390"/>
    <s v="Laboratory Services: Blood Bank"/>
    <s v="Laboratory Services"/>
    <s v="52275400, BLOOD BANK"/>
    <s v="100 Billed Tests"/>
    <n v="529.28"/>
    <n v="522.74"/>
    <n v="0.5"/>
    <n v="22.41"/>
    <n v="21"/>
    <n v="0.35"/>
    <n v="21"/>
    <n v="19.38"/>
    <n v="21"/>
    <n v="23.39"/>
    <n v="0.8841"/>
    <n v="5.97"/>
    <n v="1132.4253978018"/>
    <n v="35"/>
    <n v="1.6781858184398101E-2"/>
  </r>
  <r>
    <s v="3527Providence Portland Medical Center581052205810, SOCIAL WORK SVCS (U,N)"/>
    <m/>
    <x v="3"/>
    <s v="OR"/>
    <s v="OR"/>
    <n v="3527"/>
    <x v="18"/>
    <n v="5810"/>
    <s v="Social Work"/>
    <s v="Clinical Resource Management Services"/>
    <s v="52205810, SOCIAL WORK SVCS (U,N)"/>
    <s v="Social Work Cases"/>
    <n v="802"/>
    <n v="15373"/>
    <n v="0.49159999999999998"/>
    <n v="17.399999999999999"/>
    <n v="0.86"/>
    <n v="0.39960000000000001"/>
    <n v="21"/>
    <n v="0.69"/>
    <n v="0.8"/>
    <n v="0.97"/>
    <n v="0.88970000000000005"/>
    <n v="7.12"/>
    <n v="36761.9607710419"/>
    <n v="1027"/>
    <n v="0.49244741159835198"/>
  </r>
  <r>
    <s v="3852Providence Sacred Heart Medical Center111034561770, TRAUMA ORTHO"/>
    <m/>
    <x v="4"/>
    <s v="PHC"/>
    <s v="WA"/>
    <n v="3852"/>
    <x v="9"/>
    <n v="1110"/>
    <s v="Medical/Surgical Intermediate Care Unit"/>
    <s v="Nursing Services"/>
    <s v="34561770, TRAUMA ORTHO"/>
    <s v="Equivalent Patient Day"/>
    <n v="13177.52"/>
    <n v="14141"/>
    <m/>
    <n v="10.11"/>
    <n v="10.46"/>
    <n v="0.23080000000000001"/>
    <n v="21"/>
    <n v="10.61"/>
    <n v="10.89"/>
    <n v="11.18"/>
    <n v="0.87319999999999998"/>
    <n v="81.45"/>
    <n v="-237716.75969101701"/>
    <n v="-6477"/>
    <n v="-3.1056113394899501"/>
  </r>
  <r>
    <s v="3852Providence Sacred Heart Medical Center441034577100, PHARMACY"/>
    <m/>
    <x v="4"/>
    <s v="PHC"/>
    <s v="WA"/>
    <n v="3852"/>
    <x v="9"/>
    <n v="4410"/>
    <s v="Pharmacy Services"/>
    <s v="Pharmacy Services"/>
    <s v="34577100, PHARMACY"/>
    <s v="CMI Weighted Department Adjusted Discharges"/>
    <n v="70822.84"/>
    <n v="77687.48"/>
    <n v="0.5"/>
    <n v="1.83"/>
    <n v="1.76"/>
    <n v="0.83330000000000004"/>
    <n v="21"/>
    <n v="1.37"/>
    <n v="1.55"/>
    <n v="1.6"/>
    <n v="0.87839999999999996"/>
    <n v="74.69"/>
    <n v="884664.43939566601"/>
    <n v="18696"/>
    <n v="8.9637939318420603"/>
  </r>
  <r>
    <s v="3526Providence Seaside Hospital335051075000 51075400 51075098 51089008 51089009 CLIN AND BLOOD COMBO"/>
    <m/>
    <x v="3"/>
    <s v="OR"/>
    <s v="OR"/>
    <n v="3526"/>
    <x v="19"/>
    <n v="3350"/>
    <s v="Laboratory Services: Clinical Operations and Blood Bank Combined"/>
    <s v="Laboratory Services"/>
    <s v="51075000 51075400 51075098 51089008 51089009 CLIN AND BLOOD COMBO"/>
    <s v="100 Billed Tests"/>
    <n v="911.44"/>
    <n v="978.72"/>
    <n v="0.4"/>
    <n v="18.98"/>
    <n v="17.489999999999998"/>
    <n v="0.15"/>
    <n v="21"/>
    <n v="19.579999999999998"/>
    <n v="20.77"/>
    <n v="22.83"/>
    <n v="0.90539999999999998"/>
    <n v="9.09"/>
    <n v="-102453.55847323799"/>
    <n v="-3493"/>
    <n v="-1.6747172851402199"/>
  </r>
  <r>
    <s v="3533Providence San Pedro Peninsula Hospital511177278701 83401 SPH NUTRITION, CLIN DIETETICS"/>
    <m/>
    <x v="2"/>
    <s v="CA"/>
    <s v="CA"/>
    <n v="3533"/>
    <x v="14"/>
    <n v="5111"/>
    <s v="Clinical Nutrition Services"/>
    <s v="Food and Nutrition Services"/>
    <s v="77278701 83401 SPH NUTRITION, CLIN DIETETICS"/>
    <s v="Total Medical Nutritional Therapy Interventions"/>
    <n v="16314"/>
    <n v="22526"/>
    <n v="0.4"/>
    <n v="0.52"/>
    <n v="0.39"/>
    <n v="0.26319999999999999"/>
    <n v="21"/>
    <n v="0.38"/>
    <n v="0.4"/>
    <n v="0.42"/>
    <n v="0.91579999999999995"/>
    <n v="4.6100000000000003"/>
    <n v="-7776.3856644790403"/>
    <n v="-224"/>
    <n v="-0.10727930130991099"/>
  </r>
  <r>
    <s v="2719Providence St Joseph Medical Center522171083500 - 05221 - PSJMC LAUNDRY"/>
    <m/>
    <x v="2"/>
    <s v="CA"/>
    <s v="CA"/>
    <n v="2719"/>
    <x v="6"/>
    <n v="5221"/>
    <s v="Laundry and Linen Distribution Only"/>
    <s v="Environmental Services"/>
    <s v="71083500 - 05221 - PSJMC LAUNDRY"/>
    <s v="100 Lbs Clean Laundry Distributed"/>
    <m/>
    <n v="18760.09"/>
    <n v="0.5"/>
    <m/>
    <n v="0.4"/>
    <n v="0.4"/>
    <n v="21"/>
    <n v="0.33"/>
    <n v="0.37"/>
    <n v="0.43"/>
    <n v="0.86"/>
    <n v="4.1399999999999997"/>
    <n v="9193.6623399227392"/>
    <n v="564"/>
    <n v="0.27021934524240798"/>
  </r>
  <r>
    <s v="2719Providence St Joseph Medical Center302071074270 - 03020 - PSJMC RECOVERY ROOM"/>
    <m/>
    <x v="2"/>
    <s v="CA"/>
    <s v="CA"/>
    <n v="2719"/>
    <x v="6"/>
    <n v="3020"/>
    <s v="Post Anesthesia Care Unit (PACU)"/>
    <s v="Surgical Services"/>
    <s v="71074270 - 03020 - PSJMC RECOVERY ROOM"/>
    <s v="100 PACU Minutes"/>
    <n v="5928.15"/>
    <n v="6241.05"/>
    <n v="0.55000000000000004"/>
    <n v="4.0599999999999996"/>
    <n v="3.92"/>
    <n v="0.5"/>
    <n v="21"/>
    <n v="3.5"/>
    <n v="3.78"/>
    <n v="3.92"/>
    <n v="0.86660000000000004"/>
    <n v="13.58"/>
    <n v="53750.479462453899"/>
    <n v="1101"/>
    <n v="0.52794377561242101"/>
  </r>
  <r>
    <s v="3848Providence St Patrick Hospital &amp; Health Science Ce101046060100, INTENSIVE CARE UNIT"/>
    <m/>
    <x v="4"/>
    <s v="WMR"/>
    <s v="MT"/>
    <n v="3848"/>
    <x v="21"/>
    <n v="1010"/>
    <s v="Medical/Surgical Intensive Care Unit"/>
    <s v="Nursing Services"/>
    <s v="46060100, INTENSIVE CARE UNIT"/>
    <s v="Equivalent Patient Day"/>
    <n v="4666"/>
    <n v="4577"/>
    <n v="0.65"/>
    <n v="21.53"/>
    <n v="22.42"/>
    <n v="0.89470000000000005"/>
    <n v="21"/>
    <n v="17.93"/>
    <n v="18.86"/>
    <n v="20.32"/>
    <n v="0.87560000000000004"/>
    <n v="56.33"/>
    <n v="629678.18784732104"/>
    <n v="18901"/>
    <n v="9.0622416280559808"/>
  </r>
  <r>
    <s v="3848Providence St Patrick Hospital &amp; Health Science Ce582546087520, QUALITY ASSURANCE"/>
    <m/>
    <x v="4"/>
    <s v="WMR"/>
    <s v="MT"/>
    <n v="3848"/>
    <x v="21"/>
    <n v="5825"/>
    <s v="Quality Management"/>
    <s v="Clinical Resource Management Services"/>
    <s v="46087520, QUALITY ASSURANCE"/>
    <s v="Total Admissions And Registrations"/>
    <n v="269710"/>
    <n v="145677"/>
    <n v="0.3"/>
    <n v="0.04"/>
    <n v="0.09"/>
    <n v="0.7"/>
    <n v="21"/>
    <n v="0.04"/>
    <n v="0.06"/>
    <n v="7.0000000000000007E-2"/>
    <n v="0.87329999999999997"/>
    <n v="7.15"/>
    <n v="165743.30578074799"/>
    <n v="4904"/>
    <n v="2.3512631136429198"/>
  </r>
  <r>
    <s v="3848Providence St Patrick Hospital &amp; Health Science Ce121246061794, SURGICAL PEDIATRICS"/>
    <m/>
    <x v="4"/>
    <s v="WMR"/>
    <s v="MT"/>
    <n v="3848"/>
    <x v="21"/>
    <n v="1212"/>
    <s v="General Surgical Acute Care Unit"/>
    <s v="Nursing Services"/>
    <s v="46061794, SURGICAL PEDIATRICS"/>
    <s v="Equivalent Patient Day"/>
    <n v="5943"/>
    <n v="5975"/>
    <n v="0.35"/>
    <n v="11.42"/>
    <n v="11.87"/>
    <n v="0.65"/>
    <n v="21"/>
    <n v="10.130000000000001"/>
    <n v="11.16"/>
    <n v="11.44"/>
    <n v="0.89980000000000004"/>
    <n v="37.9"/>
    <n v="147395.59990004601"/>
    <n v="4942"/>
    <n v="2.3692582327165401"/>
  </r>
  <r>
    <s v="3848Providence St Patrick Hospital &amp; Health Science Ce411046077200, RESPIRATORY THERAPY"/>
    <m/>
    <x v="4"/>
    <s v="WMR"/>
    <s v="MT"/>
    <n v="3848"/>
    <x v="21"/>
    <n v="4110"/>
    <s v="Respiratory Care"/>
    <s v="Respiratory and Pulmonary Care Services"/>
    <s v="46077200, RESPIRATORY THERAPY"/>
    <s v="CMI Weighted Total Facility Discharges"/>
    <n v="16331.84"/>
    <n v="17586.66"/>
    <n v="0.65"/>
    <n v="2.74"/>
    <n v="2.5499999999999998"/>
    <n v="0.5"/>
    <n v="21"/>
    <n v="2.12"/>
    <n v="2.29"/>
    <n v="2.5499999999999998"/>
    <n v="0.89290000000000003"/>
    <n v="24.11"/>
    <n v="149885.404147803"/>
    <n v="5182"/>
    <n v="2.48459818230207"/>
  </r>
  <r>
    <s v="3524Providence St Peter Hospital139033063400, PSYCHIATRIC I P ACUTE"/>
    <m/>
    <x v="1"/>
    <s v="SWR"/>
    <s v="WA"/>
    <n v="3524"/>
    <x v="2"/>
    <n v="1390"/>
    <s v="Behavioral Health Unit"/>
    <s v="Nursing Services"/>
    <s v="33063400, PSYCHIATRIC I P ACUTE"/>
    <s v="Patient Days"/>
    <n v="5910"/>
    <n v="5908"/>
    <n v="0.55000000000000004"/>
    <n v="7.19"/>
    <n v="7.53"/>
    <n v="0"/>
    <n v="21"/>
    <n v="8.84"/>
    <n v="9.36"/>
    <n v="9.92"/>
    <n v="0.88049999999999995"/>
    <n v="24.3"/>
    <n v="-522282.97523020202"/>
    <n v="-12122"/>
    <n v="-5.8116902238239696"/>
  </r>
  <r>
    <s v="3524Providence St Peter Hospital301133074200 33074230 33074702 Combined Surgery Services"/>
    <m/>
    <x v="1"/>
    <s v="SWR"/>
    <s v="WA"/>
    <n v="3524"/>
    <x v="2"/>
    <n v="3011"/>
    <s v="Operating Room"/>
    <s v="Surgical Services"/>
    <s v="33074200 33074230 33074702 Combined Surgery Services"/>
    <s v="100 Operating Room Minutes"/>
    <n v="8620.86"/>
    <n v="9123.23"/>
    <n v="0.5"/>
    <n v="11.7"/>
    <n v="11"/>
    <n v="0.35"/>
    <n v="21"/>
    <n v="10.36"/>
    <n v="11"/>
    <n v="11.31"/>
    <n v="0.7863"/>
    <n v="61.34"/>
    <n v="13067.1180597001"/>
    <n v="307"/>
    <n v="0.14707792178531801"/>
  </r>
  <r>
    <s v="3524Providence St Peter Hospital121233061701, MEDICAL SURGICAL ACUTE"/>
    <m/>
    <x v="1"/>
    <s v="SWR"/>
    <s v="WA"/>
    <n v="3524"/>
    <x v="2"/>
    <n v="1212"/>
    <s v="General Surgical Acute Care Unit"/>
    <s v="Nursing Services"/>
    <s v="33061701, MEDICAL SURGICAL ACUTE"/>
    <s v="Equivalent Patient Day"/>
    <n v="8106.25"/>
    <n v="9245.3799999999992"/>
    <n v="0.5"/>
    <n v="10.78"/>
    <n v="10.87"/>
    <n v="0.73680000000000001"/>
    <n v="21"/>
    <n v="9.9600000000000009"/>
    <n v="10.4"/>
    <n v="10.74"/>
    <n v="0.88919999999999999"/>
    <n v="54.36"/>
    <n v="209027.12808642301"/>
    <n v="5246"/>
    <n v="2.5150081913963298"/>
  </r>
  <r>
    <s v="3524Providence St Peter Hospital4490Pharmacy Administration and Support (U,N)"/>
    <m/>
    <x v="1"/>
    <s v="SWR"/>
    <s v="WA"/>
    <n v="3524"/>
    <x v="2"/>
    <n v="4490"/>
    <s v="Pharmacy Administration and Support"/>
    <s v="Pharmacy Services"/>
    <s v="Pharmacy Administration and Support (U,N)"/>
    <s v="CMI Weighted Adjusted Discharges"/>
    <n v="43579.97"/>
    <n v="46785.83"/>
    <n v="0.5605"/>
    <n v="0.64"/>
    <n v="0.36"/>
    <n v="0.90529999999999999"/>
    <n v="21"/>
    <n v="0.17"/>
    <n v="0.19"/>
    <n v="0.22"/>
    <n v="0.88049999999999995"/>
    <n v="9.26"/>
    <n v="504923.65218295099"/>
    <n v="9218"/>
    <n v="4.4195388592562201"/>
  </r>
  <r>
    <s v="3535Providence St Vincent Medical Center441053077100, 53077111 PHARMACY &amp; RESIDENTS"/>
    <m/>
    <x v="3"/>
    <s v="OR"/>
    <s v="OR"/>
    <n v="3535"/>
    <x v="22"/>
    <n v="4410"/>
    <s v="Pharmacy Services"/>
    <s v="Pharmacy Services"/>
    <s v="53077100, 53077111 PHARMACY &amp; RESIDENTS"/>
    <s v="CMI Weighted Department Adjusted Discharges"/>
    <n v="63617.83"/>
    <n v="65381.57"/>
    <n v="0.7"/>
    <n v="1.64"/>
    <n v="1.6093094736024234"/>
    <n v="0.21049999999999999"/>
    <n v="21"/>
    <n v="1.61"/>
    <n v="1.72"/>
    <n v="1.95"/>
    <n v="0.88560000000000005"/>
    <n v="57.05"/>
    <n v="-369455.97705962067"/>
    <n v="-8171.9968383017176"/>
    <n v="-3.9181075122509079"/>
  </r>
  <r>
    <s v="3535Providence St Vincent Medical Center591053084200, SECURITY"/>
    <m/>
    <x v="3"/>
    <s v="OR"/>
    <s v="OR"/>
    <n v="3535"/>
    <x v="22"/>
    <n v="5910"/>
    <s v="Security"/>
    <s v="Other Support Services"/>
    <s v="53084200, SECURITY"/>
    <s v="1000 Gross Square Feet Patrolled"/>
    <n v="4427.8900000000003"/>
    <n v="4427.8900000000003"/>
    <n v="0.7"/>
    <n v="10.77"/>
    <n v="10.71"/>
    <n v="0.25"/>
    <n v="21"/>
    <n v="10.71"/>
    <n v="11.52"/>
    <n v="14.29"/>
    <n v="0.90190000000000003"/>
    <n v="25.28"/>
    <n v="-83569.150550153601"/>
    <n v="-3831"/>
    <n v="-1.8368397361867601"/>
  </r>
  <r>
    <s v="3535Providence St Vincent Medical Center344053076390, MAMMOGRAPHY"/>
    <m/>
    <x v="3"/>
    <s v="OR"/>
    <s v="OR"/>
    <n v="3535"/>
    <x v="22"/>
    <n v="3440"/>
    <s v="Mammography"/>
    <s v="Imaging Services"/>
    <s v="53076390, MAMMOGRAPHY"/>
    <s v="APC Relative Weight"/>
    <n v="29078.16"/>
    <n v="39256.480000000003"/>
    <n v="0.45"/>
    <n v="0.73"/>
    <n v="0.55000000000000004"/>
    <n v="0.55000000000000004"/>
    <n v="21"/>
    <n v="0.47"/>
    <n v="0.49"/>
    <n v="0.54"/>
    <n v="0.89870000000000005"/>
    <n v="11.63"/>
    <n v="108610.02942240299"/>
    <n v="2853"/>
    <n v="1.3677910661886901"/>
  </r>
  <r>
    <s v="3755Providence Tarzana Medical Center101372560300 61100 CVICU, ICUBU"/>
    <m/>
    <x v="2"/>
    <s v="CA"/>
    <s v="CA"/>
    <n v="3755"/>
    <x v="3"/>
    <n v="1013"/>
    <s v="Med/Surg/Cardiac Intensive Care Unit"/>
    <s v="Nursing Services"/>
    <s v="72560300 61100 CVICU, ICUBU"/>
    <s v="Equivalent Patient Day"/>
    <n v="2651.58"/>
    <n v="2420"/>
    <n v="0.55000000000000004"/>
    <n v="21.57"/>
    <n v="21.18"/>
    <n v="0.72219999999999995"/>
    <n v="21"/>
    <n v="18.78"/>
    <n v="19.79"/>
    <n v="20.64"/>
    <n v="0.84409999999999996"/>
    <n v="29.19"/>
    <n v="214800.37302826199"/>
    <n v="4144"/>
    <n v="1.9870866110196701"/>
  </r>
  <r>
    <s v="3849Providence Willamette Falls Medical Center344053576390, MAMMOGRAPHY"/>
    <m/>
    <x v="3"/>
    <s v="OR"/>
    <s v="OR"/>
    <n v="3849"/>
    <x v="7"/>
    <n v="3440"/>
    <s v="Mammography"/>
    <s v="Imaging Services"/>
    <s v="53576390, MAMMOGRAPHY"/>
    <s v="APC Relative Weight"/>
    <n v="6371.56"/>
    <n v="8076.04"/>
    <n v="0.4"/>
    <n v="0.68"/>
    <n v="0.56000000000000005"/>
    <n v="0.52939999999999998"/>
    <n v="21"/>
    <n v="0.49"/>
    <n v="0.51"/>
    <n v="0.54"/>
    <n v="0.92030000000000001"/>
    <n v="2.35"/>
    <n v="15961.327443493499"/>
    <n v="426"/>
    <n v="0.20420922323384799"/>
  </r>
  <r>
    <s v="3532Providence Little Company of Mary Hospital303076274300 03030 AMBULATORY SURGERY"/>
    <m/>
    <x v="2"/>
    <s v="CA"/>
    <s v="CA"/>
    <n v="3532"/>
    <x v="13"/>
    <n v="3030"/>
    <s v="Surgery Pre Op and Post Recovery Only"/>
    <s v="Surgical Services"/>
    <s v="76274300 03030 AMBULATORY SURGERY"/>
    <s v="100 Patient Observation Minutes"/>
    <n v="4822.33"/>
    <n v="5688.3"/>
    <n v="0.05"/>
    <n v="5.68"/>
    <n v="5.83"/>
    <n v="1"/>
    <n v="21"/>
    <n v="3.59"/>
    <n v="3.96"/>
    <n v="4.25"/>
    <n v="0.83699999999999997"/>
    <n v="19.07"/>
    <n v="607566.17747640796"/>
    <n v="12862"/>
    <n v="6.1667123283433902"/>
  </r>
  <r>
    <s v="3849Providence Willamette Falls Medical Center489953504899, REHAB ADMIN AND SUPPORT (U,N)"/>
    <m/>
    <x v="3"/>
    <s v="OR"/>
    <s v="OR"/>
    <n v="3849"/>
    <x v="7"/>
    <n v="4899"/>
    <s v="Rehabilitation Services Administration"/>
    <s v="Rehabilitation Services"/>
    <s v="53504899, REHAB ADMIN AND SUPPORT (U,N)"/>
    <s v="1000 Baseline Billed Time Units (BTUs) Supported"/>
    <n v="1013.62"/>
    <n v="1512.7"/>
    <n v="0.51270000000000004"/>
    <n v="6.6"/>
    <n v="4.66"/>
    <n v="0.68769999999999998"/>
    <n v="21"/>
    <n v="2.5299999999999998"/>
    <n v="3.02"/>
    <n v="3.68"/>
    <n v="0.90710000000000002"/>
    <n v="3.74"/>
    <n v="64719.366821005802"/>
    <n v="2764"/>
    <n v="1.3253580481399101"/>
  </r>
  <r>
    <s v="3930Swedish Ballard341121576300 MEDICAL IMAGING"/>
    <m/>
    <x v="1"/>
    <s v="SHS"/>
    <s v="WA"/>
    <n v="3930"/>
    <x v="24"/>
    <n v="3411"/>
    <s v="Diagnostic Radiology Without Interventional Procedures"/>
    <s v="Imaging Services"/>
    <s v="21576300 MEDICAL IMAGING"/>
    <s v="APC Relative Weight"/>
    <n v="28461.18"/>
    <n v="36482.699999999997"/>
    <n v="0.6"/>
    <n v="0.68"/>
    <n v="0.54"/>
    <n v="0.05"/>
    <n v="21"/>
    <n v="0.6"/>
    <n v="0.6"/>
    <n v="0.66"/>
    <n v="0.90010000000000001"/>
    <n v="10.47"/>
    <n v="-105529.229538281"/>
    <n v="-2482"/>
    <n v="-1.1899213108373901"/>
  </r>
  <r>
    <s v="3930Swedish Ballard201021570100 EMERGENCY SERVICES"/>
    <m/>
    <x v="1"/>
    <s v="SHS"/>
    <s v="WA"/>
    <n v="3930"/>
    <x v="24"/>
    <n v="2010"/>
    <s v="Emergency Department"/>
    <s v="Emergency Services"/>
    <s v="21570100 EMERGENCY SERVICES"/>
    <s v="Patient Visits"/>
    <n v="21554"/>
    <n v="22575"/>
    <n v="0.5"/>
    <n v="2.69"/>
    <n v="2.67"/>
    <n v="0.35289999999999999"/>
    <n v="21"/>
    <n v="2.58"/>
    <n v="2.66"/>
    <n v="2.78"/>
    <n v="0.90090000000000003"/>
    <n v="32.130000000000003"/>
    <n v="15135.745573210201"/>
    <n v="359"/>
    <n v="0.17189880854789799"/>
  </r>
  <r>
    <s v="3928Swedish Cherry Hill191022087202 NURSING SUPERVISORS"/>
    <m/>
    <x v="1"/>
    <s v="SHS"/>
    <s v="WA"/>
    <n v="3928"/>
    <x v="25"/>
    <n v="1910"/>
    <s v="Nursing Administration"/>
    <s v="Nursing Services"/>
    <s v="22087202 NURSING SUPERVISORS"/>
    <s v="Nursing Division Employees"/>
    <n v="508"/>
    <n v="544"/>
    <n v="0.4"/>
    <n v="24.41"/>
    <n v="31.59"/>
    <n v="5.2600000000000001E-2"/>
    <n v="21"/>
    <n v="43.49"/>
    <n v="47.55"/>
    <n v="66.55"/>
    <n v="0.9133"/>
    <n v="7.22"/>
    <n v="-800688.16325673705"/>
    <n v="-13264"/>
    <n v="-6.3595107173229799"/>
  </r>
  <r>
    <s v="3928Swedish Cherry Hill426022076701 VASCULAR ULTRASOUND"/>
    <m/>
    <x v="1"/>
    <s v="SHS"/>
    <s v="WA"/>
    <n v="3928"/>
    <x v="25"/>
    <n v="4260"/>
    <s v="Vascular Laboratory"/>
    <s v="Cardiology and Vascular Services Series"/>
    <s v="22076701 VASCULAR ULTRASOUND"/>
    <s v="APC Relative Weight"/>
    <n v="19745.580000000002"/>
    <n v="19629.78"/>
    <n v="0.45"/>
    <n v="0.45"/>
    <n v="0.42"/>
    <n v="0"/>
    <n v="21"/>
    <n v="0.56000000000000005"/>
    <n v="0.59"/>
    <n v="0.68"/>
    <n v="0.872"/>
    <n v="4.5199999999999996"/>
    <n v="-214878.30248359599"/>
    <n v="-3854"/>
    <n v="-1.84794227445695"/>
  </r>
  <r>
    <s v="3928Swedish Cherry Hill432022078740 SLEEP LAB"/>
    <m/>
    <x v="1"/>
    <s v="SHS"/>
    <s v="WA"/>
    <n v="3928"/>
    <x v="25"/>
    <n v="4320"/>
    <s v="Sleep Diagnostic Center"/>
    <s v="Neurodiagnostic Services"/>
    <s v="22078740 SLEEP LAB"/>
    <s v="APC Relative Weight"/>
    <n v="25832.57"/>
    <n v="25135.79"/>
    <n v="0.6"/>
    <n v="0.87"/>
    <n v="0.7"/>
    <n v="5.2600000000000001E-2"/>
    <n v="21"/>
    <n v="0.79"/>
    <n v="0.83"/>
    <n v="0.94"/>
    <n v="0.91120000000000001"/>
    <n v="9.3000000000000007"/>
    <n v="-145831.92067825"/>
    <n v="-3499"/>
    <n v="-1.67754129535362"/>
  </r>
  <r>
    <s v="3929Swedish Edmonds432023078740 SLEEP LAB"/>
    <m/>
    <x v="1"/>
    <s v="SHS"/>
    <s v="WA"/>
    <n v="3929"/>
    <x v="31"/>
    <n v="4320"/>
    <s v="Sleep Diagnostic Center"/>
    <s v="Neurodiagnostic Services"/>
    <s v="23078740 SLEEP LAB"/>
    <s v="APC Relative Weight"/>
    <n v="7652.7"/>
    <n v="9490.75"/>
    <n v="0.45"/>
    <n v="0.92"/>
    <n v="0.85"/>
    <n v="0.29409999999999997"/>
    <n v="21"/>
    <n v="0.85"/>
    <n v="0.86"/>
    <n v="0.9"/>
    <n v="0.91549999999999998"/>
    <n v="4.25"/>
    <n v="-1959.75056931017"/>
    <n v="-51"/>
    <n v="-2.4534189237487999E-2"/>
  </r>
  <r>
    <s v="3929Swedish Edmonds2299Ambulatory Services Administration (N)"/>
    <m/>
    <x v="1"/>
    <s v="SHS"/>
    <s v="WA"/>
    <n v="3929"/>
    <x v="31"/>
    <n v="2299"/>
    <s v="Ambulatory Services Administration"/>
    <s v="Ambulatory Care Clinics"/>
    <s v="Ambulatory Services Administration (N)"/>
    <s v="Patient Visits Supported"/>
    <n v="22438"/>
    <n v="25089"/>
    <n v="0.6"/>
    <n v="0.51"/>
    <n v="0.49"/>
    <n v="0.47370000000000001"/>
    <n v="21"/>
    <n v="0.38"/>
    <n v="0.41"/>
    <n v="0.49"/>
    <n v="0.89129999999999998"/>
    <n v="6.69"/>
    <n v="65293.905944494101"/>
    <n v="2412"/>
    <n v="1.15660771081991"/>
  </r>
  <r>
    <s v="3927Swedish First Hill592521083700 CENTRAL DISPATCH AND TRANSPORT/21086109 PERIO SUPPORT"/>
    <m/>
    <x v="1"/>
    <s v="SHS"/>
    <s v="WA"/>
    <n v="3927"/>
    <x v="26"/>
    <n v="5925"/>
    <s v="Patient Escort (Transport) Service"/>
    <s v="Other Support Services"/>
    <s v="21083700 CENTRAL DISPATCH AND TRANSPORT/21086109 PERIO SUPPORT"/>
    <s v="100 Patient Transports Performed"/>
    <n v="888.75"/>
    <n v="1700.47"/>
    <n v="0.55000000000000004"/>
    <n v="68.930000000000007"/>
    <n v="43.3"/>
    <n v="0.31580000000000003"/>
    <n v="21"/>
    <n v="43.03"/>
    <n v="45.18"/>
    <n v="57.36"/>
    <n v="0.8911"/>
    <n v="39.72"/>
    <n v="-75327.918476262799"/>
    <n v="-3372"/>
    <n v="-1.6168059580646801"/>
  </r>
  <r>
    <s v="3927Swedish First Hill4899Rehabilitation Services Administration (N)"/>
    <m/>
    <x v="1"/>
    <s v="SHS"/>
    <s v="WA"/>
    <n v="3927"/>
    <x v="26"/>
    <n v="4899"/>
    <s v="Rehabilitation Services Administration"/>
    <s v="Rehabilitation Services"/>
    <s v="Rehabilitation Services Administration (N)"/>
    <s v="1000 Baseline Billed Time Units (BTUs) Supported"/>
    <n v="4852.3900000000003"/>
    <n v="5281.94"/>
    <n v="0.6"/>
    <n v="4.96"/>
    <n v="3.45"/>
    <n v="0.26319999999999999"/>
    <n v="21"/>
    <n v="3.42"/>
    <n v="3.65"/>
    <n v="4.37"/>
    <n v="0.90749999999999997"/>
    <n v="9.65"/>
    <n v="-32339.051726887701"/>
    <n v="-1117"/>
    <n v="-0.53562899323228297"/>
  </r>
  <r>
    <s v="3927Swedish First Hill4010Issaquah Radiation Therapy (N)"/>
    <m/>
    <x v="1"/>
    <s v="SHS"/>
    <s v="WA"/>
    <n v="3927"/>
    <x v="26"/>
    <n v="4010"/>
    <s v="Radiation Therapy (Oncology)"/>
    <s v="Radiation Therapy Services"/>
    <s v="Issaquah Radiation Therapy (N)"/>
    <s v="APC Relative Weight"/>
    <n v="36911.97"/>
    <n v="32011.07"/>
    <n v="0.5"/>
    <n v="0.36"/>
    <n v="0.43"/>
    <n v="0.47370000000000001"/>
    <n v="21"/>
    <n v="0.35"/>
    <n v="0.38"/>
    <n v="0.43"/>
    <n v="0.88070000000000004"/>
    <n v="7.44"/>
    <n v="110179.143216782"/>
    <n v="1706"/>
    <n v="0.81777472936537199"/>
  </r>
  <r>
    <s v="3927Swedish First Hill302021074276 ORTHO SURGERY RECOVERY"/>
    <m/>
    <x v="1"/>
    <s v="SHS"/>
    <s v="WA"/>
    <n v="3927"/>
    <x v="26"/>
    <n v="3020"/>
    <s v="Post Anesthesia Care Unit (PACU)"/>
    <s v="Surgical Services"/>
    <s v="21074276 ORTHO SURGERY RECOVERY"/>
    <s v="100 PACU Minutes"/>
    <n v="5285.84"/>
    <n v="5572.55"/>
    <n v="0.6"/>
    <n v="3.92"/>
    <n v="4.26"/>
    <n v="0.95"/>
    <n v="21"/>
    <n v="3.38"/>
    <n v="3.54"/>
    <n v="4.05"/>
    <n v="0.88480000000000003"/>
    <n v="12.91"/>
    <n v="219462.82249513801"/>
    <n v="4631"/>
    <n v="2.2204288862391199"/>
  </r>
  <r>
    <s v="3927Swedish First Hill301121074200 SURGERY/21074232 PERFUSION SERVICES/21074704 SURGERY PATIENT CHARGEABLE"/>
    <m/>
    <x v="1"/>
    <s v="SHS"/>
    <s v="WA"/>
    <n v="3927"/>
    <x v="26"/>
    <n v="3011"/>
    <s v="Operating Room"/>
    <s v="Surgical Services"/>
    <s v="21074200 SURGERY/21074232 PERFUSION SERVICES/21074704 SURGERY PATIENT CHARGEABLE"/>
    <s v="100 Operating Room Minutes"/>
    <n v="13844.25"/>
    <n v="15675.25"/>
    <n v="0.6"/>
    <n v="10.09"/>
    <n v="11.52"/>
    <n v="0.55000000000000004"/>
    <n v="21"/>
    <n v="10.7"/>
    <n v="10.97"/>
    <n v="11.31"/>
    <n v="0.90380000000000005"/>
    <n v="96.03"/>
    <n v="498665.15140581998"/>
    <n v="10029"/>
    <n v="4.8085596208867099"/>
  </r>
  <r>
    <s v="3931Swedish Issaquah121122561710 GENERAL MEDICAL"/>
    <m/>
    <x v="1"/>
    <s v="SHS"/>
    <s v="WA"/>
    <n v="3931"/>
    <x v="28"/>
    <n v="1211"/>
    <s v="General Medical Acute Care Unit"/>
    <s v="Nursing Services"/>
    <s v="22561710 GENERAL MEDICAL"/>
    <s v="Equivalent Patient Day"/>
    <m/>
    <n v="5186"/>
    <n v="0.4"/>
    <m/>
    <n v="4.5199999999999996"/>
    <m/>
    <n v="21"/>
    <n v="10.43"/>
    <n v="10.56"/>
    <n v="11.44"/>
    <n v="0.93"/>
    <n v="12.12"/>
    <n v="-1508769.3655472801"/>
    <n v="-33608"/>
    <n v="-16.113299874568298"/>
  </r>
  <r>
    <s v="3931Swedish Issaquah121222561720 GENERAL SURGICAL"/>
    <m/>
    <x v="1"/>
    <s v="SHS"/>
    <s v="WA"/>
    <n v="3931"/>
    <x v="28"/>
    <n v="1212"/>
    <s v="General Surgical Acute Care Unit"/>
    <s v="Nursing Services"/>
    <s v="22561720 GENERAL SURGICAL"/>
    <s v="Equivalent Patient Day"/>
    <m/>
    <n v="4233"/>
    <n v="0.6"/>
    <m/>
    <n v="4.57"/>
    <m/>
    <n v="21"/>
    <n v="10.62"/>
    <n v="11.07"/>
    <n v="12"/>
    <n v="0.86539999999999995"/>
    <n v="10.74"/>
    <n v="-1413273.6483819699"/>
    <n v="-31747"/>
    <n v="-15.221343134905901"/>
  </r>
  <r>
    <s v="3931Swedish Issaquah191022587202 NURSING SUPERVISORS"/>
    <m/>
    <x v="1"/>
    <s v="SHS"/>
    <s v="WA"/>
    <n v="3931"/>
    <x v="28"/>
    <n v="1910"/>
    <s v="Nursing Administration"/>
    <s v="Nursing Services"/>
    <s v="22587202 NURSING SUPERVISORS"/>
    <s v="Nursing Division Employees"/>
    <n v="221"/>
    <n v="244"/>
    <n v="0.5"/>
    <n v="92.44"/>
    <n v="88.58"/>
    <n v="0.5"/>
    <n v="21"/>
    <n v="79.86"/>
    <n v="81.86"/>
    <n v="88.58"/>
    <n v="0.86629999999999996"/>
    <n v="8.14"/>
    <n v="-337799.25385631301"/>
    <n v="-6079"/>
    <n v="-2.9145587245095501"/>
  </r>
  <r>
    <s v="3931Swedish Issaquah341222575700 CARDIAC CATHERIZATION"/>
    <m/>
    <x v="1"/>
    <s v="SHS"/>
    <s v="WA"/>
    <n v="3931"/>
    <x v="28"/>
    <n v="3412"/>
    <s v="Interventional Radiology"/>
    <s v="Imaging Services"/>
    <s v="22575700 CARDIAC CATHERIZATION"/>
    <s v="APC Relative Weight"/>
    <n v="23057.21"/>
    <n v="18365.7"/>
    <n v="0.45"/>
    <n v="0.48"/>
    <n v="0.57999999999999996"/>
    <n v="0.85"/>
    <n v="21"/>
    <n v="0.31"/>
    <n v="0.34"/>
    <n v="0.38"/>
    <n v="0.91710000000000003"/>
    <n v="5.55"/>
    <n v="264961.951929053"/>
    <n v="4767"/>
    <n v="2.2854910141019902"/>
  </r>
  <r>
    <s v="3931Swedish Issaquah128522574000 LABOR AND DELIVERY"/>
    <m/>
    <x v="1"/>
    <s v="SHS"/>
    <s v="WA"/>
    <n v="3931"/>
    <x v="28"/>
    <n v="1285"/>
    <s v="Labor/Delivery with Recovery"/>
    <s v="Nursing Services"/>
    <s v="22574000 LABOR AND DELIVERY"/>
    <s v="Neonate Deliveries"/>
    <n v="1361"/>
    <n v="1275"/>
    <n v="0.5"/>
    <n v="49.03"/>
    <n v="54.14"/>
    <n v="0.88890000000000002"/>
    <n v="21"/>
    <n v="39.29"/>
    <n v="39.83"/>
    <n v="43.35"/>
    <n v="0.88700000000000001"/>
    <n v="33.19"/>
    <n v="595099.76545543096"/>
    <n v="11972"/>
    <n v="5.7398305176728401"/>
  </r>
  <r>
    <s v="2947Providence Alaska Medical Center5040Biomedical Services"/>
    <m/>
    <x v="0"/>
    <s v="AK"/>
    <s v="AK"/>
    <n v="2947"/>
    <x v="0"/>
    <n v="5040"/>
    <s v="Biomedical Engineering"/>
    <s v="Facility Services"/>
    <s v="Biomedical Services"/>
    <s v="100 Equipment and Devices Maintained"/>
    <n v="130.71"/>
    <n v="149.06"/>
    <n v="0.57140000000000002"/>
    <n v="310.94"/>
    <n v="226.28"/>
    <n v="0.9"/>
    <n v="22"/>
    <n v="128.13999999999999"/>
    <n v="142.13999999999999"/>
    <n v="164.45"/>
    <n v="0.88229999999999997"/>
    <n v="18.38"/>
    <n v="606412.57207752473"/>
    <n v="14215.015754278593"/>
    <n v="6.8154325166387428"/>
  </r>
  <r>
    <s v="2947Providence Alaska Medical Center3070Sterile Processing &amp; Distribution"/>
    <m/>
    <x v="0"/>
    <s v="AK"/>
    <s v="AK"/>
    <n v="2947"/>
    <x v="0"/>
    <n v="3070"/>
    <s v="Sterile Processing"/>
    <s v="Surgical Services"/>
    <s v="Sterile Processing &amp; Distribution"/>
    <s v="100 Items Processed"/>
    <n v="2806.2"/>
    <n v="2690.89"/>
    <n v="0.47620000000000001"/>
    <n v="24.21"/>
    <n v="20.309373478663193"/>
    <n v="0.71430000000000005"/>
    <n v="22"/>
    <n v="11.33"/>
    <n v="15.23"/>
    <n v="21.89"/>
    <n v="0.87570000000000003"/>
    <n v="30"/>
    <n v="359923.36875413946"/>
    <n v="15608.1252712116"/>
    <n v="7.4833631095461977"/>
  </r>
  <r>
    <s v="2947Providence Alaska Medical Center3399Lab Administration"/>
    <m/>
    <x v="0"/>
    <s v="AK"/>
    <s v="AK"/>
    <n v="2947"/>
    <x v="0"/>
    <n v="3399"/>
    <s v="Laboratory Services Administration"/>
    <s v="Laboratory Services"/>
    <s v="Lab Administration"/>
    <s v="100 Billed Tests Supported"/>
    <n v="11556.91"/>
    <n v="11789.95"/>
    <m/>
    <n v="3.63"/>
    <n v="3.87"/>
    <m/>
    <n v="22"/>
    <n v="0.99"/>
    <n v="1"/>
    <n v="1.28"/>
    <n v="0.88890000000000002"/>
    <n v="24.69"/>
    <n v="1314321.80377783"/>
    <n v="38233"/>
    <n v="18.330730711079902"/>
  </r>
  <r>
    <s v="3525Providence Centralia Hospital301134074200, SURGERY SERVICES"/>
    <m/>
    <x v="1"/>
    <s v="SWR"/>
    <s v="WA"/>
    <n v="3525"/>
    <x v="10"/>
    <n v="3011"/>
    <s v="Operating Room"/>
    <s v="Surgical Services"/>
    <s v="34074200, SURGERY SERVICES"/>
    <s v="100 Operating Room Minutes"/>
    <n v="2388.5500000000002"/>
    <n v="2198.19"/>
    <n v="0.47620000000000001"/>
    <n v="9.48"/>
    <n v="10.6"/>
    <n v="0.16669999999999999"/>
    <n v="22"/>
    <n v="10.71"/>
    <n v="10.98"/>
    <n v="11.68"/>
    <n v="0.75209999999999999"/>
    <n v="14.9"/>
    <n v="-39853.212006991103"/>
    <n v="-1015"/>
    <n v="-0.48651052117598698"/>
  </r>
  <r>
    <s v="3525Providence Centralia Hospital441034077100, PHARMACY"/>
    <m/>
    <x v="1"/>
    <s v="SWR"/>
    <s v="WA"/>
    <n v="3525"/>
    <x v="10"/>
    <n v="4410"/>
    <s v="Pharmacy Services"/>
    <s v="Pharmacy Services"/>
    <s v="34077100, PHARMACY"/>
    <s v="CMI Weighted Department Adjusted Discharges"/>
    <n v="11143.28"/>
    <n v="10910.28"/>
    <n v="0.52380000000000004"/>
    <n v="2.13"/>
    <n v="2.17"/>
    <n v="0.52629999999999999"/>
    <n v="22"/>
    <n v="2.0099999999999998"/>
    <n v="2.06"/>
    <n v="2.12"/>
    <n v="0.88859999999999995"/>
    <n v="12.79"/>
    <n v="61480.332714726501"/>
    <n v="1383"/>
    <n v="0.663234857329012"/>
  </r>
  <r>
    <s v="3851Providence Holy Family Hospital432036578740, SLEEP LABORATORY"/>
    <m/>
    <x v="4"/>
    <s v="PHC"/>
    <s v="WA"/>
    <n v="3851"/>
    <x v="11"/>
    <n v="4320"/>
    <s v="Sleep Diagnostic Center"/>
    <s v="Neurodiagnostic Services"/>
    <s v="36578740, SLEEP LABORATORY"/>
    <s v="APC Relative Weight"/>
    <n v="9483.36"/>
    <n v="11081.69"/>
    <n v="0.61899999999999999"/>
    <n v="0.94"/>
    <n v="0.91"/>
    <n v="0.4"/>
    <n v="22"/>
    <n v="0.82"/>
    <n v="0.85"/>
    <n v="0.97"/>
    <n v="0.86299999999999999"/>
    <n v="5.61"/>
    <n v="28637.633077852599"/>
    <n v="786"/>
    <n v="0.37686081367071"/>
  </r>
  <r>
    <s v="3851Providence Holy Family Hospital341236576310, CATH LAB"/>
    <m/>
    <x v="4"/>
    <s v="PHC"/>
    <s v="WA"/>
    <n v="3851"/>
    <x v="11"/>
    <n v="3412"/>
    <s v="Interventional Radiology"/>
    <s v="Imaging Services"/>
    <s v="36576310, CATH LAB"/>
    <s v="APC Relative Weight"/>
    <n v="26569.95"/>
    <n v="20940.259999999998"/>
    <n v="0.33329999999999999"/>
    <n v="0.27"/>
    <n v="0.3"/>
    <n v="0.25"/>
    <n v="22"/>
    <n v="0.3"/>
    <n v="0.3"/>
    <n v="0.33"/>
    <n v="0.86099999999999999"/>
    <n v="3.46"/>
    <n v="-4014.6418239996101"/>
    <n v="-80"/>
    <n v="-3.8229774042889603E-2"/>
  </r>
  <r>
    <s v="3851Providence Holy Family Hospital4490Pharmacy Administration and Support (U,N)"/>
    <m/>
    <x v="4"/>
    <s v="PHC"/>
    <s v="WA"/>
    <n v="3851"/>
    <x v="11"/>
    <n v="4490"/>
    <s v="Pharmacy Administration and Support"/>
    <s v="Pharmacy Services"/>
    <s v="Pharmacy Administration and Support (U,N)"/>
    <s v="CMI Weighted Adjusted Discharges"/>
    <n v="27480.48"/>
    <n v="27157.63"/>
    <n v="0.56089999999999995"/>
    <n v="0.22"/>
    <n v="0.2"/>
    <n v="0.21890000000000001"/>
    <n v="22"/>
    <n v="0.21"/>
    <n v="0.23"/>
    <n v="0.32"/>
    <n v="0.90359999999999996"/>
    <n v="2.91"/>
    <n v="-44849.761890974201"/>
    <n v="-843"/>
    <n v="-0.40429864863422299"/>
  </r>
  <r>
    <s v="3929Swedish Edmonds303023074300 AMBULATORY SURGERY"/>
    <m/>
    <x v="1"/>
    <s v="SHS"/>
    <s v="WA"/>
    <n v="3929"/>
    <x v="31"/>
    <n v="3030"/>
    <s v="Surgery Pre Op and Post Recovery Only"/>
    <s v="Surgical Services"/>
    <s v="23074300 AMBULATORY SURGERY"/>
    <s v="100 Patient Observation Minutes"/>
    <n v="9262.59"/>
    <n v="18936"/>
    <n v="0.52380000000000004"/>
    <n v="2.39"/>
    <n v="1.1000000000000001"/>
    <n v="0"/>
    <n v="22"/>
    <n v="1.85"/>
    <n v="1.99"/>
    <n v="2.2400000000000002"/>
    <n v="0.87319999999999998"/>
    <n v="11.49"/>
    <n v="-859733.53525636799"/>
    <n v="-19190"/>
    <n v="-9.2007271250990303"/>
  </r>
  <r>
    <s v="3531Providence Medford Medical Center303059074300, SHORT STAY SURGICAL UNIT"/>
    <m/>
    <x v="3"/>
    <s v="OR"/>
    <s v="OR"/>
    <n v="3531"/>
    <x v="29"/>
    <n v="3030"/>
    <s v="Surgery Pre Op and Post Recovery Only"/>
    <s v="Surgical Services"/>
    <s v="59074300, SHORT STAY SURGICAL UNIT"/>
    <s v="100 Patient Observation Minutes"/>
    <n v="13324.53"/>
    <n v="17136.599999999999"/>
    <n v="0.75"/>
    <n v="2.4"/>
    <n v="2.1726859470373352"/>
    <m/>
    <n v="22"/>
    <n v="1.85"/>
    <n v="1.99"/>
    <n v="2.2400000000000002"/>
    <n v="0.88190000000000002"/>
    <n v="20.3"/>
    <n v="126232.79845787497"/>
    <n v="3549.8537249121196"/>
    <n v="1.7019963201381405"/>
  </r>
  <r>
    <s v="3852Providence Sacred Heart Medical Center500134584500 &amp; 34584600-34584605 Plant Ops Combined"/>
    <m/>
    <x v="4"/>
    <s v="PHC"/>
    <s v="WA"/>
    <n v="3852"/>
    <x v="9"/>
    <n v="5001"/>
    <s v="Plant Operations / Plant Maintenance and Grounds"/>
    <s v="Facility Services"/>
    <s v="34584500 &amp; 34584600-34584605 Plant Ops Combined"/>
    <s v="1000 Gross Square Feet Maintained"/>
    <m/>
    <n v="2456.77"/>
    <n v="0.47620000000000001"/>
    <m/>
    <n v="26.03"/>
    <n v="0.39129999999999998"/>
    <n v="22"/>
    <n v="22.29"/>
    <n v="24.02"/>
    <n v="27.18"/>
    <n v="0.8498"/>
    <n v="36.18"/>
    <n v="205792.40383799601"/>
    <n v="6019"/>
    <n v="2.8857730631699798"/>
  </r>
  <r>
    <s v="3852Providence Sacred Heart Medical Center183034560343, CARDIAC REHAB SERVICE"/>
    <m/>
    <x v="4"/>
    <s v="PHC"/>
    <s v="WA"/>
    <n v="3852"/>
    <x v="9"/>
    <n v="1830"/>
    <s v="Centralized Telemetry"/>
    <s v="Nursing Services"/>
    <s v="34560343, CARDIAC REHAB SERVICE"/>
    <s v="Telemetry Days Supported"/>
    <n v="37220"/>
    <n v="33987"/>
    <n v="0.33329999999999999"/>
    <n v="0.56000000000000005"/>
    <n v="0.63"/>
    <n v="0.47620000000000001"/>
    <n v="22"/>
    <n v="0.53"/>
    <n v="0.56000000000000005"/>
    <n v="0.64"/>
    <n v="0.8841"/>
    <n v="11.58"/>
    <n v="68890.038602900197"/>
    <n v="2625"/>
    <n v="1.2583856864018099"/>
  </r>
  <r>
    <s v="3854Providence Saint Mary Medical Center345032576700, ULTRASOUND"/>
    <m/>
    <x v="4"/>
    <s v="SER"/>
    <s v="WA"/>
    <n v="3854"/>
    <x v="8"/>
    <n v="3450"/>
    <s v="Ultrasound"/>
    <s v="Imaging Services"/>
    <s v="32576700, ULTRASOUND"/>
    <s v="APC Relative Weight"/>
    <n v="13601.81"/>
    <n v="13617.97"/>
    <n v="0.76190000000000002"/>
    <n v="0.67"/>
    <n v="0.61"/>
    <n v="0.73680000000000001"/>
    <n v="22"/>
    <n v="0.49"/>
    <n v="0.52"/>
    <n v="0.56999999999999995"/>
    <n v="0.89300000000000002"/>
    <n v="4.5"/>
    <n v="70890.480184998902"/>
    <n v="1456"/>
    <n v="0.69799733706317002"/>
  </r>
  <r>
    <s v="3854Providence Saint Mary Medical Center651032587100, MEDICAL STAFF ADMINISTRATION"/>
    <m/>
    <x v="4"/>
    <s v="SER"/>
    <s v="WA"/>
    <n v="3854"/>
    <x v="8"/>
    <n v="6510"/>
    <s v="Medical Staff Services"/>
    <s v="Medical Staff Services"/>
    <s v="32587100, MEDICAL STAFF ADMINISTRATION"/>
    <s v="Physicians On Active Medical Staff"/>
    <n v="45"/>
    <n v="76"/>
    <n v="0.38100000000000001"/>
    <n v="109.48"/>
    <n v="75.790000000000006"/>
    <n v="0.6"/>
    <n v="22"/>
    <n v="53.23"/>
    <n v="54.4"/>
    <n v="61.97"/>
    <n v="0.92679999999999996"/>
    <n v="2.99"/>
    <n v="49082.5009493205"/>
    <n v="1775"/>
    <n v="0.85117808322529398"/>
  </r>
  <r>
    <s v="3533Providence San Pedro Peninsula Hospital302077274270 SPH RECOVERY ROOM"/>
    <m/>
    <x v="2"/>
    <s v="CA"/>
    <s v="CA"/>
    <n v="3533"/>
    <x v="14"/>
    <n v="3020"/>
    <s v="Post Anesthesia Care Unit (PACU)"/>
    <s v="Surgical Services"/>
    <s v="77274270 SPH RECOVERY ROOM"/>
    <s v="100 PACU Minutes"/>
    <n v="2020.95"/>
    <n v="2060.5500000000002"/>
    <n v="0.42859999999999998"/>
    <n v="2.86"/>
    <n v="2.89"/>
    <n v="0.1053"/>
    <n v="22"/>
    <n v="3.54"/>
    <n v="4.18"/>
    <n v="4.4800000000000004"/>
    <n v="0.87649999999999995"/>
    <n v="3.27"/>
    <n v="-194543.89552196235"/>
    <n v="-3032.6406160867082"/>
    <n v="-1.4540157338479687"/>
  </r>
  <r>
    <s v="3533Providence San Pedro Peninsula Hospital422077275910 SPH ELECTROCARDIOLGY"/>
    <m/>
    <x v="2"/>
    <s v="CA"/>
    <s v="CA"/>
    <n v="3533"/>
    <x v="14"/>
    <n v="4220"/>
    <s v="Combined Noninvasive Cardiology and Vascular Services"/>
    <s v="Cardiology and Vascular Services Series"/>
    <s v="77275910 SPH ELECTROCARDIOLGY"/>
    <s v="APC Relative Weight"/>
    <n v="13970.19"/>
    <n v="23208.99"/>
    <n v="0.57140000000000002"/>
    <n v="0.69"/>
    <n v="0.43"/>
    <n v="0.6"/>
    <n v="22"/>
    <n v="0.3"/>
    <n v="0.33"/>
    <n v="0.36"/>
    <n v="0.91830000000000001"/>
    <n v="5.17"/>
    <n v="92053.119020396101"/>
    <n v="2443"/>
    <n v="1.1711625029836701"/>
  </r>
  <r>
    <s v="3533Providence San Pedro Peninsula Hospital191077287200 77286142 SPH NURSING ADMIN SACC ADMIN"/>
    <m/>
    <x v="2"/>
    <s v="CA"/>
    <s v="CA"/>
    <n v="3533"/>
    <x v="14"/>
    <n v="1910"/>
    <s v="Nursing Administration"/>
    <s v="Nursing Services"/>
    <s v="77287200 77286142 SPH NURSING ADMIN SACC ADMIN"/>
    <s v="Nursing Division Employees"/>
    <n v="486"/>
    <n v="570"/>
    <n v="0.59089999999999998"/>
    <n v="50.72"/>
    <n v="57.62"/>
    <n v="0.57140000000000002"/>
    <n v="22"/>
    <n v="37.270000000000003"/>
    <n v="40.200000000000003"/>
    <n v="47.96"/>
    <n v="0.84370000000000001"/>
    <n v="18.72"/>
    <n v="549018.02773497673"/>
    <n v="11768.875192604004"/>
    <n v="5.6426500420022077"/>
  </r>
  <r>
    <s v="2719Providence St Joseph Medical Center128571074000 - 01285 - PSJMC Labor &amp; Delivery"/>
    <m/>
    <x v="2"/>
    <s v="CA"/>
    <s v="CA"/>
    <n v="2719"/>
    <x v="6"/>
    <n v="1285"/>
    <s v="Labor/Delivery with Recovery"/>
    <s v="Nursing Services"/>
    <s v="71074000 - 01285 - PSJMC Labor &amp; Delivery"/>
    <s v="Neonate Deliveries"/>
    <n v="2555"/>
    <n v="2412"/>
    <n v="0.57140000000000002"/>
    <n v="29.17"/>
    <n v="31.37"/>
    <n v="0.1429"/>
    <n v="22"/>
    <n v="34.549999999999997"/>
    <n v="35.53"/>
    <n v="38.1"/>
    <n v="0.89880000000000004"/>
    <n v="36.369999999999997"/>
    <n v="-1000100.73378853"/>
    <n v="-19491"/>
    <n v="-9.3448823129181697"/>
  </r>
  <r>
    <s v="3526Providence Seaside Hospital511251083400, PT_NON PT FOOD SVC"/>
    <m/>
    <x v="3"/>
    <s v="OR"/>
    <s v="OR"/>
    <n v="3526"/>
    <x v="19"/>
    <n v="5112"/>
    <s v="Patient and Nonpatient Food Services"/>
    <s v="Food and Nutrition Services"/>
    <s v="51083400, PT_NON PT FOOD SVC"/>
    <s v="ART: Total Meal Equivalents"/>
    <n v="126388.05"/>
    <n v="134282.87"/>
    <n v="0.61899999999999999"/>
    <n v="0.15"/>
    <n v="0.14000000000000001"/>
    <n v="0"/>
    <n v="22"/>
    <n v="0.18"/>
    <n v="0.2"/>
    <n v="0.21"/>
    <n v="0.89259999999999995"/>
    <n v="10.210000000000001"/>
    <n v="-150508.592236628"/>
    <n v="-8793"/>
    <n v="-4.2158657679104596"/>
  </r>
  <r>
    <s v="2719Providence St Joseph Medical Center582571087540 - 05825 - PSJMC RISK MANAGEMENT"/>
    <m/>
    <x v="2"/>
    <s v="CA"/>
    <s v="CA"/>
    <n v="2719"/>
    <x v="6"/>
    <n v="5825"/>
    <s v="Quality Management"/>
    <s v="Clinical Resource Management Services"/>
    <s v="71087540 - 05825 - PSJMC RISK MANAGEMENT"/>
    <s v="Total Admissions And Registrations"/>
    <n v="102290"/>
    <n v="106000"/>
    <n v="0.47620000000000001"/>
    <n v="0.03"/>
    <n v="0.04"/>
    <n v="0.1429"/>
    <n v="22"/>
    <n v="0.05"/>
    <n v="0.05"/>
    <n v="7.0000000000000007E-2"/>
    <n v="0.9113"/>
    <n v="2"/>
    <n v="-80552.105292541295"/>
    <n v="-1644"/>
    <n v="-0.78844869449856603"/>
  </r>
  <r>
    <s v="3848Providence St Patrick Hospital &amp; Health Science Ce112246060300, 4 NORTH CARDIO SURG"/>
    <m/>
    <x v="4"/>
    <s v="WMR"/>
    <s v="MT"/>
    <n v="3848"/>
    <x v="21"/>
    <n v="1122"/>
    <s v="Cardiac Intermediate Care Unit"/>
    <s v="Nursing Services"/>
    <s v="46060300, 4 NORTH CARDIO SURG"/>
    <s v="Equivalent Patient Day"/>
    <n v="9153"/>
    <n v="9136"/>
    <n v="0.61899999999999999"/>
    <n v="10.73"/>
    <n v="10.93"/>
    <n v="9.5200000000000007E-2"/>
    <n v="22"/>
    <n v="11.46"/>
    <n v="12.17"/>
    <n v="12.46"/>
    <n v="0.91320000000000001"/>
    <n v="52.58"/>
    <n v="-334253.58488283103"/>
    <n v="-12087"/>
    <n v="-5.7952730748067403"/>
  </r>
  <r>
    <s v="3848Providence St Patrick Hospital &amp; Health Science Ce464046072340, OP INFUSION"/>
    <m/>
    <x v="4"/>
    <s v="WMR"/>
    <s v="MT"/>
    <n v="3848"/>
    <x v="21"/>
    <n v="4640"/>
    <s v="Hematology Oncology Infusion Therapy (Hema/Onc)"/>
    <s v="Other Clinical Support Services"/>
    <s v="46072340, OP INFUSION"/>
    <s v="Infusions"/>
    <n v="4419"/>
    <n v="3483"/>
    <n v="0.38100000000000001"/>
    <n v="0.95"/>
    <n v="1.25"/>
    <n v="9.5200000000000007E-2"/>
    <n v="22"/>
    <n v="1.45"/>
    <n v="1.78"/>
    <n v="2.0699999999999998"/>
    <n v="1"/>
    <n v="2.1"/>
    <n v="-64847.038222796"/>
    <n v="-1820"/>
    <n v="-0.87249844177014901"/>
  </r>
  <r>
    <s v="3524Providence St Peter Hospital3099Surgical Services Administration (U,N)"/>
    <m/>
    <x v="1"/>
    <s v="SWR"/>
    <s v="WA"/>
    <n v="3524"/>
    <x v="2"/>
    <n v="3099"/>
    <s v="Surgical Services Administration"/>
    <s v="Surgical Services"/>
    <s v="Surgical Services Administration (U,N)"/>
    <s v="Cases Supported"/>
    <n v="8009"/>
    <n v="8277"/>
    <n v="0.42499999999999999"/>
    <n v="1.35"/>
    <n v="1.21"/>
    <n v="0.25369999999999998"/>
    <n v="22"/>
    <n v="1.2"/>
    <n v="1.34"/>
    <n v="1.6"/>
    <n v="0.90069999999999995"/>
    <n v="5.33"/>
    <n v="-52945.083019471604"/>
    <n v="-1197"/>
    <n v="-0.57399185508275996"/>
  </r>
  <r>
    <s v="3535Providence St Vincent Medical Center481253070819, SCHOLLS PHYSICAL THERAPY"/>
    <m/>
    <x v="3"/>
    <s v="OR"/>
    <s v="OR"/>
    <n v="3535"/>
    <x v="22"/>
    <n v="4812"/>
    <s v="Physical Therapy: Outpatient"/>
    <s v="Rehabilitation Services"/>
    <s v="53070819, SCHOLLS PHYSICAL THERAPY"/>
    <s v="1000 Baseline Billed Time Units (BTUs)"/>
    <n v="424.76"/>
    <n v="526.87"/>
    <n v="0.57140000000000002"/>
    <n v="21.51"/>
    <n v="19"/>
    <n v="0.1"/>
    <n v="22"/>
    <n v="20.65"/>
    <n v="21.86"/>
    <n v="22.51"/>
    <n v="0.86560000000000004"/>
    <n v="5.56"/>
    <n v="-66427.369162065705"/>
    <n v="-1709"/>
    <n v="-0.81946911532159405"/>
  </r>
  <r>
    <s v="4283Providence St. John's Health Center121073561710, SJHCM MED SURG CSS4 (U)"/>
    <m/>
    <x v="2"/>
    <s v="CA"/>
    <s v="CA"/>
    <n v="4283"/>
    <x v="23"/>
    <n v="1210"/>
    <s v="Medical/Surgical Acute Care Unit"/>
    <s v="Nursing Services"/>
    <s v="73561710, SJHCM MED SURG CSS4 (U)"/>
    <s v="Equivalent Patient Day"/>
    <m/>
    <n v="2152.92"/>
    <n v="0.41020000000000001"/>
    <m/>
    <n v="15.04"/>
    <n v="0.6875"/>
    <n v="22"/>
    <n v="10.54"/>
    <n v="10.86"/>
    <n v="11.92"/>
    <n v="0.91269999999999996"/>
    <n v="17.05"/>
    <n v="510792.53871014703"/>
    <n v="9944"/>
    <n v="4.7677530313730596"/>
  </r>
  <r>
    <s v="3755Providence Tarzana Medical Center44904490, Pharmacy Administration and Support (U,N)"/>
    <m/>
    <x v="2"/>
    <s v="CA"/>
    <s v="CA"/>
    <n v="3755"/>
    <x v="3"/>
    <n v="4490"/>
    <s v="Pharmacy Administration and Support"/>
    <s v="Pharmacy Services"/>
    <s v="4490, Pharmacy Administration and Support (U,N)"/>
    <s v="CMI Weighted Adjusted Discharges"/>
    <m/>
    <n v="26091.279999999999"/>
    <n v="0.43640000000000001"/>
    <m/>
    <n v="0.92559046547352219"/>
    <m/>
    <n v="22"/>
    <n v="0.21"/>
    <n v="0.23"/>
    <n v="0.33"/>
    <n v="0.88449999999999995"/>
    <n v="13.61"/>
    <n v="1064513.4083979651"/>
    <n v="20518.762690785756"/>
    <n v="9.8378303163378042"/>
  </r>
  <r>
    <s v="3849Providence Willamette Falls Medical Center481553577700, PHYSICAL THERAPY"/>
    <m/>
    <x v="3"/>
    <s v="OR"/>
    <s v="OR"/>
    <n v="3849"/>
    <x v="7"/>
    <n v="4815"/>
    <s v="Physical Therapy: Inpatient and Outpatient"/>
    <s v="Rehabilitation Services"/>
    <s v="53577700, PHYSICAL THERAPY"/>
    <s v="1000 Baseline Billed Time Units (BTUs)"/>
    <n v="665.5"/>
    <n v="917.3"/>
    <n v="0.57140000000000002"/>
    <n v="27.16"/>
    <n v="22.55"/>
    <n v="0.28570000000000001"/>
    <n v="22"/>
    <n v="22.25"/>
    <n v="23"/>
    <n v="24.07"/>
    <n v="0.88990000000000002"/>
    <n v="11.18"/>
    <n v="-12925.2487219414"/>
    <n v="-390"/>
    <n v="-0.18700841791359801"/>
  </r>
  <r>
    <s v="3928Swedish Cherry Hill4490Pharmacy Administration and Support (N)"/>
    <m/>
    <x v="1"/>
    <s v="SHS"/>
    <s v="WA"/>
    <n v="3928"/>
    <x v="25"/>
    <n v="4490"/>
    <s v="Pharmacy Administration and Support"/>
    <s v="Pharmacy Services"/>
    <s v="Pharmacy Administration and Support (N)"/>
    <s v="CMI Weighted Adjusted Discharges"/>
    <n v="33829.29"/>
    <n v="33449.01"/>
    <n v="0.57140000000000002"/>
    <n v="0.19"/>
    <n v="0.14000000000000001"/>
    <n v="0.3"/>
    <n v="22"/>
    <n v="0.13"/>
    <n v="0.16"/>
    <n v="0.2"/>
    <n v="0.90190000000000003"/>
    <n v="2.41"/>
    <n v="-49416.063871217797"/>
    <n v="-907"/>
    <n v="-0.43507043706078102"/>
  </r>
  <r>
    <s v="3929Swedish Edmonds139023063400 PSYCHIATRY"/>
    <m/>
    <x v="1"/>
    <s v="SHS"/>
    <s v="WA"/>
    <n v="3929"/>
    <x v="31"/>
    <n v="1390"/>
    <s v="Behavioral Health Unit"/>
    <s v="Nursing Services"/>
    <s v="23063400 PSYCHIATRY"/>
    <s v="Patient Days"/>
    <n v="8130"/>
    <n v="8169"/>
    <n v="0.42859999999999998"/>
    <n v="7.5"/>
    <n v="7.64"/>
    <n v="9.5200000000000007E-2"/>
    <n v="22"/>
    <n v="8.58"/>
    <n v="9"/>
    <n v="9.91"/>
    <n v="0.89939999999999998"/>
    <n v="33.340000000000003"/>
    <n v="-527541.02588909306"/>
    <n v="-12207"/>
    <n v="-5.8528351780636001"/>
  </r>
  <r>
    <s v="3929Swedish Edmonds661023086100 ADMINISTRATION"/>
    <m/>
    <x v="1"/>
    <s v="SHS"/>
    <s v="WA"/>
    <n v="3929"/>
    <x v="31"/>
    <n v="6610"/>
    <s v="Administration"/>
    <s v="Administration"/>
    <s v="23086100 ADMINISTRATION"/>
    <s v="100 Adjusted Discharges"/>
    <n v="147.38"/>
    <n v="173.53"/>
    <n v="0.61899999999999999"/>
    <n v="58.72"/>
    <n v="34.83"/>
    <n v="5.2600000000000001E-2"/>
    <n v="22"/>
    <n v="60.31"/>
    <n v="62.58"/>
    <n v="71.22"/>
    <n v="0.88019999999999998"/>
    <n v="3.3"/>
    <n v="-567711.34273254604"/>
    <n v="-5455"/>
    <n v="-2.6153019756468701"/>
  </r>
  <r>
    <s v="3927Swedish First Hill307021074701-02 FH STERILE PROCESSING/ORTHO SURG STERILE PROCESSING/21084060 PDC"/>
    <m/>
    <x v="1"/>
    <s v="SHS"/>
    <s v="WA"/>
    <n v="3927"/>
    <x v="26"/>
    <n v="3070"/>
    <s v="Sterile Processing"/>
    <s v="Surgical Services"/>
    <s v="21074701-02 FH STERILE PROCESSING/ORTHO SURG STERILE PROCESSING/21084060 PDC"/>
    <s v="100 Items Processed"/>
    <n v="7561.86"/>
    <n v="8029.37"/>
    <n v="0.85709999999999997"/>
    <n v="17.7"/>
    <n v="17.100000000000001"/>
    <n v="0.3"/>
    <n v="22"/>
    <n v="16.34"/>
    <n v="17.149999999999999"/>
    <n v="18.14"/>
    <n v="0.89149999999999996"/>
    <n v="74.06"/>
    <n v="113.364947712469"/>
    <n v="4"/>
    <n v="1.9271216591363301E-3"/>
  </r>
  <r>
    <s v="3927Swedish First Hill481221077706 FACTORIA REHAB SVCS"/>
    <m/>
    <x v="1"/>
    <s v="SHS"/>
    <s v="WA"/>
    <n v="3927"/>
    <x v="26"/>
    <n v="4812"/>
    <s v="Physical Therapy: Outpatient"/>
    <s v="Rehabilitation Services"/>
    <s v="21077706 FACTORIA REHAB SVCS"/>
    <s v="1000 Baseline Billed Time Units (BTUs)"/>
    <n v="237.08"/>
    <n v="203"/>
    <n v="0.52380000000000004"/>
    <n v="20.29"/>
    <n v="23.97"/>
    <n v="0.42859999999999998"/>
    <n v="22"/>
    <n v="20.39"/>
    <n v="22.66"/>
    <n v="24.85"/>
    <n v="0.86370000000000002"/>
    <n v="2.71"/>
    <n v="14447.224897566"/>
    <n v="326"/>
    <n v="0.15646871706016999"/>
  </r>
  <r>
    <s v="3927Swedish First Hill126021062900 PEDIATRIC UNIT"/>
    <m/>
    <x v="1"/>
    <s v="SHS"/>
    <s v="WA"/>
    <n v="3927"/>
    <x v="26"/>
    <n v="1260"/>
    <s v="Pediatric Acute Care Unit"/>
    <s v="Nursing Services"/>
    <s v="21062900 PEDIATRIC UNIT"/>
    <s v="Equivalent Patient Day"/>
    <n v="3887.67"/>
    <n v="3865"/>
    <n v="0.42859999999999998"/>
    <n v="13.49"/>
    <n v="14.21"/>
    <n v="0.6"/>
    <n v="22"/>
    <n v="13.29"/>
    <n v="13.75"/>
    <n v="14.04"/>
    <n v="0.87350000000000005"/>
    <n v="30.23"/>
    <n v="98925.424337830904"/>
    <n v="2211"/>
    <n v="1.05993170245149"/>
  </r>
  <r>
    <s v="3927Swedish First Hill449021077104 PHARMACY RESIDENCY Admin"/>
    <m/>
    <x v="1"/>
    <s v="SHS"/>
    <s v="WA"/>
    <n v="3927"/>
    <x v="26"/>
    <n v="4490"/>
    <s v="Pharmacy Administration and Support"/>
    <s v="Pharmacy Services"/>
    <s v="21077104 PHARMACY RESIDENCY Admin"/>
    <s v="CMI Weighted Adjusted Discharges"/>
    <n v="77682.66"/>
    <n v="80046.539999999994"/>
    <n v="0.52380000000000004"/>
    <n v="0.41"/>
    <n v="0.38"/>
    <n v="0.5"/>
    <n v="22"/>
    <n v="0.26"/>
    <n v="0.28000000000000003"/>
    <n v="0.38"/>
    <n v="0.91549999999999998"/>
    <n v="15.98"/>
    <n v="430896.02034034202"/>
    <n v="8848"/>
    <n v="4.2420999824374297"/>
  </r>
  <r>
    <s v="3929Swedish Edmonds511123083400 NUTRITION SERVICES"/>
    <m/>
    <x v="1"/>
    <s v="SHS"/>
    <s v="WA"/>
    <n v="3929"/>
    <x v="31"/>
    <n v="5111"/>
    <s v="Clinical Nutrition Services"/>
    <s v="Food and Nutrition Services"/>
    <s v="23083400 NUTRITION SERVICES"/>
    <s v="Total Medical Nutritional Therapy Interventions"/>
    <n v="10745"/>
    <n v="11286"/>
    <n v="0.52380000000000004"/>
    <n v="0.38"/>
    <n v="0.37"/>
    <n v="0.15"/>
    <n v="22"/>
    <n v="0.39"/>
    <n v="0.44"/>
    <n v="0.46"/>
    <n v="0.92410000000000003"/>
    <n v="2.16"/>
    <n v="-23908.754985237902"/>
    <n v="-869"/>
    <n v="-0.41645114089902602"/>
  </r>
  <r>
    <s v="3927Swedish First Hill661021086100 ADMINISTRATION/21086105 OB NEONATAL ADMIN/21087904 ORTHOPEDICS ADMIN"/>
    <m/>
    <x v="1"/>
    <s v="SHS"/>
    <s v="WA"/>
    <n v="3927"/>
    <x v="26"/>
    <n v="6610"/>
    <s v="Administration"/>
    <s v="Administration"/>
    <s v="21086100 ADMINISTRATION/21086105 OB NEONATAL ADMIN/21087904 ORTHOPEDICS ADMIN"/>
    <s v="100 Adjusted Discharges"/>
    <n v="487.04"/>
    <n v="514.16999999999996"/>
    <n v="0.52380000000000004"/>
    <n v="98.22"/>
    <n v="112.48"/>
    <n v="0.84209999999999996"/>
    <n v="22"/>
    <n v="71.06"/>
    <n v="80.39"/>
    <n v="93.51"/>
    <n v="0.91339999999999999"/>
    <n v="30.44"/>
    <n v="1321339.65418473"/>
    <n v="18236"/>
    <n v="8.7431886068645603"/>
  </r>
  <r>
    <s v="3927Swedish First Hill309921086123, SURGICAL RESOURCES"/>
    <m/>
    <x v="1"/>
    <s v="SHS"/>
    <s v="WA"/>
    <n v="3927"/>
    <x v="26"/>
    <n v="3099"/>
    <s v="Surgical Services Administration"/>
    <s v="Surgical Services"/>
    <s v="21086123, SURGICAL RESOURCES"/>
    <s v="Cases Supported"/>
    <n v="23347"/>
    <n v="25159"/>
    <n v="0.57140000000000002"/>
    <n v="1.63"/>
    <n v="1.91"/>
    <n v="0.76190000000000002"/>
    <n v="22"/>
    <n v="0.77"/>
    <n v="1.02"/>
    <n v="1.3"/>
    <n v="0.88139999999999996"/>
    <n v="26.15"/>
    <n v="937732.74652856705"/>
    <n v="25426"/>
    <n v="12.1905386832498"/>
  </r>
  <r>
    <s v="3931Swedish Issaquah341122576300 MEDICAL IMAGING"/>
    <m/>
    <x v="1"/>
    <s v="SHS"/>
    <s v="WA"/>
    <n v="3931"/>
    <x v="28"/>
    <n v="3411"/>
    <s v="Diagnostic Radiology Without Interventional Procedures"/>
    <s v="Imaging Services"/>
    <s v="22576300 MEDICAL IMAGING"/>
    <s v="APC Relative Weight"/>
    <n v="21750.09"/>
    <n v="24651.3"/>
    <n v="0.57140000000000002"/>
    <n v="0.31"/>
    <n v="0.23"/>
    <m/>
    <n v="22"/>
    <n v="0.65"/>
    <n v="0.72"/>
    <n v="0.78"/>
    <n v="0.94369999999999998"/>
    <n v="2.86"/>
    <n v="-426993.068166607"/>
    <n v="-12843"/>
    <n v="-6.1575078118780597"/>
  </r>
  <r>
    <s v="3931Swedish Issaquah3499Imaging Services Administration (N)"/>
    <m/>
    <x v="1"/>
    <s v="SHS"/>
    <s v="WA"/>
    <n v="3931"/>
    <x v="28"/>
    <n v="3499"/>
    <s v="Imaging Services Administration"/>
    <s v="Imaging Services"/>
    <s v="Imaging Services Administration (N)"/>
    <s v="APC Relative Weight Supported"/>
    <n v="176582.44"/>
    <n v="235732.17"/>
    <n v="0.61899999999999999"/>
    <n v="0.02"/>
    <n v="0.03"/>
    <n v="0.05"/>
    <n v="22"/>
    <n v="0.05"/>
    <n v="0.06"/>
    <n v="7.0000000000000007E-2"/>
    <n v="0.90629999999999999"/>
    <n v="3.65"/>
    <n v="-288048.03787567798"/>
    <n v="-7993"/>
    <n v="-3.8324923812070799"/>
  </r>
  <r>
    <s v="3931Swedish Issaquah344022576390 MAMMOGRAPHY"/>
    <m/>
    <x v="1"/>
    <s v="SHS"/>
    <s v="WA"/>
    <n v="3931"/>
    <x v="28"/>
    <n v="3440"/>
    <s v="Mammography"/>
    <s v="Imaging Services"/>
    <s v="22576390 MAMMOGRAPHY"/>
    <s v="APC Relative Weight"/>
    <n v="19521.91"/>
    <n v="29446"/>
    <n v="0.61899999999999999"/>
    <n v="0.45"/>
    <n v="0.35"/>
    <n v="4.7600000000000003E-2"/>
    <n v="22"/>
    <n v="0.47"/>
    <n v="0.49"/>
    <n v="0.57999999999999996"/>
    <n v="0.91159999999999997"/>
    <n v="5.36"/>
    <n v="-210493.354680588"/>
    <n v="-4648"/>
    <n v="-2.2286798301385899"/>
  </r>
  <r>
    <s v="2947Providence Alaska Medical Center4410Pharmacy"/>
    <m/>
    <x v="0"/>
    <s v="AK"/>
    <s v="AK"/>
    <n v="2947"/>
    <x v="0"/>
    <n v="4410"/>
    <s v="Pharmacy Services"/>
    <s v="Pharmacy Services"/>
    <s v="Pharmacy"/>
    <s v="CMI Weighted Department Adjusted Discharges"/>
    <n v="47006.95"/>
    <n v="52093.16"/>
    <n v="0.54549999999999998"/>
    <n v="2.4500000000000002"/>
    <n v="1.5969398724419865"/>
    <n v="0.76190000000000002"/>
    <n v="23"/>
    <n v="1.67"/>
    <n v="1.89"/>
    <n v="2.08"/>
    <n v="0.88270000000000004"/>
    <n v="72.02"/>
    <n v="-827918.78763012902"/>
    <n v="-17295.149104452248"/>
    <n v="-8.2922118148986428"/>
  </r>
  <r>
    <s v="2947Providence Alaska Medical Center3430MRI"/>
    <m/>
    <x v="0"/>
    <s v="AK"/>
    <s v="AK"/>
    <n v="2947"/>
    <x v="0"/>
    <n v="3430"/>
    <s v="Magnetic Resonance Imaging"/>
    <s v="Imaging Services"/>
    <s v="MRI"/>
    <s v="APC Relative Weight"/>
    <n v="24877.91"/>
    <n v="23125.26"/>
    <n v="0.63639999999999997"/>
    <n v="0.43"/>
    <n v="0.44"/>
    <n v="0.81820000000000004"/>
    <n v="23"/>
    <n v="0.3"/>
    <n v="0.31"/>
    <n v="0.35"/>
    <n v="0.91779999999999995"/>
    <n v="5.33"/>
    <n v="144547.247087094"/>
    <n v="3306"/>
    <n v="1.5850293052318101"/>
  </r>
  <r>
    <s v="3525Providence Centralia Hospital3499Imaging Services - Administration and Support (U,N)"/>
    <m/>
    <x v="1"/>
    <s v="SWR"/>
    <s v="WA"/>
    <n v="3525"/>
    <x v="10"/>
    <n v="3499"/>
    <s v="Imaging Services Administration"/>
    <s v="Imaging Services"/>
    <s v="Imaging Services - Administration and Support (U,N)"/>
    <s v="APC Relative Weight Supported"/>
    <n v="105618.9"/>
    <n v="150023.65"/>
    <n v="0.4919"/>
    <n v="0.06"/>
    <n v="0.03"/>
    <n v="1.67E-2"/>
    <n v="23"/>
    <n v="0.06"/>
    <n v="7.0000000000000007E-2"/>
    <n v="0.09"/>
    <n v="0.88180000000000003"/>
    <n v="2.44"/>
    <n v="-221069.90010231599"/>
    <n v="-6820"/>
    <n v="-3.2699963654262199"/>
  </r>
  <r>
    <s v="3525Providence Centralia Hospital464034076450 Outpatient Infusion Services"/>
    <m/>
    <x v="1"/>
    <s v="SWR"/>
    <s v="WA"/>
    <n v="3525"/>
    <x v="10"/>
    <n v="4640"/>
    <s v="Hematology Oncology Infusion Therapy (Hema/Onc)"/>
    <s v="Other Clinical Support Services"/>
    <s v="34076450 Outpatient Infusion Services"/>
    <s v="Infusions"/>
    <n v="16551"/>
    <n v="16841"/>
    <n v="0.45450000000000002"/>
    <n v="2.0499999999999998"/>
    <n v="1.82"/>
    <n v="0.36359999999999998"/>
    <n v="23"/>
    <n v="1.64"/>
    <n v="1.77"/>
    <n v="2.0699999999999998"/>
    <n v="0.85429999999999995"/>
    <n v="17.21"/>
    <n v="45183.547728022"/>
    <n v="1003"/>
    <n v="0.480656646890054"/>
  </r>
  <r>
    <s v="3523Providence Everett Medical Center522131683500, Laundry And Linen"/>
    <m/>
    <x v="1"/>
    <s v="NWR"/>
    <s v="WA"/>
    <n v="3523"/>
    <x v="1"/>
    <n v="5221"/>
    <s v="Laundry and Linen Distribution Only"/>
    <s v="Environmental Services"/>
    <s v="31683500, Laundry And Linen"/>
    <s v="100 Lbs Clean Laundry Distributed"/>
    <n v="40405.78"/>
    <n v="38931.06"/>
    <n v="0.90910000000000002"/>
    <n v="0.26"/>
    <n v="0.23"/>
    <n v="0.1739"/>
    <n v="23"/>
    <n v="0.24"/>
    <n v="0.26"/>
    <n v="0.37"/>
    <n v="0.88490000000000002"/>
    <n v="4.83"/>
    <n v="-22657.132054601101"/>
    <n v="-1365"/>
    <n v="-0.65432951237571702"/>
  </r>
  <r>
    <s v="3523Providence Everett Medical Center121431661705, Oncology A7"/>
    <m/>
    <x v="1"/>
    <s v="NWR"/>
    <s v="WA"/>
    <n v="3523"/>
    <x v="1"/>
    <n v="1214"/>
    <s v="Medical/Surgical/Oncology Acute Care Unit"/>
    <s v="Nursing Services"/>
    <s v="31661705, Oncology A7"/>
    <s v="Equivalent Patient Day"/>
    <n v="10074.75"/>
    <n v="9648"/>
    <n v="0.36359999999999998"/>
    <n v="10.119999999999999"/>
    <n v="10.34"/>
    <n v="0.45"/>
    <n v="23"/>
    <n v="9.86"/>
    <n v="10.220000000000001"/>
    <n v="10.49"/>
    <n v="0.89259999999999995"/>
    <n v="53.74"/>
    <n v="63642.107427917297"/>
    <n v="1619"/>
    <n v="0.77615975245622304"/>
  </r>
  <r>
    <s v="2687Providence Holy Cross Medical Center341172076300 Hosp Radiology Diagnostic"/>
    <m/>
    <x v="2"/>
    <s v="CA"/>
    <s v="CA"/>
    <n v="2687"/>
    <x v="4"/>
    <n v="3411"/>
    <s v="Diagnostic Radiology Without Interventional Procedures"/>
    <s v="Imaging Services"/>
    <s v="72076300 Hosp Radiology Diagnostic"/>
    <s v="APC Relative Weight"/>
    <n v="62649.86"/>
    <n v="71082.429999999993"/>
    <n v="0.72729999999999995"/>
    <n v="0.54"/>
    <n v="0.5"/>
    <n v="0.1053"/>
    <n v="23"/>
    <n v="0.57999999999999996"/>
    <n v="0.6"/>
    <n v="0.63"/>
    <n v="0.91620000000000001"/>
    <n v="18.670000000000002"/>
    <n v="-303670.33218342601"/>
    <n v="-7610"/>
    <n v="-3.6488281295159801"/>
  </r>
  <r>
    <s v="2687Providence Holy Cross Medical Center592572083700 Patient Escort (Transport) Service"/>
    <m/>
    <x v="2"/>
    <s v="CA"/>
    <s v="CA"/>
    <n v="2687"/>
    <x v="4"/>
    <n v="5925"/>
    <s v="Patient Escort (Transport) Service"/>
    <s v="Other Support Services"/>
    <s v="72083700 Patient Escort (Transport) Service"/>
    <s v="100 Patient Transports Performed"/>
    <n v="420"/>
    <n v="443.76"/>
    <n v="0.59089999999999998"/>
    <n v="53.39"/>
    <n v="58.183004326663067"/>
    <n v="0.75"/>
    <n v="23"/>
    <n v="43.19"/>
    <n v="46.95"/>
    <n v="52.86"/>
    <n v="0.92269999999999996"/>
    <n v="14.46"/>
    <n v="103563.25009212097"/>
    <n v="5402.3604638560755"/>
    <n v="2.5901905661677498"/>
  </r>
  <r>
    <s v="2687Providence Holy Cross Medical Center6610Hospital Administration"/>
    <m/>
    <x v="2"/>
    <s v="CA"/>
    <s v="CA"/>
    <n v="2687"/>
    <x v="4"/>
    <n v="6610"/>
    <s v="Administration"/>
    <s v="Administration"/>
    <s v="Hospital Administration"/>
    <s v="100 Adjusted Discharges"/>
    <n v="228.23"/>
    <n v="256.56"/>
    <n v="0.40910000000000002"/>
    <n v="114.42"/>
    <n v="92.766682257561584"/>
    <n v="0.95"/>
    <n v="23"/>
    <n v="55.27"/>
    <n v="61.56"/>
    <n v="69.8"/>
    <n v="0.90210000000000001"/>
    <n v="14.77"/>
    <n v="803833.73932823399"/>
    <n v="8875.2759117614441"/>
    <n v="4.2552984186419165"/>
  </r>
  <r>
    <s v="3532Providence Little Company of Mary Hospital4490Pharmacy Administration &amp; Support (U,N)"/>
    <m/>
    <x v="2"/>
    <s v="CA"/>
    <s v="CA"/>
    <n v="3532"/>
    <x v="13"/>
    <n v="4490"/>
    <s v="Pharmacy Administration and Support"/>
    <s v="Pharmacy Services"/>
    <s v="Pharmacy Administration &amp; Support (U,N)"/>
    <s v="CMI Weighted Adjusted Discharges"/>
    <n v="40077.06"/>
    <n v="45542.52"/>
    <n v="0.54"/>
    <n v="0.14000000000000001"/>
    <n v="0.16"/>
    <n v="0.2989"/>
    <n v="23"/>
    <n v="0.15"/>
    <n v="0.18"/>
    <n v="0.2"/>
    <n v="0.89049999999999996"/>
    <n v="4.03"/>
    <n v="-56326.717976714899"/>
    <n v="-800"/>
    <n v="-0.38371003214127603"/>
  </r>
  <r>
    <s v="3532Providence Little Company of Mary Hospital5925Patient Transport (U,N)"/>
    <m/>
    <x v="2"/>
    <s v="CA"/>
    <s v="CA"/>
    <n v="3532"/>
    <x v="13"/>
    <n v="5925"/>
    <s v="Patient Escort (Transport) Service"/>
    <s v="Other Support Services"/>
    <s v="Patient Transport (U,N)"/>
    <s v="100 Patient Transports Performed"/>
    <n v="720"/>
    <n v="600"/>
    <m/>
    <n v="43.18"/>
    <n v="51.173133333333332"/>
    <m/>
    <n v="23"/>
    <n v="36.36"/>
    <n v="36.76"/>
    <n v="41.7"/>
    <n v="0.93879999999999997"/>
    <n v="7.69"/>
    <n v="209840.97400937372"/>
    <n v="9211.6318704729456"/>
    <n v="4.4165660787615408"/>
  </r>
  <r>
    <s v="3532Providence Little Company of Mary Hospital3399Laboratory Services Administration (U,N)"/>
    <m/>
    <x v="2"/>
    <s v="CA"/>
    <s v="CA"/>
    <n v="3532"/>
    <x v="13"/>
    <n v="3399"/>
    <s v="Laboratory Services Administration"/>
    <s v="Laboratory Services"/>
    <s v="Laboratory Services Administration (U,N)"/>
    <s v="100 Billed Tests Supported"/>
    <n v="11285.12"/>
    <n v="13740.54"/>
    <m/>
    <n v="0"/>
    <n v="2.3303916731074614"/>
    <n v="0.93420000000000003"/>
    <n v="23"/>
    <n v="0.99"/>
    <n v="1.1100000000000001"/>
    <n v="1.41"/>
    <n v="0.9073"/>
    <n v="16.97"/>
    <n v="653158.63198941923"/>
    <n v="18482.134464895844"/>
    <n v="8.8613580404160928"/>
  </r>
  <r>
    <s v="2947Providence Alaska Medical Center3030Ambulatory Services Unit"/>
    <m/>
    <x v="0"/>
    <s v="AK"/>
    <s v="AK"/>
    <n v="2947"/>
    <x v="0"/>
    <n v="3030"/>
    <s v="Surgery Pre Op and Post Recovery Only"/>
    <s v="Surgical Services"/>
    <s v="Ambulatory Services Unit"/>
    <s v="100 Patient Observation Minutes"/>
    <n v="12479.85"/>
    <n v="12404.86"/>
    <n v="0.5"/>
    <n v="2.93"/>
    <n v="2.7927796041229001"/>
    <n v="0.95"/>
    <n v="23"/>
    <n v="2.69"/>
    <n v="2.72"/>
    <n v="2.78"/>
    <n v="0.83530000000000004"/>
    <n v="19.940000000000001"/>
    <n v="47772.871255835984"/>
    <n v="1080.8341913085064"/>
    <n v="0.51820923872854152"/>
  </r>
  <r>
    <s v="3527Providence Portland Medical Center464052276410, OUTPATIENT TRANSFUSION"/>
    <m/>
    <x v="3"/>
    <s v="OR"/>
    <s v="OR"/>
    <n v="3527"/>
    <x v="18"/>
    <n v="4640"/>
    <s v="Hematology Oncology Infusion Therapy (Hema/Onc)"/>
    <s v="Other Clinical Support Services"/>
    <s v="52276410, OUTPATIENT TRANSFUSION"/>
    <s v="Infusions"/>
    <n v="4906"/>
    <n v="6586"/>
    <n v="0.59089999999999998"/>
    <n v="2.1"/>
    <n v="2"/>
    <n v="0.57140000000000002"/>
    <n v="23"/>
    <n v="1.51"/>
    <n v="1.66"/>
    <n v="1.95"/>
    <n v="0.88690000000000002"/>
    <n v="7.14"/>
    <n v="133120.68158608099"/>
    <n v="2565"/>
    <n v="1.2297844750134099"/>
  </r>
  <r>
    <s v="3527Providence Portland Medical Center341152276300 52276303, DIAGNOSTIC IMAGING"/>
    <m/>
    <x v="3"/>
    <s v="OR"/>
    <s v="OR"/>
    <n v="3527"/>
    <x v="18"/>
    <n v="3411"/>
    <s v="Diagnostic Radiology Without Interventional Procedures"/>
    <s v="Imaging Services"/>
    <s v="52276300 52276303, DIAGNOSTIC IMAGING"/>
    <s v="APC Relative Weight"/>
    <n v="100397.14"/>
    <n v="92388.3"/>
    <n v="0.59089999999999998"/>
    <n v="0.64"/>
    <n v="0.72"/>
    <n v="0.89470000000000005"/>
    <n v="23"/>
    <n v="0.6"/>
    <n v="0.61"/>
    <n v="0.64"/>
    <n v="0.88490000000000002"/>
    <n v="36.119999999999997"/>
    <n v="373937.33055257"/>
    <n v="11648"/>
    <n v="5.5847995934929502"/>
  </r>
  <r>
    <s v="3852Providence Sacred Heart Medical Center349934576350, RADIOLOGY-ADMIN"/>
    <m/>
    <x v="4"/>
    <s v="PHC"/>
    <s v="WA"/>
    <n v="3852"/>
    <x v="9"/>
    <n v="3499"/>
    <s v="Imaging Services Administration"/>
    <s v="Imaging Services"/>
    <s v="34576350, RADIOLOGY-ADMIN"/>
    <s v="APC Relative Weight Supported"/>
    <n v="510063.63"/>
    <n v="509742"/>
    <n v="0.81820000000000004"/>
    <n v="0.04"/>
    <n v="0.03"/>
    <n v="4.5499999999999999E-2"/>
    <n v="23"/>
    <n v="0.05"/>
    <n v="0.06"/>
    <n v="7.0000000000000007E-2"/>
    <n v="0.80840000000000001"/>
    <n v="10.15"/>
    <n v="-488111.52886976203"/>
    <n v="-16664"/>
    <n v="-7.9894252803728403"/>
  </r>
  <r>
    <s v="3852Providence Sacred Heart Medical Center637034586700, VOLUNTEER SERVICES"/>
    <m/>
    <x v="4"/>
    <s v="PHC"/>
    <s v="WA"/>
    <n v="3852"/>
    <x v="9"/>
    <n v="6370"/>
    <s v="Volunteer Services"/>
    <s v="Community Outreach"/>
    <s v="34586700, VOLUNTEER SERVICES"/>
    <s v="100 Volunteer Service Hours"/>
    <n v="532.78"/>
    <n v="564.38"/>
    <n v="0.40910000000000002"/>
    <n v="10.58"/>
    <n v="11.92"/>
    <n v="0.82609999999999995"/>
    <n v="23"/>
    <n v="4.17"/>
    <n v="5.38"/>
    <n v="9.08"/>
    <n v="0.86550000000000005"/>
    <n v="3.74"/>
    <n v="119380.172962688"/>
    <n v="4292"/>
    <n v="2.0579651970820398"/>
  </r>
  <r>
    <s v="3854Providence Saint Mary Medical Center482132577901, IP OCCUPATIONAL THERAPY"/>
    <m/>
    <x v="4"/>
    <s v="SER"/>
    <s v="WA"/>
    <n v="3854"/>
    <x v="8"/>
    <n v="4821"/>
    <s v="Occupational Therapy: Inpatient"/>
    <s v="Rehabilitation Services"/>
    <s v="32577901, IP OCCUPATIONAL THERAPY"/>
    <s v="1000 Baseline Billed Time Units (BTUs)"/>
    <n v="313.41000000000003"/>
    <n v="404.28"/>
    <n v="0.54549999999999998"/>
    <n v="17.350000000000001"/>
    <n v="26.91"/>
    <n v="0.54549999999999998"/>
    <n v="23"/>
    <n v="21.59"/>
    <n v="23.63"/>
    <n v="25.83"/>
    <n v="0.93930000000000002"/>
    <n v="5.57"/>
    <n v="51807.890817727202"/>
    <n v="1447"/>
    <n v="0.69370675114921998"/>
  </r>
  <r>
    <s v="3854Providence Saint Mary Medical Center229932580100, CANCER CENTER ADMIN"/>
    <m/>
    <x v="4"/>
    <s v="SER"/>
    <s v="WA"/>
    <n v="3854"/>
    <x v="8"/>
    <n v="2299"/>
    <s v="Ambulatory Services Administration"/>
    <s v="Ambulatory Care Clinics"/>
    <s v="32580100, CANCER CENTER ADMIN"/>
    <s v="Patient Visits Supported"/>
    <n v="20582"/>
    <n v="18218"/>
    <n v="0.54549999999999998"/>
    <n v="0.81"/>
    <n v="1.06"/>
    <n v="0.90910000000000002"/>
    <n v="23"/>
    <n v="0.2"/>
    <n v="0.23"/>
    <n v="0.31"/>
    <n v="0.89729999999999999"/>
    <n v="10.3"/>
    <n v="413653.95880234498"/>
    <n v="16813"/>
    <n v="8.0610776852246797"/>
  </r>
  <r>
    <s v="3533Providence San Pedro Peninsula Hospital553077284700 SPH COMMUNICATIONS"/>
    <m/>
    <x v="2"/>
    <s v="CA"/>
    <s v="CA"/>
    <n v="3533"/>
    <x v="14"/>
    <n v="5530"/>
    <s v="Call Center / Switchboard"/>
    <s v="Information Technology"/>
    <s v="77284700 SPH COMMUNICATIONS"/>
    <s v="Adjusted Patient Days"/>
    <n v="90471.05"/>
    <n v="99297.74"/>
    <n v="0.54549999999999998"/>
    <n v="1.47"/>
    <n v="0.13"/>
    <n v="0.40910000000000002"/>
    <n v="23"/>
    <n v="0.1"/>
    <n v="0.12"/>
    <n v="0.13"/>
    <n v="0.90869999999999995"/>
    <n v="6.65"/>
    <n v="13740.481792554499"/>
    <n v="757"/>
    <n v="0.36293079335232697"/>
  </r>
  <r>
    <s v="2719Providence St Joseph Medical Center341271076310 - 03412 - PSJMC RADIOLOGY-SPECIAL PROC"/>
    <m/>
    <x v="2"/>
    <s v="CA"/>
    <s v="CA"/>
    <n v="2719"/>
    <x v="6"/>
    <n v="3412"/>
    <s v="Interventional Radiology"/>
    <s v="Imaging Services"/>
    <s v="71076310 - 03412 - PSJMC RADIOLOGY-SPECIAL PROC"/>
    <s v="APC Relative Weight"/>
    <n v="24382.98"/>
    <n v="51917"/>
    <n v="0.5"/>
    <n v="0.31"/>
    <n v="0.17"/>
    <n v="0.28570000000000001"/>
    <n v="23"/>
    <n v="0.17"/>
    <n v="0.18"/>
    <n v="0.21"/>
    <n v="0.88690000000000002"/>
    <n v="4.84"/>
    <n v="-32866.054725422902"/>
    <n v="-442"/>
    <n v="-0.21190991972120701"/>
  </r>
  <r>
    <s v="2719Providence St Joseph Medical Center346071076500 - 03460 - PSJMC NUCLEAR MEDICINE"/>
    <m/>
    <x v="2"/>
    <s v="CA"/>
    <s v="CA"/>
    <n v="2719"/>
    <x v="6"/>
    <n v="3460"/>
    <s v="Nuclear Medicine"/>
    <s v="Imaging Services"/>
    <s v="71076500 - 03460 - PSJMC NUCLEAR MEDICINE"/>
    <s v="APC Relative Weight"/>
    <n v="29665.23"/>
    <n v="28751.86"/>
    <n v="0.45450000000000002"/>
    <n v="0.27"/>
    <n v="0.3"/>
    <n v="0.77270000000000005"/>
    <n v="23"/>
    <n v="0.2"/>
    <n v="0.22"/>
    <n v="0.23"/>
    <n v="0.9153"/>
    <n v="4.59"/>
    <n v="148531.556443404"/>
    <n v="2663"/>
    <n v="1.27660416188711"/>
  </r>
  <r>
    <s v="2719Providence St Joseph Medical Center121071061740 - 01210 - PSJMC 5NE"/>
    <m/>
    <x v="2"/>
    <s v="CA"/>
    <s v="CA"/>
    <n v="2719"/>
    <x v="6"/>
    <n v="1210"/>
    <s v="Medical/Surgical Acute Care Unit"/>
    <s v="Nursing Services"/>
    <s v="71061740 - 01210 - PSJMC 5NE"/>
    <s v="Equivalent Patient Day"/>
    <n v="10955"/>
    <n v="11350.32"/>
    <n v="0.40910000000000002"/>
    <n v="9.39"/>
    <n v="10.3"/>
    <n v="0.52380000000000004"/>
    <n v="23"/>
    <n v="9.74"/>
    <n v="9.9499999999999993"/>
    <n v="10.220000000000001"/>
    <n v="0.86909999999999998"/>
    <n v="64.64"/>
    <n v="205998.64470119699"/>
    <n v="4874"/>
    <n v="2.3369087245298101"/>
  </r>
  <r>
    <s v="2719Providence St Joseph Medical Center521171084400 - 05211 - PSJMC ENVIROMENTAL SERVICES"/>
    <m/>
    <x v="2"/>
    <s v="CA"/>
    <s v="CA"/>
    <n v="2719"/>
    <x v="6"/>
    <n v="5211"/>
    <s v="Environmental Services"/>
    <s v="Environmental Services"/>
    <s v="71084400 - 05211 - PSJMC ENVIROMENTAL SERVICES"/>
    <s v="1000 Net Sq Ft Cleaned"/>
    <n v="1000"/>
    <n v="937.19"/>
    <n v="0.54549999999999998"/>
    <n v="143.72999999999999"/>
    <n v="148.43"/>
    <n v="0.1429"/>
    <n v="23"/>
    <n v="165.23"/>
    <n v="168.29"/>
    <n v="175.04"/>
    <n v="0.89790000000000003"/>
    <n v="74.48"/>
    <n v="-374316.82003293099"/>
    <n v="-20311"/>
    <n v="-9.7382365897492509"/>
  </r>
  <r>
    <s v="2719Providence St Joseph Medical Center592571083700 - 05925 - PSJMC MEDICAL TRANSPORTATION"/>
    <m/>
    <x v="2"/>
    <s v="CA"/>
    <s v="CA"/>
    <n v="2719"/>
    <x v="6"/>
    <n v="5925"/>
    <s v="Patient Escort (Transport) Service"/>
    <s v="Other Support Services"/>
    <s v="71083700 - 05925 - PSJMC MEDICAL TRANSPORTATION"/>
    <s v="100 Patient Transports Performed"/>
    <n v="627"/>
    <n v="721.03"/>
    <n v="0.59089999999999998"/>
    <n v="59.65"/>
    <n v="56.36"/>
    <n v="0.8"/>
    <n v="23"/>
    <n v="39.29"/>
    <n v="44.03"/>
    <n v="50.87"/>
    <n v="0.92610000000000003"/>
    <n v="21.1"/>
    <n v="176510.102388092"/>
    <n v="9728"/>
    <n v="4.6641452353210697"/>
  </r>
  <r>
    <s v="3848Providence St Patrick Hospital &amp; Health Science Ce341246076309, SPECIAL PROCEDURES"/>
    <m/>
    <x v="4"/>
    <s v="WMR"/>
    <s v="MT"/>
    <n v="3848"/>
    <x v="21"/>
    <n v="3412"/>
    <s v="Interventional Radiology"/>
    <s v="Imaging Services"/>
    <s v="46076309, SPECIAL PROCEDURES"/>
    <s v="APC Relative Weight"/>
    <n v="41163.519999999997"/>
    <n v="41243.11"/>
    <n v="0.5"/>
    <n v="0.13"/>
    <n v="0.13"/>
    <n v="0.13639999999999999"/>
    <n v="23"/>
    <n v="0.16"/>
    <n v="0.2"/>
    <n v="0.22"/>
    <n v="0.89690000000000003"/>
    <n v="2.87"/>
    <n v="-131248.78606176999"/>
    <n v="-3211"/>
    <n v="-1.5394613168788001"/>
  </r>
  <r>
    <s v="3848Providence St Patrick Hospital &amp; Health Science Ce432046076200, NEURODIAGNOSTICS"/>
    <m/>
    <x v="4"/>
    <s v="WMR"/>
    <s v="MT"/>
    <n v="3848"/>
    <x v="21"/>
    <n v="4320"/>
    <s v="Sleep Diagnostic Center"/>
    <s v="Neurodiagnostic Services"/>
    <s v="46076200, NEURODIAGNOSTICS"/>
    <s v="APC Relative Weight"/>
    <n v="14574.22"/>
    <n v="13696.81"/>
    <n v="0.81820000000000004"/>
    <n v="0.83"/>
    <n v="0.85"/>
    <n v="0.21740000000000001"/>
    <n v="23"/>
    <n v="0.87"/>
    <n v="0.92"/>
    <n v="0.98"/>
    <n v="0.88519999999999999"/>
    <n v="6.36"/>
    <n v="-30264.737429819601"/>
    <n v="-970"/>
    <n v="-0.46517847253762001"/>
  </r>
  <r>
    <s v="3848Providence St Patrick Hospital &amp; Health Science Ce651046087100, MEDICAL STAFF ADMINISTRATION (U)"/>
    <m/>
    <x v="4"/>
    <s v="WMR"/>
    <s v="MT"/>
    <n v="3848"/>
    <x v="21"/>
    <n v="6510"/>
    <s v="Medical Staff Services"/>
    <s v="Medical Staff Services"/>
    <s v="46087100, MEDICAL STAFF ADMINISTRATION (U)"/>
    <s v="Physicians On Active Medical Staff"/>
    <n v="234"/>
    <n v="231"/>
    <n v="0.67100000000000004"/>
    <n v="26.24"/>
    <n v="27.26"/>
    <n v="0.26960000000000001"/>
    <n v="23"/>
    <n v="26.98"/>
    <n v="28.47"/>
    <n v="34.08"/>
    <n v="0.90400000000000003"/>
    <n v="3.35"/>
    <n v="-8212.9070346226799"/>
    <n v="-288"/>
    <n v="-0.138021678170059"/>
  </r>
  <r>
    <s v="3848Providence St Patrick Hospital &amp; Health Science Ce511246083400, DIETARY"/>
    <m/>
    <x v="4"/>
    <s v="WMR"/>
    <s v="MT"/>
    <n v="3848"/>
    <x v="21"/>
    <n v="5112"/>
    <s v="Patient and Nonpatient Food Services"/>
    <s v="Food and Nutrition Services"/>
    <s v="46083400, DIETARY"/>
    <s v="ART: Total Meal Equivalents"/>
    <n v="1270360.3600000001"/>
    <n v="1344240.28"/>
    <n v="0.95450000000000002"/>
    <n v="0.08"/>
    <n v="0.08"/>
    <m/>
    <n v="23"/>
    <n v="0.13"/>
    <n v="0.15"/>
    <n v="0.16"/>
    <n v="0.92369999999999997"/>
    <n v="52.48"/>
    <n v="-1526894.5803074499"/>
    <n v="-108835"/>
    <n v="-52.181120296995097"/>
  </r>
  <r>
    <s v="3848Providence St Patrick Hospital &amp; Health Science Ce349946076310, 76311, 76312 SUPPORT SERVICES RADIOLOGY"/>
    <m/>
    <x v="4"/>
    <s v="WMR"/>
    <s v="MT"/>
    <n v="3848"/>
    <x v="21"/>
    <n v="3499"/>
    <s v="Imaging Services Administration"/>
    <s v="Imaging Services"/>
    <s v="46076310, 76311, 76312 SUPPORT SERVICES RADIOLOGY"/>
    <s v="APC Relative Weight Supported"/>
    <n v="344312"/>
    <n v="230706"/>
    <n v="0.54549999999999998"/>
    <n v="7.0000000000000007E-2"/>
    <n v="0.13"/>
    <n v="0.8095"/>
    <n v="23"/>
    <n v="0.06"/>
    <n v="0.06"/>
    <n v="0.08"/>
    <n v="0.9073"/>
    <n v="15.76"/>
    <n v="470331.44336662302"/>
    <n v="17614"/>
    <n v="8.4451169374026893"/>
  </r>
  <r>
    <s v="3524Providence St Peter Hospital302033074270, RECOVERY ROOM SERVICES"/>
    <m/>
    <x v="1"/>
    <s v="SWR"/>
    <s v="WA"/>
    <n v="3524"/>
    <x v="2"/>
    <n v="3020"/>
    <s v="Post Anesthesia Care Unit (PACU)"/>
    <s v="Surgical Services"/>
    <s v="33074270, RECOVERY ROOM SERVICES"/>
    <s v="100 PACU Minutes"/>
    <n v="5836.15"/>
    <n v="7432.61"/>
    <m/>
    <n v="4"/>
    <n v="2.99"/>
    <n v="7.6100000000000001E-2"/>
    <n v="23"/>
    <n v="3.43"/>
    <n v="3.51"/>
    <n v="3.88"/>
    <n v="0.86599999999999999"/>
    <n v="12.33"/>
    <n v="-259560.95493170901"/>
    <n v="-4409"/>
    <n v="-2.1137089535571598"/>
  </r>
  <r>
    <s v="3524Providence St Peter Hospital346033076500, NUCLEAR MEDICINE"/>
    <m/>
    <x v="1"/>
    <s v="SWR"/>
    <s v="WA"/>
    <n v="3524"/>
    <x v="2"/>
    <n v="3460"/>
    <s v="Nuclear Medicine"/>
    <s v="Imaging Services"/>
    <s v="33076500, NUCLEAR MEDICINE"/>
    <s v="APC Relative Weight"/>
    <n v="32166.25"/>
    <n v="32963.839999999997"/>
    <n v="0.5"/>
    <n v="0.19"/>
    <n v="0.22"/>
    <n v="0.65"/>
    <n v="23"/>
    <n v="0.19"/>
    <n v="0.21"/>
    <n v="0.21"/>
    <n v="0.86639999999999995"/>
    <n v="4.07"/>
    <n v="21564.882108780799"/>
    <n v="499"/>
    <n v="0.23922356258691899"/>
  </r>
  <r>
    <s v="3524Providence St Peter Hospital553033084701, PBX OPERATIONS"/>
    <m/>
    <x v="1"/>
    <s v="SWR"/>
    <s v="WA"/>
    <n v="3524"/>
    <x v="2"/>
    <n v="5530"/>
    <s v="Call Center / Switchboard"/>
    <s v="Information Technology"/>
    <s v="33084701, PBX OPERATIONS"/>
    <s v="Adjusted Discharges"/>
    <n v="27659.279999999999"/>
    <n v="29059.52"/>
    <n v="0.54549999999999998"/>
    <n v="0.57999999999999996"/>
    <n v="0.55000000000000004"/>
    <n v="0.38890000000000002"/>
    <n v="23"/>
    <n v="0.49"/>
    <n v="0.52"/>
    <n v="0.57999999999999996"/>
    <n v="0.86080000000000001"/>
    <n v="8.9499999999999993"/>
    <n v="22121.729193502801"/>
    <n v="1112"/>
    <n v="0.53338075901166304"/>
  </r>
  <r>
    <s v="3535Providence St Vincent Medical Center337053075000, 53089009 CLINICAL LAB"/>
    <m/>
    <x v="3"/>
    <s v="OR"/>
    <s v="OR"/>
    <n v="3535"/>
    <x v="22"/>
    <n v="3370"/>
    <s v="Laboratory Services: Clinical Operations"/>
    <s v="Laboratory Services"/>
    <s v="53075000, 53089009 CLINICAL LAB"/>
    <s v="100 Billed Tests"/>
    <n v="12443.79"/>
    <n v="10780.39"/>
    <n v="0.54549999999999998"/>
    <n v="6.42"/>
    <n v="7.34"/>
    <n v="0"/>
    <n v="23"/>
    <n v="9.99"/>
    <n v="11.08"/>
    <n v="11.65"/>
    <n v="0.89070000000000005"/>
    <n v="42.74"/>
    <n v="-1303370.1767456799"/>
    <n v="-44962"/>
    <n v="-21.557033988721901"/>
  </r>
  <r>
    <s v="3535Providence St Vincent Medical Center449053004490, PHARMACY SUPPORT SVCS (U,N)"/>
    <m/>
    <x v="3"/>
    <s v="OR"/>
    <s v="OR"/>
    <n v="3535"/>
    <x v="22"/>
    <n v="4490"/>
    <s v="Pharmacy Administration and Support"/>
    <s v="Pharmacy Services"/>
    <s v="53004490, PHARMACY SUPPORT SVCS (U,N)"/>
    <s v="CMI Weighted Adjusted Discharges"/>
    <n v="79964.98"/>
    <n v="85225.89"/>
    <n v="0.70250000000000001"/>
    <n v="0.36"/>
    <n v="0.2373344531808351"/>
    <n v="0.69420000000000004"/>
    <n v="23"/>
    <n v="0.27"/>
    <n v="0.3"/>
    <n v="0.4"/>
    <n v="0.90439999999999998"/>
    <n v="19.43"/>
    <n v="-297153.23157894722"/>
    <n v="-5905.2708978328146"/>
    <n v="-2.8313136586435323"/>
  </r>
  <r>
    <s v="3535Providence St Vincent Medical Center128553074011, 53074003 LABOR &amp; DELIVERY TRIAGE"/>
    <m/>
    <x v="3"/>
    <s v="OR"/>
    <s v="OR"/>
    <n v="3535"/>
    <x v="22"/>
    <n v="1285"/>
    <s v="Labor/Delivery with Recovery"/>
    <s v="Nursing Services"/>
    <s v="53074011, 53074003 LABOR &amp; DELIVERY TRIAGE"/>
    <s v="Neonate Deliveries"/>
    <n v="4264"/>
    <n v="4204"/>
    <n v="0.54549999999999998"/>
    <n v="37.79"/>
    <n v="37.380000000000003"/>
    <n v="0.7"/>
    <n v="23"/>
    <n v="33.17"/>
    <n v="33.81"/>
    <n v="34.4"/>
    <n v="0.87229999999999996"/>
    <n v="75.55"/>
    <n v="-252839.800216317"/>
    <n v="-5371"/>
    <n v="-2.5750241328510599"/>
  </r>
  <r>
    <s v="3535Providence St Vincent Medical Center451053077400, HEMODIALYSIS"/>
    <m/>
    <x v="3"/>
    <s v="OR"/>
    <s v="OR"/>
    <n v="3535"/>
    <x v="22"/>
    <n v="4510"/>
    <s v="Dialysis"/>
    <s v="Dialysis Services"/>
    <s v="53077400, HEMODIALYSIS"/>
    <s v="Treatments"/>
    <n v="2566"/>
    <n v="2384"/>
    <n v="0.54549999999999998"/>
    <n v="5.18"/>
    <n v="5.77"/>
    <n v="0.76190000000000002"/>
    <n v="23"/>
    <n v="4.5599999999999996"/>
    <n v="4.7"/>
    <n v="4.95"/>
    <n v="0.87470000000000003"/>
    <n v="7.56"/>
    <n v="159735.11715913899"/>
    <n v="2958"/>
    <n v="1.41823576144949"/>
  </r>
  <r>
    <s v="3535Providence St Vincent Medical Center121253061720, SURGICAL UNIT - 8E"/>
    <m/>
    <x v="3"/>
    <s v="OR"/>
    <s v="OR"/>
    <n v="3535"/>
    <x v="22"/>
    <n v="1212"/>
    <s v="General Surgical Acute Care Unit"/>
    <s v="Nursing Services"/>
    <s v="53061720, SURGICAL UNIT - 8E"/>
    <s v="Equivalent Patient Day"/>
    <n v="8239.7900000000009"/>
    <n v="8323"/>
    <n v="0.59089999999999998"/>
    <n v="9.7899999999999991"/>
    <n v="11.47"/>
    <n v="0.54549999999999998"/>
    <n v="23"/>
    <n v="10.1"/>
    <n v="10.89"/>
    <n v="11.41"/>
    <n v="0.89039999999999997"/>
    <n v="51.54"/>
    <n v="243888.69151100301"/>
    <n v="5703"/>
    <n v="2.7342734939900701"/>
  </r>
  <r>
    <s v="4283Providence St. John's Health Center344073576315, 76305 SJHC MAMMOGRAPHY / BONE DENSITY (U)"/>
    <m/>
    <x v="2"/>
    <s v="CA"/>
    <s v="CA"/>
    <n v="4283"/>
    <x v="23"/>
    <n v="3440"/>
    <s v="Mammography"/>
    <s v="Imaging Services"/>
    <s v="73576315, 76305 SJHC MAMMOGRAPHY / BONE DENSITY (U)"/>
    <s v="APC Relative Weight"/>
    <m/>
    <n v="20603.060000000001"/>
    <n v="0.38619999999999999"/>
    <m/>
    <n v="0.42"/>
    <n v="9.9900000000000003E-2"/>
    <n v="23"/>
    <n v="0.53"/>
    <n v="0.56000000000000005"/>
    <n v="0.6"/>
    <n v="0.88280000000000003"/>
    <n v="4.7"/>
    <n v="-158951.59275938099"/>
    <n v="-3267"/>
    <n v="-1.5662192821904"/>
  </r>
  <r>
    <s v="4283Providence St. John's Health Center3380Laboratory Services Anatomic Pathology"/>
    <m/>
    <x v="2"/>
    <s v="CA"/>
    <s v="CA"/>
    <n v="4283"/>
    <x v="23"/>
    <n v="3380"/>
    <s v="Laboratory Services: Anatomic Pathology"/>
    <s v="Laboratory Services"/>
    <s v="Laboratory Services Anatomic Pathology"/>
    <s v="100 Billed Tests"/>
    <m/>
    <n v="106.51"/>
    <n v="0.36359999999999998"/>
    <m/>
    <n v="48.49"/>
    <m/>
    <n v="23"/>
    <n v="29.25"/>
    <n v="30.58"/>
    <n v="32.26"/>
    <n v="0.86939999999999995"/>
    <n v="11.35"/>
    <n v="89499.382722567316"/>
    <n v="2194.1501035196693"/>
    <n v="4.0632409324438319"/>
  </r>
  <r>
    <s v="3849Providence Willamette Falls Medical Center201053570100, EMERGENCY SERVICES"/>
    <m/>
    <x v="3"/>
    <s v="OR"/>
    <s v="OR"/>
    <n v="3849"/>
    <x v="7"/>
    <n v="2010"/>
    <s v="Emergency Department"/>
    <s v="Emergency Services"/>
    <s v="53570100, EMERGENCY SERVICES"/>
    <s v="Patient Visits"/>
    <n v="31413"/>
    <n v="31380"/>
    <n v="0.40910000000000002"/>
    <n v="2.48"/>
    <n v="2.46"/>
    <n v="0.45450000000000002"/>
    <n v="23"/>
    <n v="2.2000000000000002"/>
    <n v="2.3199999999999998"/>
    <n v="2.48"/>
    <n v="0.90059999999999996"/>
    <n v="41.24"/>
    <n v="221116.34528152499"/>
    <n v="5178"/>
    <n v="2.4823764285317602"/>
  </r>
  <r>
    <s v="3928Swedish Cherry Hill307022074701 STERILE PROCESSING/22084060 PRODUCT DISTRIBUTION CENTER"/>
    <m/>
    <x v="1"/>
    <s v="SHS"/>
    <s v="WA"/>
    <n v="3928"/>
    <x v="25"/>
    <n v="3070"/>
    <s v="Sterile Processing"/>
    <s v="Surgical Services"/>
    <s v="22074701 STERILE PROCESSING/22084060 PRODUCT DISTRIBUTION CENTER"/>
    <s v="100 Items Processed"/>
    <n v="2653.16"/>
    <n v="2897.24"/>
    <n v="0.5"/>
    <n v="13.29"/>
    <n v="14.23"/>
    <n v="0.18179999999999999"/>
    <n v="23"/>
    <n v="15.14"/>
    <n v="18.87"/>
    <n v="20.81"/>
    <n v="0.90390000000000004"/>
    <n v="21.93"/>
    <n v="-419788.73130893102"/>
    <n v="-14744"/>
    <n v="-7.0690749996885103"/>
  </r>
  <r>
    <s v="3928Swedish Cherry Hill482122077900 IP OCCUPATIONAL THERAPY"/>
    <m/>
    <x v="1"/>
    <s v="SHS"/>
    <s v="WA"/>
    <n v="3928"/>
    <x v="25"/>
    <n v="4821"/>
    <s v="Occupational Therapy: Inpatient"/>
    <s v="Rehabilitation Services"/>
    <s v="22077900 IP OCCUPATIONAL THERAPY"/>
    <s v="1000 Baseline Billed Time Units (BTUs)"/>
    <n v="1106.74"/>
    <n v="1302.27"/>
    <n v="0.59089999999999998"/>
    <n v="22.22"/>
    <n v="20.059999999999999"/>
    <n v="0"/>
    <n v="23"/>
    <n v="22.6"/>
    <n v="24.25"/>
    <n v="26.94"/>
    <n v="0.87890000000000001"/>
    <n v="14.29"/>
    <n v="-258435.63970135199"/>
    <n v="-6127"/>
    <n v="-2.9374688490000098"/>
  </r>
  <r>
    <s v="3928Swedish Cherry Hill422022075910 CARDIO VASCULAR DIAGNOSTICS"/>
    <m/>
    <x v="1"/>
    <s v="SHS"/>
    <s v="WA"/>
    <n v="3928"/>
    <x v="25"/>
    <n v="4220"/>
    <s v="Combined Noninvasive Cardiology and Vascular Services"/>
    <s v="Cardiology and Vascular Services Series"/>
    <s v="22075910 CARDIO VASCULAR DIAGNOSTICS"/>
    <s v="APC Relative Weight"/>
    <n v="70994.13"/>
    <n v="70907.039999999994"/>
    <n v="0.77270000000000005"/>
    <n v="0.53"/>
    <n v="0.52"/>
    <n v="0.69569999999999999"/>
    <n v="23"/>
    <n v="0.25"/>
    <n v="0.28999999999999998"/>
    <n v="0.38"/>
    <n v="0.87639999999999996"/>
    <n v="20.34"/>
    <n v="793522.68544993305"/>
    <n v="18960"/>
    <n v="9.0905019674190495"/>
  </r>
  <r>
    <s v="3929Swedish Edmonds221023070709 PAIN/23070740 NEPHROLOGIST/23070747 ENDO Specialty Clinic"/>
    <m/>
    <x v="1"/>
    <s v="SHS"/>
    <s v="WA"/>
    <n v="3929"/>
    <x v="31"/>
    <n v="2210"/>
    <s v="Multi-discipline Combined Clinic"/>
    <s v="Ambulatory Care Clinics"/>
    <s v="23070709 PAIN/23070740 NEPHROLOGIST/23070747 ENDO Specialty Clinic"/>
    <s v="Patient Visits"/>
    <n v="9967"/>
    <n v="10083"/>
    <n v="0.5"/>
    <n v="0.62"/>
    <n v="0.61"/>
    <n v="9.0899999999999995E-2"/>
    <n v="23"/>
    <n v="0.84"/>
    <n v="0.94"/>
    <n v="1.36"/>
    <n v="0.95009999999999994"/>
    <n v="3.12"/>
    <n v="-107645.770362715"/>
    <n v="-3468"/>
    <n v="-1.66295683574252"/>
  </r>
  <r>
    <s v="3929Swedish Edmonds3412Interventional Radiology (N)"/>
    <m/>
    <x v="1"/>
    <s v="SHS"/>
    <s v="WA"/>
    <n v="3929"/>
    <x v="31"/>
    <n v="3412"/>
    <s v="Interventional Radiology"/>
    <s v="Imaging Services"/>
    <s v="Interventional Radiology (N)"/>
    <s v="APC Relative Weight"/>
    <n v="47087.21"/>
    <n v="43199.95"/>
    <n v="0.5"/>
    <n v="0.28000000000000003"/>
    <n v="0.3"/>
    <n v="0.95450000000000002"/>
    <n v="23"/>
    <n v="0.17"/>
    <n v="0.18"/>
    <n v="0.2"/>
    <n v="0.90239999999999998"/>
    <n v="6.85"/>
    <n v="299588.64329837199"/>
    <n v="5670"/>
    <n v="2.7185279267432998"/>
  </r>
  <r>
    <s v="3927Swedish First Hill431021076208 EEG"/>
    <m/>
    <x v="1"/>
    <s v="SHS"/>
    <s v="WA"/>
    <n v="3927"/>
    <x v="26"/>
    <n v="4310"/>
    <s v="Neurodiagnostic Laboratory (EEG)"/>
    <s v="Neurodiagnostic Services"/>
    <s v="21076208 EEG"/>
    <s v="APC Relative Weight"/>
    <n v="12217.95"/>
    <n v="13799.14"/>
    <n v="0.5"/>
    <n v="0.37"/>
    <n v="0.33"/>
    <n v="9.0899999999999995E-2"/>
    <n v="23"/>
    <n v="0.56999999999999995"/>
    <n v="0.66"/>
    <n v="0.72"/>
    <n v="0.99650000000000005"/>
    <n v="2.21"/>
    <n v="-222524.850348073"/>
    <n v="-4530"/>
    <n v="-2.1719438899647798"/>
  </r>
  <r>
    <s v="3927Swedish First Hill482121077900 IP OCCUPATIONAL THERAPY FH"/>
    <m/>
    <x v="1"/>
    <s v="SHS"/>
    <s v="WA"/>
    <n v="3927"/>
    <x v="26"/>
    <n v="4821"/>
    <s v="Occupational Therapy: Inpatient"/>
    <s v="Rehabilitation Services"/>
    <s v="21077900 IP OCCUPATIONAL THERAPY FH"/>
    <s v="1000 Baseline Billed Time Units (BTUs)"/>
    <n v="911.65"/>
    <n v="1102.96"/>
    <n v="0.5"/>
    <n v="24.84"/>
    <n v="22.85"/>
    <n v="0.28570000000000001"/>
    <n v="23"/>
    <n v="22.48"/>
    <n v="23.45"/>
    <n v="25.64"/>
    <n v="0.90039999999999998"/>
    <n v="13.46"/>
    <n v="-26571.4023291628"/>
    <n v="-652"/>
    <n v="-0.31257931657784299"/>
  </r>
  <r>
    <s v="3931Swedish Issaquah487122577708 IP REHAB SERVICES"/>
    <m/>
    <x v="1"/>
    <s v="SHS"/>
    <s v="WA"/>
    <n v="3931"/>
    <x v="28"/>
    <n v="4871"/>
    <s v="PT/OT/SLP Combined: Inpatient"/>
    <s v="Rehabilitation Services"/>
    <s v="22577708 IP REHAB SERVICES"/>
    <s v="1000 Baseline Billed Time Units (BTUs)"/>
    <n v="399.84"/>
    <n v="441.72"/>
    <n v="0.59089999999999998"/>
    <n v="23.16"/>
    <n v="22.08"/>
    <n v="0.13639999999999999"/>
    <n v="23"/>
    <n v="24.83"/>
    <n v="27.28"/>
    <n v="29.43"/>
    <n v="0.94269999999999998"/>
    <n v="4.97"/>
    <n v="-119048.281118035"/>
    <n v="-2417"/>
    <n v="-1.1586677983752101"/>
  </r>
  <r>
    <s v="3931Swedish Issaquah201022570100 EMERGENCY SERVICES"/>
    <m/>
    <x v="1"/>
    <s v="SHS"/>
    <s v="WA"/>
    <n v="3931"/>
    <x v="28"/>
    <n v="2010"/>
    <s v="Emergency Department"/>
    <s v="Emergency Services"/>
    <s v="22570100 EMERGENCY SERVICES"/>
    <s v="Patient Visits"/>
    <n v="25478"/>
    <n v="27962"/>
    <n v="0.54549999999999998"/>
    <n v="2.69"/>
    <n v="2.52"/>
    <n v="0.33329999999999999"/>
    <n v="23"/>
    <n v="2.44"/>
    <n v="2.52"/>
    <n v="2.58"/>
    <n v="0.90439999999999998"/>
    <n v="37.43"/>
    <n v="7245.7260505553604"/>
    <n v="155"/>
    <n v="7.4343146928114806E-2"/>
  </r>
  <r>
    <s v="4001Swedish Mill Creek201023570100, MILL CREEK EMERGENCY SERVICES"/>
    <m/>
    <x v="1"/>
    <s v="SHS"/>
    <s v="WA"/>
    <n v="4001"/>
    <x v="33"/>
    <n v="2010"/>
    <s v="Emergency Department"/>
    <s v="Emergency Services"/>
    <s v="23570100, MILL CREEK EMERGENCY SERVICES"/>
    <s v="Patient Visits"/>
    <n v="34520"/>
    <n v="41469"/>
    <n v="0.40910000000000002"/>
    <n v="1.87"/>
    <n v="1.8"/>
    <n v="0"/>
    <n v="23"/>
    <n v="2.42"/>
    <n v="2.54"/>
    <n v="2.68"/>
    <n v="0.83050000000000002"/>
    <n v="43.33"/>
    <n v="-1733260.2833690599"/>
    <n v="-36456"/>
    <n v="-17.4787115505179"/>
  </r>
  <r>
    <s v="3531Providence Medford Medical Center307159083800, STERILE PROCESSING"/>
    <m/>
    <x v="3"/>
    <s v="OR"/>
    <s v="OR"/>
    <n v="3531"/>
    <x v="29"/>
    <n v="3071"/>
    <s v="Central Sterile Services - Reprocessing Only"/>
    <s v="Surgical Services"/>
    <s v="59083800, STERILE PROCESSING"/>
    <s v="100 Items Processed"/>
    <n v="938.25"/>
    <n v="895.79"/>
    <n v="0.40910000000000002"/>
    <n v="17.850000000000001"/>
    <n v="19.559999999999999"/>
    <n v="0.2273"/>
    <n v="23"/>
    <n v="19.77"/>
    <n v="21.63"/>
    <n v="24.45"/>
    <n v="0.88539999999999996"/>
    <n v="9.52"/>
    <n v="-40367.892149282998"/>
    <n v="-2028"/>
    <n v="-0.97231621105214605"/>
  </r>
  <r>
    <s v="3525Providence Centralia Hospital582534087520 Quality Assurance"/>
    <m/>
    <x v="1"/>
    <s v="SWR"/>
    <s v="WA"/>
    <n v="3525"/>
    <x v="10"/>
    <n v="5825"/>
    <s v="Quality Management"/>
    <s v="Clinical Resource Management Services"/>
    <s v="34087520 Quality Assurance"/>
    <s v="Total Admissions And Registrations"/>
    <n v="85558"/>
    <n v="110974"/>
    <n v="0.56520000000000004"/>
    <n v="0.12"/>
    <n v="0.09"/>
    <n v="0.54549999999999998"/>
    <n v="24"/>
    <n v="0.06"/>
    <n v="7.0000000000000007E-2"/>
    <n v="0.08"/>
    <n v="0.88390000000000002"/>
    <n v="5.57"/>
    <n v="123352.80858384"/>
    <n v="2829"/>
    <n v="1.35629327609913"/>
  </r>
  <r>
    <s v="3523Providence Everett Medical Center124031661706 Ortho/Spine 10N"/>
    <m/>
    <x v="1"/>
    <s v="NWR"/>
    <s v="WA"/>
    <n v="3523"/>
    <x v="1"/>
    <n v="1240"/>
    <s v="Orthopedic Acute Care Unit"/>
    <s v="Nursing Services"/>
    <s v="31661706 Ortho/Spine 10N"/>
    <s v="Equivalent Patient Day"/>
    <n v="8540.75"/>
    <n v="9015.35"/>
    <n v="0.6522"/>
    <n v="10.41"/>
    <n v="10.29"/>
    <n v="0.13639999999999999"/>
    <n v="24"/>
    <n v="10.46"/>
    <n v="10.63"/>
    <n v="10.8"/>
    <n v="0.9012"/>
    <n v="49.5"/>
    <n v="-116167.952498549"/>
    <n v="-3097"/>
    <n v="-1.48504796287769"/>
  </r>
  <r>
    <s v="2687Providence Holy Cross Medical Center127272063800, 72065320 Maternity / Nursery"/>
    <m/>
    <x v="2"/>
    <s v="CA"/>
    <s v="CA"/>
    <n v="2687"/>
    <x v="4"/>
    <n v="1272"/>
    <s v="Mother/Baby Unit"/>
    <s v="Nursing Services"/>
    <s v="72063800, 72065320 Maternity / Nursery"/>
    <s v="Equivalent Patient Day"/>
    <n v="15033"/>
    <n v="15330"/>
    <m/>
    <n v="6.39"/>
    <n v="6.97"/>
    <n v="0.14330000000000001"/>
    <n v="24"/>
    <n v="7.47"/>
    <n v="7.7"/>
    <n v="8.51"/>
    <n v="0.91010000000000002"/>
    <n v="56.42"/>
    <n v="-529769.55619966798"/>
    <n v="-12026"/>
    <n v="-5.7659000545449599"/>
  </r>
  <r>
    <s v="4282Providence Kodiak Hospital500118984600, 84601 FACILITIES SUPPORT"/>
    <m/>
    <x v="0"/>
    <s v="AK"/>
    <s v="AK"/>
    <n v="4282"/>
    <x v="5"/>
    <n v="5001"/>
    <s v="Plant Operations / Plant Maintenance and Grounds"/>
    <s v="Facility Services"/>
    <s v="18984600, 84601 FACILITIES SUPPORT"/>
    <s v="1000 Gross Square Feet Maintained"/>
    <n v="197.65"/>
    <n v="197.65"/>
    <n v="0.39129999999999998"/>
    <n v="33.869999999999997"/>
    <n v="37.409999999999997"/>
    <n v="8.6999999999999994E-2"/>
    <n v="24"/>
    <n v="39.130000000000003"/>
    <n v="44.14"/>
    <n v="50.15"/>
    <n v="0.86429999999999996"/>
    <n v="4.1100000000000003"/>
    <n v="-58391.230994508398"/>
    <n v="-1522"/>
    <n v="-0.72963705602528495"/>
  </r>
  <r>
    <s v="4282Providence Kodiak Hospital481518977700, PHYSICAL THERAPY"/>
    <m/>
    <x v="0"/>
    <s v="AK"/>
    <s v="AK"/>
    <n v="4282"/>
    <x v="5"/>
    <n v="4815"/>
    <s v="Physical Therapy: Inpatient and Outpatient"/>
    <s v="Rehabilitation Services"/>
    <s v="18977700, PHYSICAL THERAPY"/>
    <s v="1000 Baseline Billed Time Units (BTUs)"/>
    <n v="221.69"/>
    <n v="332.18"/>
    <n v="0.39129999999999998"/>
    <n v="59.64"/>
    <n v="43.14"/>
    <n v="0.86960000000000004"/>
    <n v="24"/>
    <n v="26.68"/>
    <n v="27.14"/>
    <n v="28.38"/>
    <n v="0.92259999999999998"/>
    <n v="7.47"/>
    <n v="249117.94843545"/>
    <n v="5809"/>
    <n v="2.7849089792027901"/>
  </r>
  <r>
    <s v="3529Providence Milwaukie Hospital301155074200, SURGICAL SERVICES"/>
    <m/>
    <x v="3"/>
    <s v="OR"/>
    <s v="OR"/>
    <n v="3529"/>
    <x v="15"/>
    <n v="3011"/>
    <s v="Operating Room"/>
    <s v="Surgical Services"/>
    <s v="55074200, SURGICAL SERVICES"/>
    <s v="100 Operating Room Minutes"/>
    <n v="2278.1999999999998"/>
    <n v="2090.15"/>
    <n v="0.43480000000000002"/>
    <n v="10.79"/>
    <n v="11.79"/>
    <n v="0.40910000000000002"/>
    <n v="24"/>
    <n v="11.07"/>
    <n v="11.63"/>
    <n v="12.23"/>
    <n v="0.87250000000000005"/>
    <n v="13.58"/>
    <n v="16121.344916905282"/>
    <n v="383.29398280801905"/>
    <n v="0.18377234636238149"/>
  </r>
  <r>
    <s v="3530Providence Newberg Hospital342057076800, CTT SCANNER"/>
    <m/>
    <x v="3"/>
    <s v="OR"/>
    <s v="OR"/>
    <n v="3530"/>
    <x v="17"/>
    <n v="3420"/>
    <s v="Computerized Tomography"/>
    <s v="Imaging Services"/>
    <s v="57076800, CTT SCANNER"/>
    <s v="APC Relative Weight"/>
    <n v="24737.53"/>
    <n v="25951.05"/>
    <n v="0.69569999999999999"/>
    <n v="0.21"/>
    <n v="0.27"/>
    <n v="0.59089999999999998"/>
    <n v="24"/>
    <n v="0.2"/>
    <n v="0.22"/>
    <n v="0.26"/>
    <n v="0.87329999999999997"/>
    <n v="3.85"/>
    <n v="63585.2656892593"/>
    <n v="1492"/>
    <n v="0.71554301726498704"/>
  </r>
  <r>
    <s v="3527Providence Portland Medical Center431052204310, EEG (U,N)"/>
    <m/>
    <x v="3"/>
    <s v="OR"/>
    <s v="OR"/>
    <n v="3527"/>
    <x v="18"/>
    <n v="4310"/>
    <s v="Neurodiagnostic Laboratory (EEG)"/>
    <s v="Neurodiagnostic Services"/>
    <s v="52204310, EEG (U,N)"/>
    <s v="APC Relative Weight"/>
    <n v="4366.63"/>
    <n v="1"/>
    <m/>
    <n v="1.08"/>
    <n v="4734.8500000000004"/>
    <m/>
    <n v="24"/>
    <n v="0.81"/>
    <n v="1.06"/>
    <n v="1.32"/>
    <n v="0.88149999999999995"/>
    <n v="2.58"/>
    <n v="188272.19810817501"/>
    <n v="5380"/>
    <n v="2.5794234569948302"/>
  </r>
  <r>
    <s v="3527Providence Portland Medical Center449052204490, PHARMACY SUPPORT SVCS (U,N)"/>
    <m/>
    <x v="3"/>
    <s v="OR"/>
    <s v="OR"/>
    <n v="3527"/>
    <x v="18"/>
    <n v="4490"/>
    <s v="Pharmacy Administration and Support"/>
    <s v="Pharmacy Services"/>
    <s v="52204490, PHARMACY SUPPORT SVCS (U,N)"/>
    <s v="CMI Weighted Adjusted Discharges"/>
    <n v="64698.94"/>
    <n v="63161.84"/>
    <n v="0.53779999999999994"/>
    <n v="0.37"/>
    <n v="0.27947475881006634"/>
    <m/>
    <n v="24"/>
    <n v="0.14000000000000001"/>
    <n v="0.16"/>
    <n v="0.2"/>
    <n v="0.91759999999999997"/>
    <n v="17.38"/>
    <n v="334794.74539668707"/>
    <n v="8223.8945074106377"/>
    <n v="3.942990126773092"/>
  </r>
  <r>
    <s v="3854Providence Saint Mary Medical Center307032574700, CENTRAL PROCESSING AND DISTRIB"/>
    <m/>
    <x v="4"/>
    <s v="SER"/>
    <s v="WA"/>
    <n v="3854"/>
    <x v="8"/>
    <n v="3070"/>
    <s v="Sterile Processing"/>
    <s v="Surgical Services"/>
    <s v="32574700, CENTRAL PROCESSING AND DISTRIB"/>
    <s v="100 Items Processed"/>
    <n v="2500"/>
    <n v="2515"/>
    <n v="0.6522"/>
    <n v="8.32"/>
    <n v="7.3"/>
    <n v="8.6999999999999994E-2"/>
    <n v="24"/>
    <n v="10.52"/>
    <n v="11.06"/>
    <n v="14.92"/>
    <n v="0.87160000000000004"/>
    <n v="10.130000000000001"/>
    <n v="-194519.78584590199"/>
    <n v="-10786"/>
    <n v="-5.1711493307989498"/>
  </r>
  <r>
    <s v="2719Providence St Joseph Medical Center4199Respiratory &amp; Pulmonary Care Administration &amp; Support (U,N)"/>
    <m/>
    <x v="2"/>
    <s v="CA"/>
    <s v="CA"/>
    <n v="2719"/>
    <x v="6"/>
    <n v="4199"/>
    <s v="Respiratory and Pulmonary Care Administration and Support"/>
    <s v="Respiratory and Pulmonary Care Services"/>
    <s v="Respiratory &amp; Pulmonary Care Administration &amp; Support (U,N)"/>
    <s v="CMI Weighted Total Facility Discharges"/>
    <n v="24808.68"/>
    <n v="26958.720000000001"/>
    <n v="0.8538"/>
    <n v="0.06"/>
    <n v="0.31"/>
    <n v="0.93049999999999999"/>
    <n v="24"/>
    <n v="0.11"/>
    <n v="0.13"/>
    <n v="0.14000000000000001"/>
    <n v="0.85899999999999999"/>
    <n v="4.6100000000000003"/>
    <n v="258644.49781593701"/>
    <n v="5535"/>
    <n v="2.65387044257188"/>
  </r>
  <r>
    <s v="3855Providence St Joseph Medical Center Polson441046577100, PHARMACY"/>
    <m/>
    <x v="4"/>
    <s v="WMR"/>
    <s v="MT"/>
    <n v="3855"/>
    <x v="30"/>
    <n v="4410"/>
    <s v="Pharmacy Services"/>
    <s v="Pharmacy Services"/>
    <s v="46577100, PHARMACY"/>
    <s v="CMI Weighted Department Adjusted Discharges"/>
    <n v="2512.1799999999998"/>
    <n v="2999.93"/>
    <n v="0.52769999999999995"/>
    <n v="1.88"/>
    <n v="2.25"/>
    <n v="0.35620000000000002"/>
    <n v="24"/>
    <n v="2.08"/>
    <n v="2.2400000000000002"/>
    <n v="2.48"/>
    <n v="0.91339999999999999"/>
    <n v="3.56"/>
    <n v="2688.4029397716199"/>
    <n v="68"/>
    <n v="3.2668384384268098E-2"/>
  </r>
  <r>
    <s v="3855Providence St Joseph Medical Center Polson3350Clinical Operations &amp; Blood Bank Combined"/>
    <m/>
    <x v="4"/>
    <s v="WMR"/>
    <s v="MT"/>
    <n v="3855"/>
    <x v="30"/>
    <n v="3350"/>
    <s v="Laboratory Services: Clinical Operations and Blood Bank Combined"/>
    <s v="Laboratory Services"/>
    <s v="Clinical Operations &amp; Blood Bank Combined"/>
    <s v="100 Billed Tests"/>
    <n v="777.08"/>
    <n v="726.45"/>
    <n v="0.3478"/>
    <n v="22.55"/>
    <n v="26.62"/>
    <n v="0.56520000000000004"/>
    <n v="24"/>
    <n v="19.149999999999999"/>
    <n v="20.25"/>
    <n v="24.44"/>
    <n v="0.94179999999999997"/>
    <n v="9.8699999999999992"/>
    <n v="165895.159411125"/>
    <n v="4966"/>
    <n v="2.3810621159591001"/>
  </r>
  <r>
    <s v="3927Swedish First Hill303021074294 ORTHO PRE AND POST SURGERY CTR"/>
    <m/>
    <x v="1"/>
    <s v="SHS"/>
    <s v="WA"/>
    <n v="3927"/>
    <x v="26"/>
    <n v="3030"/>
    <s v="Surgery Pre Op and Post Recovery Only"/>
    <s v="Surgical Services"/>
    <s v="21074294 ORTHO PRE AND POST SURGERY CTR"/>
    <s v="100 Patient Observation Minutes"/>
    <n v="5883.39"/>
    <n v="7993.37"/>
    <n v="0.4783"/>
    <n v="2.4500000000000002"/>
    <n v="2.16"/>
    <n v="0.15"/>
    <n v="24"/>
    <n v="2.37"/>
    <n v="2.4900000000000002"/>
    <n v="2.91"/>
    <n v="0.87580000000000002"/>
    <n v="9.4600000000000009"/>
    <n v="-135793.42803912901"/>
    <n v="-2995"/>
    <n v="-1.4361351487263601"/>
  </r>
  <r>
    <s v="3848Providence St Patrick Hospital &amp; Health Science Ce139046063400, MENTAL HEALTH"/>
    <m/>
    <x v="4"/>
    <s v="WMR"/>
    <s v="MT"/>
    <n v="3848"/>
    <x v="21"/>
    <n v="1390"/>
    <s v="Behavioral Health Unit"/>
    <s v="Nursing Services"/>
    <s v="46063400, MENTAL HEALTH"/>
    <s v="Patient Days"/>
    <n v="8681"/>
    <n v="7494"/>
    <m/>
    <n v="8.83"/>
    <n v="10.82"/>
    <n v="0.66830000000000001"/>
    <n v="24"/>
    <n v="8.6"/>
    <n v="9.58"/>
    <n v="9.98"/>
    <n v="0.90449999999999997"/>
    <n v="43.1"/>
    <n v="315083.50828299799"/>
    <n v="10521"/>
    <n v="5.0443814314500903"/>
  </r>
  <r>
    <s v="3524Providence St Peter Hospital511133078700, Clinical Nutrition Services"/>
    <m/>
    <x v="1"/>
    <s v="SWR"/>
    <s v="WA"/>
    <n v="3524"/>
    <x v="2"/>
    <n v="5111"/>
    <s v="Clinical Nutrition Services"/>
    <s v="Food and Nutrition Services"/>
    <s v="33078700, Clinical Nutrition Services"/>
    <s v="Total Medical Nutritional Therapy Interventions"/>
    <n v="13807"/>
    <n v="15351"/>
    <n v="0.4783"/>
    <n v="0.62"/>
    <n v="0.76"/>
    <n v="0.95240000000000002"/>
    <n v="24"/>
    <n v="0.44"/>
    <n v="0.44"/>
    <n v="0.47"/>
    <n v="0.93679999999999997"/>
    <n v="5.95"/>
    <n v="159575.60416439199"/>
    <n v="5200"/>
    <n v="2.4930696859878698"/>
  </r>
  <r>
    <s v="3524Providence St Peter Hospital500133084500, 33084602 Plant Operation/Grounds Maintenance"/>
    <m/>
    <x v="1"/>
    <s v="SWR"/>
    <s v="WA"/>
    <n v="3524"/>
    <x v="2"/>
    <n v="5001"/>
    <s v="Plant Operations / Plant Maintenance and Grounds"/>
    <s v="Facility Services"/>
    <s v="33084500, 33084602 Plant Operation/Grounds Maintenance"/>
    <s v="1000 Gross Square Feet Maintained"/>
    <n v="1018.79"/>
    <n v="1018.79"/>
    <n v="0.52170000000000005"/>
    <n v="29.37"/>
    <n v="28.33"/>
    <n v="0.2"/>
    <n v="24"/>
    <n v="28.57"/>
    <n v="29.9"/>
    <n v="30.66"/>
    <n v="0.8911"/>
    <n v="15.57"/>
    <n v="-60709.550174207099"/>
    <n v="-1710"/>
    <n v="-0.81994804853095005"/>
  </r>
  <r>
    <s v="3535Providence St Vincent Medical Center342053076800, CTT SCANNER"/>
    <m/>
    <x v="3"/>
    <s v="OR"/>
    <s v="OR"/>
    <n v="3535"/>
    <x v="22"/>
    <n v="3420"/>
    <s v="Computerized Tomography"/>
    <s v="Imaging Services"/>
    <s v="53076800, CTT SCANNER"/>
    <s v="APC Relative Weight"/>
    <n v="114024.71"/>
    <n v="115496.53"/>
    <n v="0.69569999999999999"/>
    <n v="0.28999999999999998"/>
    <n v="0.28000000000000003"/>
    <n v="0.81820000000000004"/>
    <n v="24"/>
    <n v="0.22"/>
    <n v="0.23"/>
    <n v="0.26"/>
    <n v="0.88229999999999997"/>
    <n v="17.88"/>
    <n v="306414.42124018498"/>
    <n v="7184"/>
    <n v="3.4446056667860598"/>
  </r>
  <r>
    <s v="4283Providence St. John's Health Center486173578000, SJHC SPEECH LANGUAGE THERAPY (U)"/>
    <m/>
    <x v="2"/>
    <s v="CA"/>
    <s v="CA"/>
    <n v="4283"/>
    <x v="23"/>
    <n v="4861"/>
    <s v="Speech Language Pathology: Inpatient and Outpatient"/>
    <s v="Rehabilitation Services"/>
    <s v="73578000, SJHC SPEECH LANGUAGE THERAPY (U)"/>
    <s v="1000 Baseline Billed Time Units (BTUs)"/>
    <n v="12.59"/>
    <n v="12.33"/>
    <n v="0.57969999999999999"/>
    <n v="31.72"/>
    <n v="32.24"/>
    <n v="0.2465"/>
    <n v="24"/>
    <n v="32.36"/>
    <n v="32.909999999999997"/>
    <n v="39.28"/>
    <n v="0.82469999999999999"/>
    <n v="0.93"/>
    <n v="-102.21361662766699"/>
    <n v="-7.1085804838122773"/>
    <n v="-1.3632987455170499E-2"/>
  </r>
  <r>
    <s v="3755Providence Tarzana Medical Center121072561710, MED SURG 2"/>
    <m/>
    <x v="2"/>
    <s v="CA"/>
    <s v="CA"/>
    <n v="3755"/>
    <x v="3"/>
    <n v="1210"/>
    <s v="Medical/Surgical Acute Care Unit"/>
    <s v="Nursing Services"/>
    <s v="72561710, MED SURG 2"/>
    <s v="Equivalent Patient Day"/>
    <n v="6030.12"/>
    <n v="5072"/>
    <n v="0.39129999999999998"/>
    <n v="10.75"/>
    <n v="10.8"/>
    <n v="0.36359999999999998"/>
    <n v="24"/>
    <n v="10.38"/>
    <n v="10.79"/>
    <n v="11.2"/>
    <n v="0.84730000000000005"/>
    <n v="31.09"/>
    <n v="10467.759792332899"/>
    <n v="255"/>
    <n v="0.12210812189252"/>
  </r>
  <r>
    <s v="3755Providence Tarzana Medical Center121072561790, MED SURG 4"/>
    <m/>
    <x v="2"/>
    <s v="CA"/>
    <s v="CA"/>
    <n v="3755"/>
    <x v="3"/>
    <n v="1210"/>
    <s v="Medical/Surgical Acute Care Unit"/>
    <s v="Nursing Services"/>
    <s v="72561790, MED SURG 4"/>
    <s v="Equivalent Patient Day"/>
    <n v="9812.4599999999991"/>
    <n v="8274"/>
    <n v="0.69569999999999999"/>
    <n v="9.77"/>
    <n v="10.37"/>
    <n v="0.47620000000000001"/>
    <n v="24"/>
    <n v="9.6999999999999993"/>
    <n v="10.119999999999999"/>
    <n v="10.44"/>
    <n v="0.85980000000000001"/>
    <n v="47.96"/>
    <n v="101744.614380809"/>
    <n v="2644"/>
    <n v="1.2675408889583899"/>
  </r>
  <r>
    <s v="3755Providence Tarzana Medical Center3099Surgical Services Administration (U,N)"/>
    <m/>
    <x v="2"/>
    <s v="CA"/>
    <s v="CA"/>
    <n v="3755"/>
    <x v="3"/>
    <n v="3099"/>
    <s v="Surgical Services Administration"/>
    <s v="Surgical Services"/>
    <s v="Surgical Services Administration (U,N)"/>
    <s v="Cases Supported"/>
    <n v="6503"/>
    <n v="7011"/>
    <n v="0.62609999999999999"/>
    <n v="0.01"/>
    <n v="3.24"/>
    <m/>
    <n v="24"/>
    <n v="1.1200000000000001"/>
    <n v="1.3"/>
    <n v="1.6"/>
    <n v="0.88009999999999999"/>
    <n v="12.42"/>
    <n v="758544.07274256798"/>
    <n v="15548"/>
    <n v="7.4547690105281204"/>
  </r>
  <r>
    <s v="3849Providence Willamette Falls Medical Center181053577150, IV THERAPY"/>
    <m/>
    <x v="3"/>
    <s v="OR"/>
    <s v="OR"/>
    <n v="3849"/>
    <x v="7"/>
    <n v="1810"/>
    <s v="IV Team (Vascular Access)"/>
    <s v="Nursing Services"/>
    <s v="53577150, IV THERAPY"/>
    <s v="100 Procedures"/>
    <n v="245.73"/>
    <n v="11.86"/>
    <n v="0.56520000000000004"/>
    <n v="28.34"/>
    <n v="565.24"/>
    <n v="0.30430000000000001"/>
    <n v="24"/>
    <n v="507.07"/>
    <n v="612.88"/>
    <n v="952.16"/>
    <n v="0.88680000000000003"/>
    <n v="3.63"/>
    <n v="-32053.322925591401"/>
    <n v="-626"/>
    <n v="-0.29991007411791298"/>
  </r>
  <r>
    <s v="3849Providence Willamette Falls Medical Center121053561700, MEDICAL SURGICAL"/>
    <m/>
    <x v="3"/>
    <s v="OR"/>
    <s v="OR"/>
    <n v="3849"/>
    <x v="7"/>
    <n v="1210"/>
    <s v="Medical/Surgical Acute Care Unit"/>
    <s v="Nursing Services"/>
    <s v="53561700, MEDICAL SURGICAL"/>
    <s v="Equivalent Patient Day"/>
    <n v="9917.25"/>
    <n v="10406"/>
    <n v="0.69569999999999999"/>
    <n v="11.53"/>
    <n v="11.62"/>
    <n v="0.81820000000000004"/>
    <n v="24"/>
    <n v="9.5399999999999991"/>
    <n v="9.69"/>
    <n v="10.17"/>
    <n v="0.90210000000000001"/>
    <n v="64.430000000000007"/>
    <n v="933671.93286217598"/>
    <n v="22605"/>
    <n v="10.8378630420438"/>
  </r>
  <r>
    <s v="3930Swedish Ballard521121584400 ENVIRONMENTAL SERVICES"/>
    <m/>
    <x v="1"/>
    <s v="SHS"/>
    <s v="WA"/>
    <n v="3930"/>
    <x v="24"/>
    <n v="5211"/>
    <s v="Environmental Services"/>
    <s v="Environmental Services"/>
    <s v="21584400 ENVIRONMENTAL SERVICES"/>
    <s v="1000 Net Sq Ft Cleaned"/>
    <n v="216.16"/>
    <n v="202.85"/>
    <n v="0.4783"/>
    <n v="169.82"/>
    <n v="174.92"/>
    <n v="0.52170000000000005"/>
    <n v="24"/>
    <n v="138.97"/>
    <n v="170.86"/>
    <n v="174.36"/>
    <n v="0.8952"/>
    <n v="19.05"/>
    <n v="22401.800536702998"/>
    <n v="1016"/>
    <n v="0.48719940581815302"/>
  </r>
  <r>
    <s v="3930Swedish Ballard121021561700 ACUTE CARE"/>
    <m/>
    <x v="1"/>
    <s v="SHS"/>
    <s v="WA"/>
    <n v="3930"/>
    <x v="24"/>
    <n v="1210"/>
    <s v="Medical/Surgical Acute Care Unit"/>
    <s v="Nursing Services"/>
    <s v="21561700 ACUTE CARE"/>
    <s v="Equivalent Patient Day"/>
    <n v="5384.04"/>
    <n v="5711"/>
    <n v="0.43480000000000002"/>
    <n v="10.5"/>
    <n v="10.97"/>
    <n v="0.5"/>
    <n v="24"/>
    <n v="9.36"/>
    <n v="9.9700000000000006"/>
    <n v="10.97"/>
    <n v="0.89149999999999996"/>
    <n v="33.78"/>
    <n v="263126.95305291098"/>
    <n v="6587"/>
    <n v="3.1579592686689901"/>
  </r>
  <r>
    <s v="3928Swedish Cherry Hill591022084200 SECURITY"/>
    <m/>
    <x v="1"/>
    <s v="SHS"/>
    <s v="WA"/>
    <n v="3928"/>
    <x v="25"/>
    <n v="5910"/>
    <s v="Security"/>
    <s v="Other Support Services"/>
    <s v="22084200 SECURITY"/>
    <s v="1000 Gross Square Feet Patrolled"/>
    <n v="802.75"/>
    <n v="803.75"/>
    <n v="0.59660000000000002"/>
    <n v="26.78"/>
    <n v="25.6"/>
    <n v="0.41930000000000001"/>
    <n v="24"/>
    <n v="17.37"/>
    <n v="20.36"/>
    <n v="31.88"/>
    <n v="0.89170000000000005"/>
    <n v="11.09"/>
    <n v="117811.25438732"/>
    <n v="4779"/>
    <n v="2.2911046625195501"/>
  </r>
  <r>
    <s v="3524Providence St Peter Hospital303033074271, SHORT STAY RECOVERY"/>
    <m/>
    <x v="1"/>
    <s v="SWR"/>
    <s v="WA"/>
    <n v="3524"/>
    <x v="2"/>
    <n v="3030"/>
    <s v="Surgery Pre Op and Post Recovery Only"/>
    <s v="Surgical Services"/>
    <s v="33074271, SHORT STAY RECOVERY"/>
    <s v="100 Patient Observation Minutes"/>
    <n v="23886.66"/>
    <n v="5498.53"/>
    <n v="0.4783"/>
    <n v="2.16"/>
    <n v="9.7899999999999991"/>
    <n v="1"/>
    <n v="24"/>
    <n v="2.39"/>
    <n v="2.73"/>
    <n v="3.31"/>
    <n v="0.83819999999999995"/>
    <n v="30.87"/>
    <n v="2234125.7689831299"/>
    <n v="46477"/>
    <n v="22.283627047376399"/>
  </r>
  <r>
    <s v="3929Swedish Edmonds441023077100 PHARMACY"/>
    <m/>
    <x v="1"/>
    <s v="SHS"/>
    <s v="WA"/>
    <n v="3929"/>
    <x v="31"/>
    <n v="4410"/>
    <s v="Pharmacy Services"/>
    <s v="Pharmacy Services"/>
    <s v="23077100 PHARMACY"/>
    <s v="CMI Weighted Department Adjusted Discharges"/>
    <n v="19859.39"/>
    <n v="24857.82"/>
    <n v="0.60870000000000002"/>
    <n v="1.83"/>
    <n v="1.43"/>
    <n v="0.1905"/>
    <n v="24"/>
    <n v="1.48"/>
    <n v="1.63"/>
    <n v="1.83"/>
    <n v="0.91190000000000004"/>
    <n v="18.68"/>
    <n v="-262969.376760363"/>
    <n v="-5472"/>
    <n v="-2.6235307035412201"/>
  </r>
  <r>
    <s v="3929Swedish Edmonds4899Rehabilitation Services Administration (N)"/>
    <m/>
    <x v="1"/>
    <s v="SHS"/>
    <s v="WA"/>
    <n v="3929"/>
    <x v="31"/>
    <n v="4899"/>
    <s v="Rehabilitation Services Administration"/>
    <s v="Rehabilitation Services"/>
    <s v="Rehabilitation Services Administration (N)"/>
    <s v="1000 Baseline Billed Time Units (BTUs) Supported"/>
    <n v="1083.29"/>
    <n v="1171.55"/>
    <n v="0.56520000000000004"/>
    <n v="3.55"/>
    <n v="3.17"/>
    <n v="0.26090000000000002"/>
    <n v="24"/>
    <n v="3.13"/>
    <n v="3.56"/>
    <n v="4.6900000000000004"/>
    <n v="0.86060000000000003"/>
    <n v="2.0699999999999998"/>
    <n v="-19172.003551608999"/>
    <n v="-529"/>
    <n v="-0.25358007373807001"/>
  </r>
  <r>
    <s v="3927Swedish First Hill2267Oncology / Hematology Clinic Edmonds (N)"/>
    <m/>
    <x v="1"/>
    <s v="SHS"/>
    <s v="WA"/>
    <n v="3927"/>
    <x v="26"/>
    <n v="2267"/>
    <s v="Oncology / Hematology Clinic"/>
    <s v="Ambulatory Care Clinics"/>
    <s v="Oncology / Hematology Clinic Edmonds (N)"/>
    <s v="Patient Visits"/>
    <n v="21208"/>
    <n v="32276"/>
    <n v="0.86960000000000004"/>
    <n v="1.66"/>
    <n v="1.1499999999999999"/>
    <n v="9.0899999999999995E-2"/>
    <n v="24"/>
    <n v="1.35"/>
    <n v="1.46"/>
    <n v="1.98"/>
    <n v="0.87939999999999996"/>
    <n v="20.260000000000002"/>
    <n v="-553184.62190198305"/>
    <n v="-11329"/>
    <n v="-5.4317838856096499"/>
  </r>
  <r>
    <s v="3927Swedish First Hill224221070780 SCI HEAD AND NECK SURG"/>
    <m/>
    <x v="1"/>
    <s v="SHS"/>
    <s v="WA"/>
    <n v="3927"/>
    <x v="26"/>
    <n v="2242"/>
    <s v="General Surgery Clinic"/>
    <s v="Ambulatory Care Clinics"/>
    <s v="21070780 SCI HEAD AND NECK SURG"/>
    <s v="Patient Visits"/>
    <n v="2760"/>
    <n v="3521"/>
    <n v="0.43480000000000002"/>
    <n v="0.63"/>
    <n v="2.0099999999999998"/>
    <n v="0.61899999999999999"/>
    <n v="24"/>
    <n v="1.46"/>
    <n v="1.67"/>
    <n v="1.92"/>
    <n v="0.92579999999999996"/>
    <n v="3.68"/>
    <n v="47847.764827969397"/>
    <n v="1324"/>
    <n v="0.63481642510621195"/>
  </r>
  <r>
    <s v="3927Swedish First Hill121121061791 MEDICAL RESPIRATORY"/>
    <m/>
    <x v="1"/>
    <s v="SHS"/>
    <s v="WA"/>
    <n v="3927"/>
    <x v="26"/>
    <n v="1211"/>
    <s v="General Medical Acute Care Unit"/>
    <s v="Nursing Services"/>
    <s v="21061791 MEDICAL RESPIRATORY"/>
    <s v="Equivalent Patient Day"/>
    <n v="8287.17"/>
    <n v="8510"/>
    <n v="0.4783"/>
    <n v="9.59"/>
    <n v="10.53"/>
    <n v="0.43480000000000002"/>
    <n v="24"/>
    <n v="10.039999999999999"/>
    <n v="10.23"/>
    <n v="10.74"/>
    <n v="0.89539999999999997"/>
    <n v="48.11"/>
    <n v="131046.053821685"/>
    <n v="3116"/>
    <n v="1.4938650202460899"/>
  </r>
  <r>
    <s v="3927Swedish First Hill346021076500 NUCLEAR MEDICINE"/>
    <m/>
    <x v="1"/>
    <s v="SHS"/>
    <s v="WA"/>
    <n v="3927"/>
    <x v="26"/>
    <n v="3460"/>
    <s v="Nuclear Medicine"/>
    <s v="Imaging Services"/>
    <s v="21076500 NUCLEAR MEDICINE"/>
    <s v="APC Relative Weight"/>
    <n v="19413.509999999998"/>
    <n v="20392.88"/>
    <n v="0.52170000000000005"/>
    <n v="0.48"/>
    <n v="0.53"/>
    <n v="0.86960000000000004"/>
    <n v="24"/>
    <n v="0.28000000000000003"/>
    <n v="0.33"/>
    <n v="0.36"/>
    <n v="0.8921"/>
    <n v="5.87"/>
    <n v="254085.26776739099"/>
    <n v="4699"/>
    <n v="2.2531781054798201"/>
  </r>
  <r>
    <s v="3927Swedish First Hill522121083500 LINEN FH"/>
    <m/>
    <x v="1"/>
    <s v="SHS"/>
    <s v="WA"/>
    <n v="3927"/>
    <x v="26"/>
    <n v="5221"/>
    <s v="Laundry and Linen Distribution Only"/>
    <s v="Environmental Services"/>
    <s v="21083500 LINEN FH"/>
    <s v="100 Lbs Clean Laundry Distributed"/>
    <n v="39586.18"/>
    <n v="39030.06"/>
    <n v="0.52170000000000005"/>
    <n v="0.5"/>
    <n v="0.56000000000000005"/>
    <n v="0.68179999999999996"/>
    <n v="24"/>
    <n v="0.31"/>
    <n v="0.39"/>
    <n v="0.46"/>
    <n v="0.89510000000000001"/>
    <n v="11.69"/>
    <n v="161448.72895041699"/>
    <n v="7376"/>
    <n v="3.536568485219"/>
  </r>
  <r>
    <s v="3931Swedish Issaquah487222577709 OP REHAB SERVICES"/>
    <m/>
    <x v="1"/>
    <s v="SHS"/>
    <s v="WA"/>
    <n v="3931"/>
    <x v="28"/>
    <n v="4872"/>
    <s v="PT/OT/SLP Combined: Outpatient"/>
    <s v="Rehabilitation Services"/>
    <s v="22577709 OP REHAB SERVICES"/>
    <s v="1000 Baseline Billed Time Units (BTUs)"/>
    <n v="678.31"/>
    <n v="773.4"/>
    <n v="0.56520000000000004"/>
    <n v="20.14"/>
    <n v="19.09"/>
    <n v="4.7600000000000003E-2"/>
    <n v="24"/>
    <n v="22.56"/>
    <n v="22.91"/>
    <n v="25.15"/>
    <n v="0.87490000000000001"/>
    <n v="8.11"/>
    <n v="-148786.53696798801"/>
    <n v="-3337"/>
    <n v="-1.59999484304655"/>
  </r>
  <r>
    <s v="3931Swedish Issaquah591022584200 SECURITY"/>
    <m/>
    <x v="1"/>
    <s v="SHS"/>
    <s v="WA"/>
    <n v="3931"/>
    <x v="28"/>
    <n v="5910"/>
    <s v="Security"/>
    <s v="Other Support Services"/>
    <s v="22584200 SECURITY"/>
    <s v="1000 Gross Square Feet Patrolled"/>
    <n v="1221"/>
    <n v="1221"/>
    <n v="0.56520000000000004"/>
    <n v="16.39"/>
    <n v="17.22"/>
    <n v="0.43480000000000002"/>
    <n v="24"/>
    <n v="14.94"/>
    <n v="15.59"/>
    <n v="18.579999999999998"/>
    <n v="0.89829999999999999"/>
    <n v="11.25"/>
    <n v="53911.461079935201"/>
    <n v="2274"/>
    <n v="1.0901209390998801"/>
  </r>
  <r>
    <s v="2947Providence Alaska Medical Center1110Progressive Care Unit"/>
    <m/>
    <x v="0"/>
    <s v="AK"/>
    <s v="AK"/>
    <n v="2947"/>
    <x v="0"/>
    <n v="1110"/>
    <s v="Medical/Surgical Intermediate Care Unit"/>
    <s v="Nursing Services"/>
    <s v="Progressive Care Unit"/>
    <s v="Equivalent Patient Day"/>
    <n v="12646"/>
    <n v="11056"/>
    <n v="0.54169999999999996"/>
    <n v="12.15"/>
    <n v="12.224734985528221"/>
    <n v="0.91669999999999996"/>
    <n v="25"/>
    <n v="10.45"/>
    <n v="10.88"/>
    <n v="11.15"/>
    <n v="0.879"/>
    <n v="73.92"/>
    <n v="634612.59704209317"/>
    <n v="16913.981797497152"/>
    <n v="8.1094599908410814"/>
  </r>
  <r>
    <s v="2947Providence Alaska Medical Center4490Pharmacy Administration"/>
    <m/>
    <x v="0"/>
    <s v="AK"/>
    <s v="AK"/>
    <n v="2947"/>
    <x v="0"/>
    <n v="4490"/>
    <s v="Pharmacy Services"/>
    <s v="Pharmacy Services"/>
    <s v="Pharmacy Administration"/>
    <s v="CMI Weighted Department Adjusted Discharges"/>
    <m/>
    <n v="47664"/>
    <m/>
    <m/>
    <n v="0.88"/>
    <m/>
    <n v="25"/>
    <n v="0.34"/>
    <n v="0.37"/>
    <n v="0.41"/>
    <n v="0.96970000000000001"/>
    <n v="20.82"/>
    <n v="830008.32257399184"/>
    <n v="25068.206661854179"/>
    <n v="12.019027890672326"/>
  </r>
  <r>
    <s v="3525Providence Centralia Hospital345034076700, ULTRASOUND"/>
    <m/>
    <x v="1"/>
    <s v="SWR"/>
    <s v="WA"/>
    <n v="3525"/>
    <x v="10"/>
    <n v="3450"/>
    <s v="Ultrasound"/>
    <s v="Imaging Services"/>
    <s v="34076700, ULTRASOUND"/>
    <s v="APC Relative Weight"/>
    <n v="20823.03"/>
    <n v="21983.55"/>
    <n v="0.54169999999999996"/>
    <n v="0.37"/>
    <n v="0.41"/>
    <n v="0.375"/>
    <n v="25"/>
    <n v="0.37"/>
    <n v="0.4"/>
    <n v="0.43"/>
    <n v="0.81669999999999998"/>
    <n v="5.29"/>
    <n v="12547.948386767401"/>
    <n v="266"/>
    <n v="0.127697851425426"/>
  </r>
  <r>
    <s v="3525Providence Centralia Hospital341134076300,34076800 DIAGNOSTIC IMAGING_CT"/>
    <m/>
    <x v="1"/>
    <s v="SWR"/>
    <s v="WA"/>
    <n v="3525"/>
    <x v="10"/>
    <n v="3411"/>
    <s v="Diagnostic Radiology Without Interventional Procedures"/>
    <s v="Imaging Services"/>
    <s v="34076300,34076800 DIAGNOSTIC IMAGING_CT"/>
    <s v="APC Relative Weight"/>
    <n v="61777.43"/>
    <n v="63884.44"/>
    <n v="0.54169999999999996"/>
    <n v="0.62"/>
    <n v="0.7"/>
    <n v="0.5"/>
    <n v="25"/>
    <n v="0.62"/>
    <n v="0.64"/>
    <n v="0.7"/>
    <n v="0.90769999999999995"/>
    <n v="23.73"/>
    <n v="145766.66876387299"/>
    <n v="4450"/>
    <n v="2.1336235266394699"/>
  </r>
  <r>
    <s v="3525Providence Centralia Hospital335034075000-34075091-34075097 Laboratory Services Combined"/>
    <m/>
    <x v="1"/>
    <s v="SWR"/>
    <s v="WA"/>
    <n v="3525"/>
    <x v="10"/>
    <n v="3350"/>
    <s v="Laboratory Services: Clinical Operations and Blood Bank Combined"/>
    <s v="Laboratory Services"/>
    <s v="34075000-34075091-34075097 Laboratory Services Combined"/>
    <s v="100 Billed Tests"/>
    <n v="3398.69"/>
    <n v="2691.25"/>
    <n v="0.5"/>
    <n v="18.72"/>
    <n v="22.48"/>
    <n v="0.90910000000000002"/>
    <n v="25"/>
    <n v="14.99"/>
    <n v="16.43"/>
    <n v="17.73"/>
    <n v="0.9"/>
    <n v="32.32"/>
    <n v="524793.04422557703"/>
    <n v="18280"/>
    <n v="8.7642326850031704"/>
  </r>
  <r>
    <s v="3523Providence Everett Medical Center191031687200, Nursing Mgmt Admin"/>
    <m/>
    <x v="1"/>
    <s v="NWR"/>
    <s v="WA"/>
    <n v="3523"/>
    <x v="1"/>
    <n v="1910"/>
    <s v="Nursing Administration"/>
    <s v="Nursing Services"/>
    <s v="31687200, Nursing Mgmt Admin"/>
    <s v="Nursing Division Employees"/>
    <n v="1570"/>
    <n v="1570"/>
    <n v="0.875"/>
    <n v="44.55"/>
    <n v="49.85"/>
    <n v="0.42859999999999998"/>
    <n v="25"/>
    <n v="42.87"/>
    <n v="47.03"/>
    <n v="51.56"/>
    <n v="0.89859999999999995"/>
    <n v="29.63"/>
    <n v="-902401.15606517904"/>
    <n v="-20370"/>
    <n v="-9.7663852567600795"/>
  </r>
  <r>
    <s v="3523Providence Everett Medical Center345031676700, Ultrasound"/>
    <m/>
    <x v="1"/>
    <s v="NWR"/>
    <s v="WA"/>
    <n v="3523"/>
    <x v="1"/>
    <n v="3450"/>
    <s v="Ultrasound"/>
    <s v="Imaging Services"/>
    <s v="31676700, Ultrasound"/>
    <s v="APC Relative Weight"/>
    <n v="69834.8"/>
    <n v="76416.69"/>
    <n v="1"/>
    <n v="0.43"/>
    <n v="0.48"/>
    <n v="0.66669999999999996"/>
    <n v="25"/>
    <n v="0.4"/>
    <n v="0.43"/>
    <n v="0.47"/>
    <n v="0.89270000000000005"/>
    <n v="19.66"/>
    <n v="193199.44290964599"/>
    <n v="4196"/>
    <n v="2.0118453060846901"/>
  </r>
  <r>
    <s v="3523Providence Everett Medical Center339903399 Laboratory Services - Administration And Support (U,N)"/>
    <m/>
    <x v="1"/>
    <s v="NWR"/>
    <s v="WA"/>
    <n v="3523"/>
    <x v="1"/>
    <n v="3399"/>
    <s v="Laboratory Services Administration"/>
    <s v="Laboratory Services"/>
    <s v="03399 Laboratory Services - Administration And Support (U,N)"/>
    <s v="100 Billed Tests Supported"/>
    <n v="19487.990000000002"/>
    <n v="20451.23"/>
    <n v="0.67149999999999999"/>
    <n v="2.38"/>
    <n v="1.82"/>
    <n v="0.61019999999999996"/>
    <n v="25"/>
    <n v="1.07"/>
    <n v="1.22"/>
    <n v="1.53"/>
    <n v="0.91059999999999997"/>
    <n v="19.63"/>
    <n v="272385.44771758298"/>
    <n v="13542"/>
    <n v="6.49289181112922"/>
  </r>
  <r>
    <s v="2687Providence Holy Cross Medical Center621072087440 Clinical Staff Education"/>
    <m/>
    <x v="2"/>
    <s v="CA"/>
    <s v="CA"/>
    <n v="2687"/>
    <x v="4"/>
    <n v="6210"/>
    <s v="Clinical Staff Education"/>
    <s v="Educational Services"/>
    <s v="72087440 Clinical Staff Education"/>
    <s v="Adjusted Discharges"/>
    <n v="22822.799999999999"/>
    <n v="25655.98"/>
    <n v="0.54169999999999996"/>
    <n v="0.86"/>
    <n v="0.62"/>
    <n v="0.6522"/>
    <n v="25"/>
    <n v="0.37"/>
    <n v="0.39"/>
    <n v="0.53"/>
    <n v="0.89080000000000004"/>
    <n v="8.5500000000000007"/>
    <n v="378667.86426629598"/>
    <n v="6600"/>
    <n v="3.16456032018574"/>
  </r>
  <r>
    <s v="3851Providence Holy Family Hospital335036575000, CLINICAL LABORATORY SERVICES"/>
    <m/>
    <x v="4"/>
    <s v="PHC"/>
    <s v="WA"/>
    <n v="3851"/>
    <x v="11"/>
    <n v="3350"/>
    <s v="Laboratory Services: Clinical Operations and Blood Bank Combined"/>
    <s v="Laboratory Services"/>
    <s v="36575000, CLINICAL LABORATORY SERVICES"/>
    <s v="100 Billed Tests"/>
    <n v="3684.73"/>
    <n v="3830.62"/>
    <n v="0.58330000000000004"/>
    <n v="14.65"/>
    <n v="14.12"/>
    <n v="0.2727"/>
    <n v="25"/>
    <n v="14.09"/>
    <n v="14.49"/>
    <n v="14.86"/>
    <n v="0.85070000000000001"/>
    <n v="30.57"/>
    <n v="-42819.0761207162"/>
    <n v="-1487"/>
    <n v="-0.71305680975400398"/>
  </r>
  <r>
    <s v="3532Providence Little Company of Mary Hospital582576287520 05825 PI-RISK (87541)"/>
    <m/>
    <x v="2"/>
    <s v="CA"/>
    <s v="CA"/>
    <n v="3532"/>
    <x v="13"/>
    <n v="5825"/>
    <s v="Quality Management"/>
    <s v="Clinical Resource Management Services"/>
    <s v="76287520 05825 PI-RISK (87541)"/>
    <s v="Total Admissions And Registrations"/>
    <n v="134226"/>
    <n v="220035"/>
    <n v="0.41670000000000001"/>
    <n v="0.04"/>
    <n v="0.06"/>
    <n v="0.5"/>
    <n v="25"/>
    <n v="0.05"/>
    <n v="0.06"/>
    <n v="0.06"/>
    <n v="0.90139999999999998"/>
    <n v="7.51"/>
    <n v="42321.009164497998"/>
    <n v="1017"/>
    <n v="0.48779306909702402"/>
  </r>
  <r>
    <s v="3527Providence Portland Medical Center121152261700, MEDICAL_SURGICAL - 5R"/>
    <m/>
    <x v="3"/>
    <s v="OR"/>
    <s v="OR"/>
    <n v="3527"/>
    <x v="18"/>
    <n v="1211"/>
    <s v="General Medical Acute Care Unit"/>
    <s v="Nursing Services"/>
    <s v="52261700, MEDICAL_SURGICAL - 5R"/>
    <s v="Equivalent Patient Day"/>
    <n v="8179.42"/>
    <n v="8702"/>
    <n v="0.53"/>
    <n v="9.9700000000000006"/>
    <n v="10.42"/>
    <n v="0.55449999999999999"/>
    <n v="25"/>
    <n v="9.94"/>
    <n v="10.06"/>
    <n v="10.210000000000001"/>
    <n v="0.89629999999999999"/>
    <n v="48.66"/>
    <n v="167316.99366666601"/>
    <n v="3820"/>
    <n v="1.83133013701076"/>
  </r>
  <r>
    <s v="3852Providence Sacred Heart Medical Center591034584200, SECURITY"/>
    <m/>
    <x v="4"/>
    <s v="PHC"/>
    <s v="WA"/>
    <n v="3852"/>
    <x v="9"/>
    <n v="5910"/>
    <s v="Security"/>
    <s v="Other Support Services"/>
    <s v="34584200, SECURITY"/>
    <s v="1000 Gross Square Feet Patrolled"/>
    <n v="5470.79"/>
    <n v="5484.79"/>
    <n v="0.66669999999999996"/>
    <n v="8.56"/>
    <n v="8.89"/>
    <n v="9.0899999999999995E-2"/>
    <n v="25"/>
    <n v="9.91"/>
    <n v="11.35"/>
    <n v="13.98"/>
    <n v="0.87150000000000005"/>
    <n v="26.91"/>
    <n v="-340929.32502488501"/>
    <n v="-15305"/>
    <n v="-7.3381118385830399"/>
  </r>
  <r>
    <s v="3854Providence Saint Mary Medical Center481232577700, OP PHYSICAL THERAPY"/>
    <m/>
    <x v="4"/>
    <s v="SER"/>
    <s v="WA"/>
    <n v="3854"/>
    <x v="8"/>
    <n v="4812"/>
    <s v="Physical Therapy: Outpatient"/>
    <s v="Rehabilitation Services"/>
    <s v="32577700, OP PHYSICAL THERAPY"/>
    <s v="1000 Baseline Billed Time Units (BTUs)"/>
    <n v="829.91"/>
    <n v="1101.07"/>
    <n v="0.29170000000000001"/>
    <n v="28.91"/>
    <n v="27.4"/>
    <n v="0.73909999999999998"/>
    <n v="25"/>
    <n v="22.06"/>
    <n v="22.22"/>
    <n v="22.77"/>
    <n v="0.88549999999999995"/>
    <n v="16.38"/>
    <n v="221738.03375049899"/>
    <n v="6534"/>
    <n v="3.1329682305745399"/>
  </r>
  <r>
    <s v="3533Providence San Pedro Peninsula Hospital342077276800 SPH CAT SCAN"/>
    <m/>
    <x v="2"/>
    <s v="CA"/>
    <s v="CA"/>
    <n v="3533"/>
    <x v="14"/>
    <n v="3420"/>
    <s v="Computerized Tomography"/>
    <s v="Imaging Services"/>
    <s v="77276800 SPH CAT SCAN"/>
    <s v="APC Relative Weight"/>
    <n v="23089.3"/>
    <n v="24265.38"/>
    <n v="0.54169999999999996"/>
    <n v="0.2"/>
    <n v="0.18"/>
    <m/>
    <n v="25"/>
    <n v="0.27"/>
    <n v="0.27"/>
    <n v="0.3"/>
    <n v="0.98770000000000002"/>
    <n v="2.11"/>
    <n v="-108738.22883569601"/>
    <n v="-2232"/>
    <n v="-1.0703430359505299"/>
  </r>
  <r>
    <s v="3533Providence San Pedro Peninsula Hospital621077287400 SPH EDUCATION SERVIC"/>
    <m/>
    <x v="2"/>
    <s v="CA"/>
    <s v="CA"/>
    <n v="3533"/>
    <x v="14"/>
    <n v="6210"/>
    <s v="Clinical Staff Education"/>
    <s v="Educational Services"/>
    <s v="77287400 SPH EDUCATION SERVIC"/>
    <s v="Adjusted Patient Days"/>
    <n v="90471.05"/>
    <n v="99297.74"/>
    <n v="0.45829999999999999"/>
    <n v="1.6"/>
    <n v="0.14000000000000001"/>
    <n v="0.68179999999999996"/>
    <n v="25"/>
    <n v="0.08"/>
    <n v="0.08"/>
    <n v="0.11"/>
    <n v="0.88280000000000003"/>
    <n v="7.79"/>
    <n v="322207.638917904"/>
    <n v="7249"/>
    <n v="3.4756518742782498"/>
  </r>
  <r>
    <s v="3533Providence San Pedro Peninsula Hospital489977278000 SPH REHAB SVC ADMIN"/>
    <m/>
    <x v="2"/>
    <s v="CA"/>
    <s v="CA"/>
    <n v="3533"/>
    <x v="14"/>
    <n v="4899"/>
    <s v="Rehabilitation Services Administration"/>
    <s v="Rehabilitation Services"/>
    <s v="77278000 SPH REHAB SVC ADMIN"/>
    <s v="1000 Baseline Billed Time Units (BTUs) Supported"/>
    <n v="1759.61"/>
    <n v="2909.3"/>
    <n v="0.58330000000000004"/>
    <n v="6.28"/>
    <n v="5.73"/>
    <n v="0.70830000000000004"/>
    <n v="25"/>
    <n v="2.2400000000000002"/>
    <n v="3.05"/>
    <n v="4.4400000000000004"/>
    <n v="0.88729999999999998"/>
    <n v="9.0299999999999994"/>
    <n v="384822.91526324698"/>
    <n v="8834"/>
    <n v="4.2352493837529099"/>
  </r>
  <r>
    <s v="2719Providence St Joseph Medical Center349971076350 - 03499 - PSJMC RADIOLOGY-ADMIN"/>
    <m/>
    <x v="2"/>
    <s v="CA"/>
    <s v="CA"/>
    <n v="2719"/>
    <x v="6"/>
    <n v="3499"/>
    <s v="Imaging Services Administration"/>
    <s v="Imaging Services"/>
    <s v="71076350 - 03499 - PSJMC RADIOLOGY-ADMIN"/>
    <s v="APC Relative Weight Supported"/>
    <n v="253302"/>
    <n v="287476.84000000003"/>
    <n v="0.54169999999999996"/>
    <n v="0.04"/>
    <n v="0.03"/>
    <n v="8.6999999999999994E-2"/>
    <n v="25"/>
    <n v="0.05"/>
    <n v="0.05"/>
    <n v="0.05"/>
    <n v="0.90590000000000004"/>
    <n v="4.63"/>
    <n v="-286891.66413839802"/>
    <n v="-6210"/>
    <n v="-2.9774790650581702"/>
  </r>
  <r>
    <s v="2719Providence St Joseph Medical Center621071087440 - 06210 - PSJMC CLINICAL EDUCATION"/>
    <m/>
    <x v="2"/>
    <s v="CA"/>
    <s v="CA"/>
    <n v="2719"/>
    <x v="6"/>
    <n v="6210"/>
    <s v="Clinical Staff Education"/>
    <s v="Educational Services"/>
    <s v="71087440 - 06210 - PSJMC CLINICAL EDUCATION"/>
    <s v="Adjusted Discharges"/>
    <n v="23392.76"/>
    <n v="25623.31"/>
    <n v="0.5"/>
    <n v="0.57999999999999996"/>
    <n v="0.33"/>
    <n v="0.21740000000000001"/>
    <n v="25"/>
    <n v="0.37"/>
    <n v="0.39"/>
    <n v="0.53"/>
    <n v="0.90790000000000004"/>
    <n v="4.43"/>
    <n v="-84447.297337293901"/>
    <n v="-1767"/>
    <n v="-0.84727809502270501"/>
  </r>
  <r>
    <s v="2719Providence St Joseph Medical Center661071086100 - 06610 - PSJMC ADMINISTRATION"/>
    <m/>
    <x v="2"/>
    <s v="CA"/>
    <s v="CA"/>
    <n v="2719"/>
    <x v="6"/>
    <n v="6610"/>
    <s v="Administration"/>
    <s v="Administration"/>
    <s v="71086100 - 06610 - PSJMC ADMINISTRATION"/>
    <s v="100 Adjusted Discharges"/>
    <n v="233.93"/>
    <n v="256.23"/>
    <n v="0.58330000000000004"/>
    <n v="89.11"/>
    <n v="55.27"/>
    <n v="0.375"/>
    <n v="25"/>
    <n v="49.31"/>
    <n v="54.37"/>
    <n v="63.23"/>
    <n v="0.9214"/>
    <n v="7.39"/>
    <n v="17483.285568982701"/>
    <n v="294"/>
    <n v="0.140813708143286"/>
  </r>
  <r>
    <s v="2719Providence St Joseph Medical Center121071061710 - 01210 - PSJMC 7 NE"/>
    <m/>
    <x v="2"/>
    <s v="CA"/>
    <s v="CA"/>
    <n v="2719"/>
    <x v="6"/>
    <n v="1210"/>
    <s v="Medical/Surgical Acute Care Unit"/>
    <s v="Nursing Services"/>
    <s v="71061710 - 01210 - PSJMC 7 NE"/>
    <s v="Equivalent Patient Day"/>
    <n v="9193"/>
    <n v="9304.52"/>
    <n v="0.45829999999999999"/>
    <n v="9.77"/>
    <n v="10.15"/>
    <n v="0.41670000000000001"/>
    <n v="25"/>
    <n v="9.6199999999999992"/>
    <n v="9.98"/>
    <n v="10.33"/>
    <n v="0.9042"/>
    <n v="50.23"/>
    <n v="87448.055297738494"/>
    <n v="2067"/>
    <n v="0.99111938960763302"/>
  </r>
  <r>
    <s v="3848Providence St Patrick Hospital &amp; Health Science Ce343046076600, MRI"/>
    <m/>
    <x v="4"/>
    <s v="WMR"/>
    <s v="MT"/>
    <n v="3848"/>
    <x v="21"/>
    <n v="3430"/>
    <s v="Magnetic Resonance Imaging"/>
    <s v="Imaging Services"/>
    <s v="46076600, MRI"/>
    <s v="APC Relative Weight"/>
    <n v="32846.620000000003"/>
    <n v="33973.82"/>
    <n v="0.70830000000000004"/>
    <n v="0.33"/>
    <n v="0.32"/>
    <n v="0.625"/>
    <n v="25"/>
    <n v="0.26"/>
    <n v="0.28999999999999998"/>
    <n v="0.3"/>
    <n v="0.88180000000000003"/>
    <n v="5.88"/>
    <n v="35840.261300227503"/>
    <n v="1091"/>
    <n v="0.52301483430903195"/>
  </r>
  <r>
    <s v="3848Providence St Patrick Hospital &amp; Health Science Ce591046084202, SAFETY"/>
    <m/>
    <x v="4"/>
    <s v="WMR"/>
    <s v="MT"/>
    <n v="3848"/>
    <x v="21"/>
    <n v="5910"/>
    <s v="Security"/>
    <s v="Other Support Services"/>
    <s v="46084202, SAFETY"/>
    <s v="1000 Gross Square Feet Patrolled"/>
    <n v="2200"/>
    <n v="2200"/>
    <n v="0.625"/>
    <n v="13.57"/>
    <n v="14.68"/>
    <n v="0.52380000000000004"/>
    <n v="25"/>
    <n v="9.39"/>
    <n v="10.54"/>
    <n v="14.39"/>
    <n v="0.90210000000000001"/>
    <n v="17.21"/>
    <n v="192787.654928462"/>
    <n v="10190"/>
    <n v="4.8858558978031903"/>
  </r>
  <r>
    <s v="3524Providence St Peter Hospital1830Centralized Telemetry (U,N)"/>
    <m/>
    <x v="1"/>
    <s v="SWR"/>
    <s v="WA"/>
    <n v="3524"/>
    <x v="2"/>
    <n v="1830"/>
    <s v="Centralized Telemetry"/>
    <s v="Nursing Services"/>
    <s v="Centralized Telemetry (U,N)"/>
    <s v="Telemetry Days Supported"/>
    <n v="29183"/>
    <n v="24340"/>
    <n v="0.4849"/>
    <n v="0.89"/>
    <n v="1.54"/>
    <m/>
    <n v="25"/>
    <n v="0.71"/>
    <n v="0.74"/>
    <n v="0.78"/>
    <n v="0.89649999999999996"/>
    <n v="20.11"/>
    <n v="459199.56674124702"/>
    <n v="21853"/>
    <n v="10.477252895523799"/>
  </r>
  <r>
    <s v="3930Swedish Ballard5925Patient Escort (Transport) Service (N)"/>
    <m/>
    <x v="1"/>
    <s v="SHS"/>
    <s v="WA"/>
    <n v="3930"/>
    <x v="24"/>
    <n v="5925"/>
    <s v="Patient Escort (Transport) Service"/>
    <s v="Other Support Services"/>
    <s v="Patient Escort (Transport) Service (N)"/>
    <s v="100 Patient Transports Performed"/>
    <n v="188.08"/>
    <n v="325.04000000000002"/>
    <n v="0.54169999999999996"/>
    <n v="27.41"/>
    <n v="27.5"/>
    <n v="4.5499999999999999E-2"/>
    <n v="25"/>
    <n v="44.32"/>
    <n v="46.64"/>
    <n v="52.86"/>
    <n v="0.9133"/>
    <n v="4.71"/>
    <n v="-261008.59913465899"/>
    <n v="-6775"/>
    <n v="-3.2484785901982498"/>
  </r>
  <r>
    <s v="3930Swedish Ballard345021576700 ULTRASOUND"/>
    <m/>
    <x v="1"/>
    <s v="SHS"/>
    <s v="WA"/>
    <n v="3930"/>
    <x v="24"/>
    <n v="3450"/>
    <s v="Ultrasound"/>
    <s v="Imaging Services"/>
    <s v="21576700 ULTRASOUND"/>
    <s v="APC Relative Weight"/>
    <n v="20557.990000000002"/>
    <n v="21420.62"/>
    <n v="0.54169999999999996"/>
    <n v="0.48"/>
    <n v="0.51"/>
    <n v="0.60870000000000002"/>
    <n v="25"/>
    <n v="0.43"/>
    <n v="0.44"/>
    <n v="0.48"/>
    <n v="0.89329999999999998"/>
    <n v="5.85"/>
    <n v="102429.711886274"/>
    <n v="1651"/>
    <n v="0.79133944707501302"/>
  </r>
  <r>
    <s v="3930Swedish Ballard500121584500 FACILITY MANAGEMENT/21584560 FACILITIES CONSTRUCTION/21584602 GROUNDS"/>
    <m/>
    <x v="1"/>
    <s v="SHS"/>
    <s v="WA"/>
    <n v="3930"/>
    <x v="24"/>
    <n v="5001"/>
    <s v="Plant Operations / Plant Maintenance and Grounds"/>
    <s v="Facility Services"/>
    <s v="21584500 FACILITY MANAGEMENT/21584560 FACILITIES CONSTRUCTION/21584602 GROUNDS"/>
    <s v="1000 Gross Square Feet Maintained"/>
    <n v="436.94"/>
    <n v="528.52"/>
    <n v="0.41670000000000001"/>
    <n v="49.31"/>
    <n v="39.299999999999997"/>
    <n v="0.15790000000000001"/>
    <n v="25"/>
    <n v="40.53"/>
    <n v="42.39"/>
    <n v="43.53"/>
    <n v="0.87009999999999998"/>
    <n v="11.48"/>
    <n v="-62066.242351810601"/>
    <n v="-1805"/>
    <n v="-0.86536211157884002"/>
  </r>
  <r>
    <s v="3928Swedish Cherry Hill2299Ambulatory Services Administration (N)"/>
    <m/>
    <x v="1"/>
    <s v="SHS"/>
    <s v="WA"/>
    <n v="3928"/>
    <x v="25"/>
    <n v="2299"/>
    <s v="Ambulatory Services Administration"/>
    <s v="Ambulatory Care Clinics"/>
    <s v="Ambulatory Services Administration (N)"/>
    <s v="Patient Visits Supported"/>
    <n v="27268"/>
    <n v="29033"/>
    <n v="0.45829999999999999"/>
    <n v="0.2"/>
    <n v="0.18"/>
    <n v="0.1739"/>
    <n v="25"/>
    <n v="0.28999999999999998"/>
    <n v="0.39"/>
    <n v="0.48"/>
    <n v="0.90129999999999999"/>
    <n v="2.83"/>
    <n v="-302398.66982065898"/>
    <n v="-6660"/>
    <n v="-3.1933112962438699"/>
  </r>
  <r>
    <s v="3928Swedish Cherry Hill346022076500 NUCLEAR MEDICINE"/>
    <m/>
    <x v="1"/>
    <s v="SHS"/>
    <s v="WA"/>
    <n v="3928"/>
    <x v="25"/>
    <n v="3460"/>
    <s v="Nuclear Medicine"/>
    <s v="Imaging Services"/>
    <s v="22076500 NUCLEAR MEDICINE"/>
    <s v="APC Relative Weight"/>
    <n v="13317.59"/>
    <n v="13837.43"/>
    <n v="0.45829999999999999"/>
    <n v="0.42"/>
    <n v="0.36"/>
    <n v="0.21049999999999999"/>
    <n v="25"/>
    <n v="0.36"/>
    <n v="0.37"/>
    <n v="0.41"/>
    <n v="0.76680000000000004"/>
    <n v="3.09"/>
    <n v="-15044.663628415999"/>
    <n v="-232"/>
    <n v="-0.11127671428481101"/>
  </r>
  <r>
    <s v="3928Swedish Cherry Hill441122077102 RETAIL PHARMACY"/>
    <m/>
    <x v="1"/>
    <s v="SHS"/>
    <s v="WA"/>
    <n v="3928"/>
    <x v="25"/>
    <n v="4411"/>
    <s v="Pharmacy Retail/Prescription Services"/>
    <s v="Pharmacy Services"/>
    <s v="22077102 RETAIL PHARMACY"/>
    <s v="Retail Prescriptions Processed"/>
    <n v="49253"/>
    <n v="51151"/>
    <n v="0.41670000000000001"/>
    <n v="0.2"/>
    <n v="0.2"/>
    <n v="0.45829999999999999"/>
    <n v="25"/>
    <n v="0.17"/>
    <n v="0.18"/>
    <n v="0.2"/>
    <n v="0.88460000000000005"/>
    <n v="5.44"/>
    <n v="44552.6491319009"/>
    <n v="938"/>
    <n v="0.44968617940772099"/>
  </r>
  <r>
    <s v="3928Swedish Cherry Hill4899Rehabilitation Services Administration (N)"/>
    <m/>
    <x v="1"/>
    <s v="SHS"/>
    <s v="WA"/>
    <n v="3928"/>
    <x v="25"/>
    <n v="4899"/>
    <s v="Rehabilitation Services Administration"/>
    <s v="Rehabilitation Services"/>
    <s v="Rehabilitation Services Administration (N)"/>
    <s v="1000 Baseline Billed Time Units (BTUs) Supported"/>
    <n v="3475.33"/>
    <n v="4361.3"/>
    <n v="0.54169999999999996"/>
    <n v="3.1"/>
    <n v="3.52"/>
    <n v="0.45450000000000002"/>
    <n v="25"/>
    <n v="2.94"/>
    <n v="3.2"/>
    <n v="3.67"/>
    <n v="0.88619999999999999"/>
    <n v="8.32"/>
    <n v="47360.1940840713"/>
    <n v="1605"/>
    <n v="0.76938454046196703"/>
  </r>
  <r>
    <s v="3928Swedish Cherry Hill341122076300 MEDICAL IMAGING"/>
    <m/>
    <x v="1"/>
    <s v="SHS"/>
    <s v="WA"/>
    <n v="3928"/>
    <x v="25"/>
    <n v="3411"/>
    <s v="Diagnostic Radiology Without Interventional Procedures"/>
    <s v="Imaging Services"/>
    <s v="22076300 MEDICAL IMAGING"/>
    <s v="APC Relative Weight"/>
    <n v="30595.48"/>
    <n v="35679.550000000003"/>
    <n v="0.66669999999999996"/>
    <n v="0.87"/>
    <n v="0.82"/>
    <n v="0.60870000000000002"/>
    <n v="25"/>
    <n v="0.72"/>
    <n v="0.76"/>
    <n v="0.79"/>
    <n v="0.85419999999999996"/>
    <n v="16.420000000000002"/>
    <n v="109301.498608796"/>
    <n v="2502"/>
    <n v="1.19975818814243"/>
  </r>
  <r>
    <s v="3929Swedish Edmonds422023075910 CARDIO VASCULAR DIAGNOSTICS (U)"/>
    <m/>
    <x v="1"/>
    <s v="SHS"/>
    <s v="WA"/>
    <n v="3929"/>
    <x v="31"/>
    <n v="4220"/>
    <s v="Combined Noninvasive Cardiology and Vascular Services"/>
    <s v="Cardiology and Vascular Services Series"/>
    <s v="23075910 CARDIO VASCULAR DIAGNOSTICS (U)"/>
    <s v="APC Relative Weight"/>
    <n v="22466.48"/>
    <n v="21791.39"/>
    <n v="0.54959999999999998"/>
    <n v="0.28000000000000003"/>
    <n v="0.25"/>
    <n v="0.10680000000000001"/>
    <n v="25"/>
    <n v="0.28999999999999998"/>
    <n v="0.34"/>
    <n v="0.37"/>
    <n v="0.91200000000000003"/>
    <n v="2.82"/>
    <n v="-106805.642570307"/>
    <n v="-2242"/>
    <n v="-1.0750870758187101"/>
  </r>
  <r>
    <s v="3927Swedish First Hill201021070100 EMERGENCY SERVICES"/>
    <m/>
    <x v="1"/>
    <s v="SHS"/>
    <s v="WA"/>
    <n v="3927"/>
    <x v="26"/>
    <n v="2010"/>
    <s v="Emergency Department"/>
    <s v="Emergency Services"/>
    <s v="21070100 EMERGENCY SERVICES"/>
    <s v="Patient Visits"/>
    <n v="40564"/>
    <n v="44924"/>
    <n v="0.41670000000000001"/>
    <n v="3.17"/>
    <n v="3.45"/>
    <n v="0.83330000000000004"/>
    <n v="25"/>
    <n v="2.41"/>
    <n v="2.65"/>
    <n v="2.95"/>
    <n v="0.90200000000000002"/>
    <n v="82.49"/>
    <n v="1713137.439463"/>
    <n v="40067"/>
    <n v="19.210081109810499"/>
  </r>
  <r>
    <s v="3927Swedish First Hill224221074202 WEIGHT LOSS CLINIC"/>
    <m/>
    <x v="1"/>
    <s v="SHS"/>
    <s v="WA"/>
    <n v="3927"/>
    <x v="26"/>
    <n v="2242"/>
    <s v="General Surgery Clinic"/>
    <s v="Ambulatory Care Clinics"/>
    <s v="21074202 WEIGHT LOSS CLINIC"/>
    <s v="Patient Visits"/>
    <n v="8786"/>
    <n v="8584"/>
    <n v="0.54169999999999996"/>
    <n v="1.51"/>
    <n v="1.28"/>
    <n v="0.25"/>
    <n v="25"/>
    <n v="1.28"/>
    <n v="1.57"/>
    <n v="1.78"/>
    <n v="0.94330000000000003"/>
    <n v="5.6"/>
    <n v="-166642.59713813299"/>
    <n v="-2607"/>
    <n v="-1.2499544847806601"/>
  </r>
  <r>
    <s v="3528Providence Hood River Memorial Hospital303056074300, SHORT STAY SURGICAL UNIT"/>
    <m/>
    <x v="3"/>
    <s v="OR"/>
    <s v="OR"/>
    <n v="3528"/>
    <x v="12"/>
    <n v="3030"/>
    <s v="Surgery Pre Op and Post Recovery Only"/>
    <s v="Surgical Services"/>
    <s v="56074300, SHORT STAY SURGICAL UNIT"/>
    <s v="100 Patient Observation Minutes"/>
    <n v="4006.8"/>
    <n v="3952.16"/>
    <n v="0.58330000000000004"/>
    <n v="2.57"/>
    <n v="3.1351741832314479"/>
    <n v="4.3499999999999997E-2"/>
    <n v="25"/>
    <n v="3.78"/>
    <n v="4.03"/>
    <n v="4.25"/>
    <n v="0.84789999999999999"/>
    <n v="7.03"/>
    <n v="-189024.58348390152"/>
    <n v="-4170.8866611628755"/>
    <n v="-1.9997538769539607"/>
  </r>
  <r>
    <s v="3931Swedish Issaquah2299Ambulatory Services Administration (N)"/>
    <m/>
    <x v="1"/>
    <s v="SHS"/>
    <s v="WA"/>
    <n v="3931"/>
    <x v="28"/>
    <n v="2299"/>
    <s v="Ambulatory Services Administration"/>
    <s v="Ambulatory Care Clinics"/>
    <s v="Ambulatory Services Administration (N)"/>
    <s v="Patient Visits Supported"/>
    <n v="4874"/>
    <n v="9699"/>
    <n v="0.5"/>
    <n v="0.87"/>
    <n v="0.57999999999999996"/>
    <n v="0.86360000000000003"/>
    <n v="25"/>
    <n v="0.26"/>
    <n v="0.28999999999999998"/>
    <n v="0.31"/>
    <n v="0.88929999999999998"/>
    <n v="3.03"/>
    <n v="93607.534992057102"/>
    <n v="3157"/>
    <n v="1.5135614238008801"/>
  </r>
  <r>
    <s v="3931Swedish Issaquah224222574202 WEIGHT LOSS CLINIC"/>
    <m/>
    <x v="1"/>
    <s v="SHS"/>
    <s v="WA"/>
    <n v="3931"/>
    <x v="28"/>
    <n v="2242"/>
    <s v="General Surgery Clinic"/>
    <s v="Ambulatory Care Clinics"/>
    <s v="22574202 WEIGHT LOSS CLINIC"/>
    <s v="Patient Visits"/>
    <n v="768"/>
    <n v="1858"/>
    <n v="0.5"/>
    <n v="5.13"/>
    <n v="3.49"/>
    <n v="0.86960000000000004"/>
    <n v="25"/>
    <n v="1.62"/>
    <n v="1.84"/>
    <n v="2"/>
    <n v="0.94950000000000001"/>
    <n v="3.28"/>
    <n v="173784.12357800899"/>
    <n v="3241"/>
    <n v="1.5536982036431899"/>
  </r>
  <r>
    <s v="3931Swedish Issaquah3020Post Anesthesia Care Unit (PACU) (N)"/>
    <m/>
    <x v="1"/>
    <s v="SHS"/>
    <s v="WA"/>
    <n v="3931"/>
    <x v="28"/>
    <n v="3020"/>
    <s v="Post Anesthesia Care Unit (PACU)"/>
    <s v="Surgical Services"/>
    <s v="Post Anesthesia Care Unit (PACU) (N)"/>
    <s v="100 PACU Minutes"/>
    <n v="5416.81"/>
    <n v="3832.68"/>
    <n v="0.54169999999999996"/>
    <n v="3.03"/>
    <n v="5.25"/>
    <n v="0.70830000000000004"/>
    <n v="25"/>
    <n v="3.19"/>
    <n v="3.87"/>
    <n v="4.3099999999999996"/>
    <n v="0.91830000000000001"/>
    <n v="10.54"/>
    <n v="296933.85359260201"/>
    <n v="5831"/>
    <n v="2.7957903786799698"/>
  </r>
  <r>
    <s v="4001Swedish Mill Creek481223577709, MILL CREEK OP REHAB SERVICES"/>
    <m/>
    <x v="1"/>
    <s v="SHS"/>
    <s v="WA"/>
    <n v="4001"/>
    <x v="33"/>
    <n v="4812"/>
    <s v="Physical Therapy: Outpatient"/>
    <s v="Rehabilitation Services"/>
    <s v="23577709, MILL CREEK OP REHAB SERVICES"/>
    <s v="1000 Baseline Billed Time Units (BTUs)"/>
    <n v="310.3"/>
    <n v="349.3"/>
    <n v="0.54169999999999996"/>
    <n v="16.72"/>
    <n v="18.510000000000002"/>
    <n v="4.1700000000000001E-2"/>
    <n v="25"/>
    <n v="20.61"/>
    <n v="21.49"/>
    <n v="22.9"/>
    <n v="0.91959999999999997"/>
    <n v="3.38"/>
    <n v="-46809.383160539102"/>
    <n v="-1113"/>
    <n v="-0.53366994740777496"/>
  </r>
  <r>
    <s v="4002Swedish Redmond Campus481224077709, REDMOND OP REHAB SERVICES"/>
    <m/>
    <x v="1"/>
    <s v="SHS"/>
    <s v="WA"/>
    <n v="4002"/>
    <x v="32"/>
    <n v="4812"/>
    <s v="Physical Therapy: Outpatient"/>
    <s v="Rehabilitation Services"/>
    <s v="24077709, REDMOND OP REHAB SERVICES"/>
    <s v="1000 Baseline Billed Time Units (BTUs)"/>
    <n v="286.43"/>
    <n v="299.41000000000003"/>
    <n v="0.58330000000000004"/>
    <n v="19.28"/>
    <n v="21.52"/>
    <n v="0.1429"/>
    <n v="25"/>
    <n v="22.92"/>
    <n v="23.76"/>
    <n v="25.1"/>
    <n v="0.88539999999999996"/>
    <n v="3.5"/>
    <n v="-34115.2569961708"/>
    <n v="-735"/>
    <n v="-0.35231133700469602"/>
  </r>
  <r>
    <s v="3531Providence Medford Medical Center345059076700, ULTRASOUND"/>
    <m/>
    <x v="3"/>
    <s v="OR"/>
    <s v="OR"/>
    <n v="3531"/>
    <x v="29"/>
    <n v="3450"/>
    <s v="Ultrasound"/>
    <s v="Imaging Services"/>
    <s v="59076700, ULTRASOUND"/>
    <s v="APC Relative Weight"/>
    <n v="15527.76"/>
    <n v="16010.42"/>
    <n v="0.45829999999999999"/>
    <n v="0.47"/>
    <n v="0.49"/>
    <n v="0.3478"/>
    <n v="25"/>
    <n v="0.48"/>
    <n v="0.49"/>
    <n v="0.51"/>
    <n v="0.92030000000000001"/>
    <n v="4.13"/>
    <n v="3733.48732666161"/>
    <n v="89"/>
    <n v="4.2878562694276E-2"/>
  </r>
  <r>
    <s v="3531Providence Medford Medical Center302059074270, PACU"/>
    <m/>
    <x v="3"/>
    <s v="OR"/>
    <s v="OR"/>
    <n v="3531"/>
    <x v="29"/>
    <n v="3020"/>
    <s v="Post Anesthesia Care Unit (PACU)"/>
    <s v="Surgical Services"/>
    <s v="59074270, PACU"/>
    <s v="100 PACU Minutes"/>
    <n v="3640.71"/>
    <n v="5328.46"/>
    <m/>
    <n v="3.93"/>
    <n v="2.66"/>
    <n v="0.1406"/>
    <n v="25"/>
    <n v="3.19"/>
    <n v="3.4"/>
    <n v="3.97"/>
    <n v="0.86099999999999999"/>
    <n v="7.92"/>
    <n v="-223117.897365827"/>
    <n v="-4523"/>
    <n v="-2.16847760790432"/>
  </r>
  <r>
    <s v="2947Providence Alaska Medical Center3370Outreach Laboratory"/>
    <m/>
    <x v="0"/>
    <s v="AK"/>
    <s v="AK"/>
    <n v="2947"/>
    <x v="0"/>
    <n v="3370"/>
    <s v="Laboratory Services: Clinical Operations"/>
    <s v="Laboratory Services"/>
    <s v="Outreach Laboratory"/>
    <s v="100 Billed Tests"/>
    <n v="3086.76"/>
    <n v="3241.16"/>
    <m/>
    <n v="8.7899999999999991"/>
    <n v="8.86"/>
    <m/>
    <n v="26"/>
    <n v="10.59"/>
    <n v="11.05"/>
    <n v="11.48"/>
    <n v="0.89610000000000001"/>
    <n v="15.41"/>
    <n v="-184424.028664018"/>
    <n v="-7827"/>
    <n v="-3.75259981690595"/>
  </r>
  <r>
    <s v="2947Providence Alaska Medical Center6610Hospital Administration"/>
    <m/>
    <x v="0"/>
    <s v="AK"/>
    <s v="AK"/>
    <n v="2947"/>
    <x v="0"/>
    <n v="6610"/>
    <s v="Administration"/>
    <s v="Administration"/>
    <s v="Hospital Administration"/>
    <s v="100 Adjusted Discharges"/>
    <n v="255.6"/>
    <n v="265.81"/>
    <n v="0.52"/>
    <n v="66.239999999999995"/>
    <n v="42.144501711748994"/>
    <n v="0.5"/>
    <n v="26"/>
    <n v="49.31"/>
    <n v="54.37"/>
    <n v="65.62"/>
    <n v="0.87739999999999996"/>
    <n v="9.56"/>
    <n v="-192742.52426259397"/>
    <n v="-3703.7379758377015"/>
    <n v="-1.7757684317751277"/>
  </r>
  <r>
    <s v="2947Providence Alaska Medical Center3450Ultrasound"/>
    <m/>
    <x v="0"/>
    <s v="AK"/>
    <s v="AK"/>
    <n v="2947"/>
    <x v="0"/>
    <n v="3450"/>
    <s v="Ultrasound"/>
    <s v="Imaging Services"/>
    <s v="Ultrasound"/>
    <s v="APC Relative Weight"/>
    <n v="36622.550000000003"/>
    <n v="39402.199999999997"/>
    <n v="0.6"/>
    <n v="0.36"/>
    <n v="0.36"/>
    <n v="0.125"/>
    <n v="26"/>
    <n v="0.39"/>
    <n v="0.42"/>
    <n v="0.47"/>
    <n v="0.9163"/>
    <n v="7.54"/>
    <n v="-110275.770455561"/>
    <n v="-2334"/>
    <n v="-1.11924911287027"/>
  </r>
  <r>
    <s v="2947Providence Alaska Medical Center1285Labor &amp; Delivery with Recovery"/>
    <m/>
    <x v="0"/>
    <s v="AK"/>
    <s v="AK"/>
    <n v="2947"/>
    <x v="0"/>
    <n v="1285"/>
    <s v="Labor/Delivery with Recovery"/>
    <s v="Nursing Services"/>
    <s v="Labor &amp; Delivery with Recovery"/>
    <s v="Neonate Deliveries"/>
    <n v="2982"/>
    <n v="3003"/>
    <n v="0.56000000000000005"/>
    <n v="43.27"/>
    <n v="37.69"/>
    <n v="0.88"/>
    <n v="26"/>
    <n v="28.33"/>
    <n v="29.37"/>
    <n v="30.85"/>
    <n v="0.85250000000000004"/>
    <n v="63.82"/>
    <n v="1268282.7933342336"/>
    <n v="29307.870967741925"/>
    <n v="14.051747830590985"/>
  </r>
  <r>
    <s v="3525Providence Centralia Hospital121134061710, MEDICAL ACUTE"/>
    <m/>
    <x v="1"/>
    <s v="SWR"/>
    <s v="WA"/>
    <n v="3525"/>
    <x v="10"/>
    <n v="1211"/>
    <s v="General Medical Acute Care Unit"/>
    <s v="Nursing Services"/>
    <s v="34061710, MEDICAL ACUTE"/>
    <s v="Equivalent Patient Day"/>
    <n v="6146.76"/>
    <n v="6265.29"/>
    <n v="0.56000000000000005"/>
    <n v="11.55"/>
    <n v="10.43"/>
    <n v="0.375"/>
    <n v="26"/>
    <n v="10.1"/>
    <n v="10.43"/>
    <n v="10.85"/>
    <n v="0.84099999999999997"/>
    <n v="37.35"/>
    <n v="7483.3955906987603"/>
    <n v="199"/>
    <n v="9.5593471927657006E-2"/>
  </r>
  <r>
    <s v="3525Providence Centralia Hospital307034074701 Sterile Processing"/>
    <m/>
    <x v="1"/>
    <s v="SWR"/>
    <s v="WA"/>
    <n v="3525"/>
    <x v="10"/>
    <n v="3070"/>
    <s v="Sterile Processing"/>
    <s v="Surgical Services"/>
    <s v="34074701 Sterile Processing"/>
    <s v="100 Items Processed"/>
    <n v="335.1"/>
    <n v="321.17"/>
    <n v="0.56000000000000005"/>
    <n v="18.55"/>
    <n v="21.15"/>
    <n v="0.52170000000000005"/>
    <n v="26"/>
    <n v="16.52"/>
    <n v="16.82"/>
    <n v="19.940000000000001"/>
    <n v="0.85719999999999996"/>
    <n v="3.81"/>
    <n v="38388.903127909703"/>
    <n v="1645"/>
    <n v="0.78846965865442198"/>
  </r>
  <r>
    <s v="3523Providence Everett Medical Center487131677700 Therapy InPatient"/>
    <m/>
    <x v="1"/>
    <s v="NWR"/>
    <s v="WA"/>
    <n v="3523"/>
    <x v="1"/>
    <n v="4871"/>
    <s v="PT/OT/SLP Combined: Inpatient"/>
    <s v="Rehabilitation Services"/>
    <s v="31677700 Therapy InPatient"/>
    <s v="1000 Baseline Billed Time Units (BTUs)"/>
    <n v="2442.46"/>
    <n v="2477.4299999999998"/>
    <m/>
    <n v="22.75"/>
    <n v="23.57"/>
    <n v="0.36359999999999998"/>
    <n v="26"/>
    <n v="22.59"/>
    <n v="23.45"/>
    <n v="24.24"/>
    <n v="0.89959999999999996"/>
    <n v="31.21"/>
    <n v="23465.213798047502"/>
    <n v="515"/>
    <n v="0.24700579778543699"/>
  </r>
  <r>
    <s v="3523Providence Everett Medical Center302031674270, Recovery Room Services"/>
    <m/>
    <x v="1"/>
    <s v="NWR"/>
    <s v="WA"/>
    <n v="3523"/>
    <x v="1"/>
    <n v="3020"/>
    <s v="Post Anesthesia Care Unit (PACU)"/>
    <s v="Surgical Services"/>
    <s v="31674270, Recovery Room Services"/>
    <s v="100 PACU Minutes"/>
    <n v="15693.73"/>
    <n v="16823.38"/>
    <n v="0.84"/>
    <n v="3.43"/>
    <n v="3.71"/>
    <n v="0.54169999999999996"/>
    <n v="26"/>
    <n v="2.81"/>
    <n v="3.53"/>
    <n v="3.69"/>
    <n v="0.87519999999999998"/>
    <n v="34.32"/>
    <n v="178028.79963940699"/>
    <n v="3726"/>
    <n v="1.7866481619111001"/>
  </r>
  <r>
    <s v="2687Providence Holy Cross Medical Center441072077100 Pharmacy"/>
    <m/>
    <x v="2"/>
    <s v="CA"/>
    <s v="CA"/>
    <n v="2687"/>
    <x v="4"/>
    <n v="4410"/>
    <s v="Pharmacy Services"/>
    <s v="Pharmacy Services"/>
    <s v="72077100 Pharmacy"/>
    <s v="CMI Weighted Department Adjusted Discharges"/>
    <n v="27925.64"/>
    <n v="40870.26"/>
    <n v="0.16"/>
    <n v="2.57"/>
    <n v="1.81"/>
    <n v="0.32140000000000002"/>
    <n v="26"/>
    <n v="1.72"/>
    <n v="1.93"/>
    <n v="2.06"/>
    <n v="0.91559999999999997"/>
    <n v="39.93"/>
    <n v="-135914.57263665801"/>
    <n v="-2869"/>
    <n v="-1.3754239846182299"/>
  </r>
  <r>
    <s v="3532Providence Little Company of Mary Hospital553076284700 05530 COMMUNICATIONS"/>
    <m/>
    <x v="2"/>
    <s v="CA"/>
    <s v="CA"/>
    <n v="3532"/>
    <x v="13"/>
    <n v="5530"/>
    <s v="Call Center / Switchboard"/>
    <s v="Information Technology"/>
    <s v="76284700 05530 COMMUNICATIONS"/>
    <s v="Adjusted Discharges"/>
    <n v="29637.5"/>
    <n v="33654.39"/>
    <n v="0.56000000000000005"/>
    <n v="0.54"/>
    <n v="0.46"/>
    <n v="0.4"/>
    <n v="26"/>
    <n v="0.37"/>
    <n v="0.43"/>
    <n v="0.51"/>
    <n v="0.90869999999999995"/>
    <n v="8.23"/>
    <n v="19713.664931050102"/>
    <n v="1240"/>
    <n v="0.59449423168057602"/>
  </r>
  <r>
    <s v="3532Providence Little Company of Mary Hospital101376260100 01013 ICU"/>
    <m/>
    <x v="2"/>
    <s v="CA"/>
    <s v="CA"/>
    <n v="3532"/>
    <x v="13"/>
    <n v="1013"/>
    <s v="Med/Surg/Cardiac Intensive Care Unit"/>
    <s v="Nursing Services"/>
    <s v="76260100 01013 ICU"/>
    <s v="Equivalent Patient Day"/>
    <n v="6966"/>
    <n v="7051"/>
    <n v="0.52"/>
    <n v="19.21"/>
    <n v="18.54"/>
    <n v="0.4"/>
    <n v="26"/>
    <n v="17.77"/>
    <n v="18.3"/>
    <n v="19.09"/>
    <n v="0.88490000000000002"/>
    <n v="71.010000000000005"/>
    <n v="119194.597357313"/>
    <n v="2289"/>
    <n v="1.09734935063817"/>
  </r>
  <r>
    <s v="3855Providence St Joseph Medical Center Polson521046584400, ENVIRONMENTAL SERVICES"/>
    <m/>
    <x v="4"/>
    <s v="WMR"/>
    <s v="MT"/>
    <n v="3855"/>
    <x v="30"/>
    <n v="5210"/>
    <s v="Environmental Services and Linen Distribution"/>
    <s v="Environmental Services"/>
    <s v="46584400, ENVIRONMENTAL SERVICES"/>
    <s v="1000 Net Sq Ft Cleaned"/>
    <n v="143.71"/>
    <n v="144.33000000000001"/>
    <n v="0.44"/>
    <n v="93.79"/>
    <n v="99.43"/>
    <m/>
    <n v="26"/>
    <n v="183.31"/>
    <n v="191.2"/>
    <n v="204.35"/>
    <n v="0.93799999999999994"/>
    <n v="7.36"/>
    <n v="-195207.812647393"/>
    <n v="-14069"/>
    <n v="-6.7455433522188297"/>
  </r>
  <r>
    <s v="3529Providence Milwaukie Hospital345055076700, ULTRASOUND"/>
    <m/>
    <x v="3"/>
    <s v="OR"/>
    <s v="OR"/>
    <n v="3529"/>
    <x v="15"/>
    <n v="3450"/>
    <s v="Ultrasound"/>
    <s v="Imaging Services"/>
    <s v="55076700, ULTRASOUND"/>
    <s v="APC Relative Weight"/>
    <n v="17022.189999999999"/>
    <n v="19166.73"/>
    <n v="0.72"/>
    <n v="0.42"/>
    <n v="0.44"/>
    <n v="0.25"/>
    <n v="26"/>
    <n v="0.44"/>
    <n v="0.46"/>
    <n v="0.49"/>
    <n v="0.95569999999999999"/>
    <n v="4.28"/>
    <n v="-14339.9870630531"/>
    <n v="-299"/>
    <n v="-0.14315776008599701"/>
  </r>
  <r>
    <s v="3527Providence Portland Medical Center124052261770, ORTHOPEDICS - 8N"/>
    <m/>
    <x v="3"/>
    <s v="OR"/>
    <s v="OR"/>
    <n v="3527"/>
    <x v="18"/>
    <n v="1240"/>
    <s v="Orthopedic Acute Care Unit"/>
    <s v="Nursing Services"/>
    <s v="52261770, ORTHOPEDICS - 8N"/>
    <s v="Equivalent Patient Day"/>
    <n v="6546.29"/>
    <n v="6942"/>
    <n v="0.6"/>
    <n v="9.6199999999999992"/>
    <n v="9.7100000000000009"/>
    <n v="0"/>
    <n v="26"/>
    <n v="10.57"/>
    <n v="10.79"/>
    <n v="11.43"/>
    <n v="0.89170000000000005"/>
    <n v="36.340000000000003"/>
    <n v="-381572.64014371799"/>
    <n v="-8207"/>
    <n v="-3.9349904615701998"/>
  </r>
  <r>
    <s v="3527Providence Portland Medical Center487252270811, GRESHAM REHAB"/>
    <m/>
    <x v="3"/>
    <s v="OR"/>
    <s v="OR"/>
    <n v="3527"/>
    <x v="18"/>
    <n v="4872"/>
    <s v="PT/OT/SLP Combined: Outpatient"/>
    <s v="Rehabilitation Services"/>
    <s v="52270811, GRESHAM REHAB"/>
    <s v="1000 Baseline Billed Time Units (BTUs)"/>
    <n v="586.83000000000004"/>
    <n v="709.73"/>
    <n v="0.56000000000000005"/>
    <n v="23.44"/>
    <n v="20.59"/>
    <n v="0.16669999999999999"/>
    <n v="26"/>
    <n v="22.12"/>
    <n v="22.63"/>
    <n v="24.77"/>
    <n v="0.89170000000000005"/>
    <n v="7.88"/>
    <n v="-53807.572951944298"/>
    <n v="-1577"/>
    <n v="-0.755890146904588"/>
  </r>
  <r>
    <s v="3851Providence Holy Family Hospital303036574300, SURG-MED ADMISSIONS UNIT"/>
    <m/>
    <x v="4"/>
    <s v="PHC"/>
    <s v="WA"/>
    <n v="3851"/>
    <x v="11"/>
    <n v="3030"/>
    <s v="Surgery Pre Op and Post Recovery Only"/>
    <s v="Surgical Services"/>
    <s v="36574300, SURG-MED ADMISSIONS UNIT"/>
    <s v="100 Patient Observation Minutes"/>
    <n v="14264.4"/>
    <n v="10964.05"/>
    <n v="0.64"/>
    <n v="2.0699999999999998"/>
    <n v="2.82"/>
    <n v="0.5"/>
    <n v="26"/>
    <n v="2.1800000000000002"/>
    <n v="2.4"/>
    <n v="2.82"/>
    <n v="0.83899999999999997"/>
    <n v="17.71"/>
    <n v="245351.08826784199"/>
    <n v="5575"/>
    <n v="2.6727490631905599"/>
  </r>
  <r>
    <s v="3848Providence St Patrick Hospital &amp; Health Science Ce303046074271, SURGICAL SHORT STAY UNIT"/>
    <m/>
    <x v="4"/>
    <s v="WMR"/>
    <s v="MT"/>
    <n v="3848"/>
    <x v="21"/>
    <n v="3030"/>
    <s v="Surgery Pre Op and Post Recovery Only"/>
    <s v="Surgical Services"/>
    <s v="46074271, SURGICAL SHORT STAY UNIT"/>
    <s v="100 Patient Observation Minutes"/>
    <n v="5623.09"/>
    <n v="9515.75"/>
    <n v="0.76"/>
    <n v="5.13"/>
    <n v="3.28"/>
    <n v="0.86960000000000004"/>
    <n v="26"/>
    <n v="2.36"/>
    <n v="2.65"/>
    <n v="3.31"/>
    <n v="0.89219999999999999"/>
    <n v="16.809999999999999"/>
    <n v="286643.57078009407"/>
    <n v="6719.2585743106911"/>
    <n v="3.221568949811187"/>
  </r>
  <r>
    <s v="3533Providence San Pedro Peninsula Hospital127077263800 - 65300 - 74000 Obstetrics, Nursery, and Labor/Delivery"/>
    <m/>
    <x v="2"/>
    <s v="CA"/>
    <s v="CA"/>
    <n v="3533"/>
    <x v="14"/>
    <n v="1270"/>
    <s v="Labor/Delivery/Recovery/Postpartum/Nursery"/>
    <s v="Nursing Services"/>
    <s v="77263800 - 65300 - 74000 Obstetrics, Nursery, and Labor/Delivery"/>
    <s v="Neonate Deliveries"/>
    <n v="591"/>
    <n v="547"/>
    <n v="0.48"/>
    <n v="75.599999999999994"/>
    <n v="75.180000000000007"/>
    <n v="0.52"/>
    <n v="26"/>
    <n v="68.760000000000005"/>
    <n v="70.63"/>
    <n v="75.16"/>
    <n v="0.85060000000000002"/>
    <n v="23.24"/>
    <n v="150163.05167859601"/>
    <n v="3051"/>
    <n v="1.462936721782"/>
  </r>
  <r>
    <s v="2719Providence St Joseph Medical Center401071076420 - 04010 - PSJMC RADIATION THERAPY"/>
    <m/>
    <x v="2"/>
    <s v="CA"/>
    <s v="CA"/>
    <n v="2719"/>
    <x v="6"/>
    <n v="4010"/>
    <s v="Radiation Therapy (Oncology)"/>
    <s v="Radiation Therapy Services"/>
    <s v="71076420 - 04010 - PSJMC RADIATION THERAPY"/>
    <s v="APC Relative Weight"/>
    <n v="95372.22"/>
    <n v="87033.79"/>
    <n v="0.64"/>
    <n v="0.28999999999999998"/>
    <n v="0.31"/>
    <n v="0.20830000000000001"/>
    <n v="26"/>
    <n v="0.32"/>
    <n v="0.33"/>
    <n v="0.38"/>
    <n v="0.88260000000000005"/>
    <n v="14.72"/>
    <n v="-104973.54143474701"/>
    <n v="-1840"/>
    <n v="-0.88220829110937304"/>
  </r>
  <r>
    <s v="2719Providence St Joseph Medical Center504071084650 - 05040 - PSJMC BIOMEDICAL ENGINEERING"/>
    <m/>
    <x v="2"/>
    <s v="CA"/>
    <s v="CA"/>
    <n v="2719"/>
    <x v="6"/>
    <n v="5040"/>
    <s v="Biomedical Engineering"/>
    <s v="Facility Services"/>
    <s v="71084650 - 05040 - PSJMC BIOMEDICAL ENGINEERING"/>
    <s v="100 Equipment and Devices Maintained"/>
    <n v="54.51"/>
    <n v="94.82"/>
    <n v="0.52"/>
    <n v="221.71"/>
    <n v="140.02000000000001"/>
    <n v="0.30430000000000001"/>
    <n v="26"/>
    <n v="138.22"/>
    <n v="142.36000000000001"/>
    <n v="153.35"/>
    <n v="0.92410000000000003"/>
    <n v="6.91"/>
    <n v="-6812.7608120655595"/>
    <n v="-195"/>
    <n v="-9.3532025709911301E-2"/>
  </r>
  <r>
    <s v="2719Providence St Joseph Medical Center500171084500 600 PSJMC Plant Ops Plant Maint"/>
    <m/>
    <x v="2"/>
    <s v="CA"/>
    <s v="CA"/>
    <n v="2719"/>
    <x v="6"/>
    <n v="5001"/>
    <s v="Plant Operations / Plant Maintenance and Grounds"/>
    <s v="Facility Services"/>
    <s v="71084500 600 PSJMC Plant Ops Plant Maint"/>
    <s v="1000 Gross Square Feet Maintained"/>
    <m/>
    <n v="1664.47"/>
    <n v="0.56000000000000005"/>
    <m/>
    <n v="24.7"/>
    <n v="0.20830000000000001"/>
    <n v="26"/>
    <n v="25.94"/>
    <n v="28.04"/>
    <n v="30.39"/>
    <n v="0.92010000000000003"/>
    <n v="21.48"/>
    <n v="-173837.87788689201"/>
    <n v="-5924"/>
    <n v="-2.8401981694540099"/>
  </r>
  <r>
    <s v="2719Providence St Joseph Medical Center651071087100 - 06510 - PSJMC MEDICAL STAFF ADMIN"/>
    <m/>
    <x v="2"/>
    <s v="CA"/>
    <s v="CA"/>
    <n v="2719"/>
    <x v="6"/>
    <n v="6510"/>
    <s v="Medical Staff Services"/>
    <s v="Medical Staff Services"/>
    <s v="71087100 - 06510 - PSJMC MEDICAL STAFF ADMIN"/>
    <s v="Physicians On Active Medical Staff"/>
    <n v="268"/>
    <n v="251"/>
    <n v="0.52"/>
    <n v="30.87"/>
    <n v="31.65"/>
    <n v="0.60870000000000002"/>
    <n v="26"/>
    <n v="23.46"/>
    <n v="26.5"/>
    <n v="30.26"/>
    <n v="0.90100000000000002"/>
    <n v="4.24"/>
    <n v="61568.119991188301"/>
    <n v="1461"/>
    <n v="0.70049146992545896"/>
  </r>
  <r>
    <s v="2719Providence St Joseph Medical Center111171061510 - 01111 - PSJMC 4N Neuro"/>
    <m/>
    <x v="2"/>
    <s v="CA"/>
    <s v="CA"/>
    <n v="2719"/>
    <x v="6"/>
    <n v="1111"/>
    <s v="Med/Surg/Cardiac Intermediate Care Unit"/>
    <s v="Nursing Services"/>
    <s v="71061510 - 01111 - PSJMC 4N Neuro"/>
    <s v="Equivalent Patient Day"/>
    <m/>
    <n v="10452"/>
    <n v="0.56000000000000005"/>
    <m/>
    <n v="12.38"/>
    <n v="0.64"/>
    <n v="26"/>
    <n v="10.99"/>
    <n v="11.29"/>
    <n v="12.14"/>
    <n v="0.89270000000000005"/>
    <n v="69.709999999999994"/>
    <n v="549845.93255014205"/>
    <n v="13207"/>
    <n v="6.3323740414511702"/>
  </r>
  <r>
    <s v="3855Providence St Joseph Medical Center Polson341146576300, DIAGNOSTIC IMAGING"/>
    <m/>
    <x v="4"/>
    <s v="WMR"/>
    <s v="MT"/>
    <n v="3855"/>
    <x v="30"/>
    <n v="3411"/>
    <s v="Diagnostic Radiology Without Interventional Procedures"/>
    <s v="Imaging Services"/>
    <s v="46576300, DIAGNOSTIC IMAGING"/>
    <s v="APC Relative Weight"/>
    <n v="6120.16"/>
    <n v="7458.96"/>
    <n v="0.56000000000000005"/>
    <n v="1.87"/>
    <n v="1.28"/>
    <n v="0.84"/>
    <n v="26"/>
    <n v="0.56000000000000005"/>
    <n v="0.59"/>
    <n v="0.78"/>
    <n v="0.94550000000000001"/>
    <n v="4.8499999999999996"/>
    <n v="154413.264205213"/>
    <n v="5461"/>
    <n v="2.6183971082884701"/>
  </r>
  <r>
    <s v="3853Providence St Joseph's Hospital Chewelah413037577200, RESPIRATORY THERAPY"/>
    <m/>
    <x v="4"/>
    <s v="PHC"/>
    <s v="WA"/>
    <n v="3853"/>
    <x v="20"/>
    <n v="4130"/>
    <s v="Respiratory Care and Pulmonary Diagnostics Combined"/>
    <s v="Respiratory and Pulmonary Care Services"/>
    <s v="37577200, RESPIRATORY THERAPY"/>
    <s v="CMI Weighted Total Facility Discharges"/>
    <n v="409.5"/>
    <n v="403.2"/>
    <n v="0"/>
    <n v="20.43"/>
    <n v="18.329999999999998"/>
    <m/>
    <n v="26"/>
    <n v="2.2400000000000002"/>
    <n v="2.61"/>
    <n v="2.92"/>
    <n v="0.90269999999999995"/>
    <n v="3.94"/>
    <n v="191879.05319667701"/>
    <n v="7052"/>
    <n v="3.3810592836726898"/>
  </r>
  <r>
    <s v="3848Providence St Patrick Hospital &amp; Health Science Ce302046074270, RECOVERY ROOM SERVICES"/>
    <m/>
    <x v="4"/>
    <s v="WMR"/>
    <s v="MT"/>
    <n v="3848"/>
    <x v="21"/>
    <n v="3020"/>
    <s v="Post Anesthesia Care Unit (PACU)"/>
    <s v="Surgical Services"/>
    <s v="46074270, RECOVERY ROOM SERVICES"/>
    <s v="100 PACU Minutes"/>
    <n v="3443.89"/>
    <n v="6902.78"/>
    <n v="0.88"/>
    <n v="4.5999999999999996"/>
    <n v="2.42"/>
    <n v="0"/>
    <n v="26"/>
    <n v="3.37"/>
    <n v="3.54"/>
    <n v="3.82"/>
    <n v="0.90290000000000004"/>
    <n v="8.8800000000000008"/>
    <n v="-370546.22825884802"/>
    <n v="-8543"/>
    <n v="-4.0958495069503602"/>
  </r>
  <r>
    <s v="4283Providence St. John's Health Center481173577700, SJHC PHYSICAL THERAPY (U)"/>
    <m/>
    <x v="2"/>
    <s v="CA"/>
    <s v="CA"/>
    <n v="4283"/>
    <x v="23"/>
    <n v="4811"/>
    <s v="Physical Therapy: Inpatient"/>
    <s v="Rehabilitation Services"/>
    <s v="73577700, SJHC PHYSICAL THERAPY (U)"/>
    <s v="1000 Baseline Billed Time Units (BTUs)"/>
    <m/>
    <n v="846.44"/>
    <n v="0.43909999999999999"/>
    <m/>
    <n v="36.96"/>
    <n v="0.96440000000000003"/>
    <n v="26"/>
    <n v="25.74"/>
    <n v="26.53"/>
    <n v="27.65"/>
    <n v="0.93830000000000002"/>
    <n v="16.03"/>
    <n v="413744.48732049298"/>
    <n v="9501"/>
    <n v="4.5553388109755897"/>
  </r>
  <r>
    <s v="3755Providence Tarzana Medical Center441072577100 77150 Pharmacy - RX"/>
    <m/>
    <x v="2"/>
    <s v="CA"/>
    <s v="CA"/>
    <n v="3755"/>
    <x v="3"/>
    <n v="4410"/>
    <s v="Pharmacy Services"/>
    <s v="Pharmacy Services"/>
    <s v="72577100 77150 Pharmacy - RX"/>
    <s v="CMI Weighted Department Adjusted Discharges"/>
    <n v="23690.65"/>
    <n v="26438.84"/>
    <n v="0.36"/>
    <n v="2.96"/>
    <n v="1.76"/>
    <n v="0.33329999999999999"/>
    <n v="26"/>
    <n v="1.6"/>
    <n v="1.81"/>
    <n v="1.93"/>
    <n v="0.89659999999999995"/>
    <n v="24.96"/>
    <n v="-54646.734141177702"/>
    <n v="-1314"/>
    <n v="-0.630006478048031"/>
  </r>
  <r>
    <s v="3930Swedish Ballard464021576410 CANCER TREATMENT CENTER"/>
    <m/>
    <x v="1"/>
    <s v="SHS"/>
    <s v="WA"/>
    <n v="3930"/>
    <x v="24"/>
    <n v="4640"/>
    <s v="Hematology Oncology Infusion Therapy (Hema/Onc)"/>
    <s v="Other Clinical Support Services"/>
    <s v="21576410 CANCER TREATMENT CENTER"/>
    <s v="Infusions"/>
    <n v="3602"/>
    <n v="3746"/>
    <n v="0.56000000000000005"/>
    <n v="2.76"/>
    <n v="2.5099999999999998"/>
    <n v="0.82609999999999995"/>
    <n v="26"/>
    <n v="1.74"/>
    <n v="1.88"/>
    <n v="2.1"/>
    <n v="0.89149999999999996"/>
    <n v="5.08"/>
    <n v="128999.176404969"/>
    <n v="2696"/>
    <n v="1.2925018127472301"/>
  </r>
  <r>
    <s v="3928Swedish Cherry Hill486122077800 IP SPEECH THERAPY"/>
    <m/>
    <x v="1"/>
    <s v="SHS"/>
    <s v="WA"/>
    <n v="3928"/>
    <x v="25"/>
    <n v="4861"/>
    <s v="Speech Language Pathology: Inpatient and Outpatient"/>
    <s v="Rehabilitation Services"/>
    <s v="22077800 IP SPEECH THERAPY"/>
    <s v="1000 Baseline Billed Time Units (BTUs)"/>
    <n v="335.43"/>
    <n v="345.53"/>
    <n v="0.6"/>
    <n v="29.82"/>
    <n v="30.79"/>
    <n v="0.68"/>
    <n v="26"/>
    <n v="24.03"/>
    <n v="25.74"/>
    <n v="29.02"/>
    <n v="0.88429999999999997"/>
    <n v="5.78"/>
    <n v="88409.074938841295"/>
    <n v="1998"/>
    <n v="0.95782645008225598"/>
  </r>
  <r>
    <s v="3929Swedish Edmonds471023078400 OP PSYCH"/>
    <m/>
    <x v="1"/>
    <s v="SHS"/>
    <s v="WA"/>
    <n v="3929"/>
    <x v="31"/>
    <n v="4710"/>
    <s v="Partial Hospitalization"/>
    <s v="Psychiatry and Psychological Services"/>
    <s v="23078400 OP PSYCH"/>
    <s v="Patient Sessions"/>
    <n v="3844"/>
    <n v="4625"/>
    <n v="0.44"/>
    <n v="0.93"/>
    <n v="1.1299999999999999"/>
    <n v="4.3499999999999997E-2"/>
    <n v="26"/>
    <n v="1.76"/>
    <n v="1.88"/>
    <n v="2.11"/>
    <n v="0.91969999999999996"/>
    <n v="2.72"/>
    <n v="-131012.469274394"/>
    <n v="-3781"/>
    <n v="-1.81285220213389"/>
  </r>
  <r>
    <s v="3929Swedish Edmonds229923070739 SPECIALTY CLINIC SUPPORT"/>
    <m/>
    <x v="1"/>
    <s v="SHS"/>
    <s v="WA"/>
    <n v="3929"/>
    <x v="31"/>
    <n v="2299"/>
    <s v="Ambulatory Services Administration"/>
    <s v="Ambulatory Care Clinics"/>
    <s v="23070739 SPECIALTY CLINIC SUPPORT"/>
    <s v="Patient Visits Supported"/>
    <n v="9967"/>
    <n v="10083"/>
    <n v="0.6"/>
    <n v="1.01"/>
    <n v="0.51"/>
    <n v="0.73909999999999998"/>
    <n v="26"/>
    <n v="0.27"/>
    <n v="0.28999999999999998"/>
    <n v="0.31"/>
    <n v="0.9294"/>
    <n v="2.66"/>
    <n v="106482.874612709"/>
    <n v="2402"/>
    <n v="1.15154188472625"/>
  </r>
  <r>
    <s v="3929Swedish Edmonds3099Surgical Services Administration (N)"/>
    <m/>
    <x v="1"/>
    <s v="SHS"/>
    <s v="WA"/>
    <n v="3929"/>
    <x v="31"/>
    <n v="3099"/>
    <s v="Surgical Services Administration"/>
    <s v="Surgical Services"/>
    <s v="Surgical Services Administration (N)"/>
    <s v="Cases Supported"/>
    <n v="5148"/>
    <n v="5192"/>
    <n v="0.56000000000000005"/>
    <n v="1.52"/>
    <n v="1.86"/>
    <n v="0.76"/>
    <n v="26"/>
    <n v="0.95"/>
    <n v="1.19"/>
    <n v="1.49"/>
    <n v="0.86760000000000004"/>
    <n v="5.36"/>
    <n v="150960.77458926401"/>
    <n v="4058"/>
    <n v="1.94563252504767"/>
  </r>
  <r>
    <s v="3927Swedish First Hill401021076414 SCI EDMONDS"/>
    <m/>
    <x v="1"/>
    <s v="SHS"/>
    <s v="WA"/>
    <n v="3927"/>
    <x v="26"/>
    <n v="4010"/>
    <s v="Radiation Therapy (Oncology)"/>
    <s v="Radiation Therapy Services"/>
    <s v="21076414 SCI EDMONDS"/>
    <s v="APC Relative Weight"/>
    <n v="63220.12"/>
    <n v="57357.63"/>
    <n v="0.48"/>
    <n v="0.27"/>
    <n v="0.28999999999999998"/>
    <n v="0.32"/>
    <n v="26"/>
    <n v="0.27"/>
    <n v="0.33"/>
    <n v="0.38"/>
    <n v="0.874"/>
    <n v="9.2799999999999994"/>
    <n v="-167034.36443324201"/>
    <n v="-2301"/>
    <n v="-1.10345450095008"/>
  </r>
  <r>
    <s v="3927Swedish First Hill441121077102 RETAIL PHARMACY/21077107 ORTHO PHARMACY"/>
    <m/>
    <x v="1"/>
    <s v="SHS"/>
    <s v="WA"/>
    <n v="3927"/>
    <x v="26"/>
    <n v="4411"/>
    <s v="Pharmacy Retail/Prescription Services"/>
    <s v="Pharmacy Services"/>
    <s v="21077102 RETAIL PHARMACY/21077107 ORTHO PHARMACY"/>
    <s v="Retail Prescriptions Processed"/>
    <n v="139767"/>
    <n v="147527"/>
    <n v="0.44"/>
    <n v="0.2"/>
    <n v="0.27"/>
    <n v="0.72729999999999995"/>
    <n v="26"/>
    <n v="0.21"/>
    <n v="0.21"/>
    <n v="0.22"/>
    <n v="0.90429999999999999"/>
    <n v="21.16"/>
    <n v="534600.38607598795"/>
    <n v="9874"/>
    <n v="4.7342036612923302"/>
  </r>
  <r>
    <s v="3927Swedish First Hill226721076410, 21076430 FH TREATMENT CTR &amp; MEDICAL ONCOLOGY"/>
    <m/>
    <x v="1"/>
    <s v="SHS"/>
    <s v="WA"/>
    <n v="3927"/>
    <x v="26"/>
    <n v="2267"/>
    <s v="Oncology / Hematology Clinic"/>
    <s v="Ambulatory Care Clinics"/>
    <s v="21076410, 21076430 FH TREATMENT CTR &amp; MEDICAL ONCOLOGY"/>
    <s v="Patient Visits"/>
    <n v="32870"/>
    <n v="32868"/>
    <m/>
    <n v="2.4500000000000002"/>
    <n v="2.92"/>
    <n v="0.95020000000000004"/>
    <n v="26"/>
    <n v="1.41"/>
    <n v="1.68"/>
    <n v="2.0299999999999998"/>
    <n v="0.88180000000000003"/>
    <n v="52.37"/>
    <n v="2224751.7515178998"/>
    <n v="46608"/>
    <n v="22.346548011384201"/>
  </r>
  <r>
    <s v="3931Swedish Issaquah411022577200 RESPIRATORY THERAPY"/>
    <m/>
    <x v="1"/>
    <s v="SHS"/>
    <s v="WA"/>
    <n v="3931"/>
    <x v="28"/>
    <n v="4110"/>
    <s v="Respiratory Care"/>
    <s v="Respiratory and Pulmonary Care Services"/>
    <s v="22577200 RESPIRATORY THERAPY"/>
    <s v="CMI Weighted Total Facility Discharges"/>
    <n v="7619.1"/>
    <n v="9223.36"/>
    <n v="0.76"/>
    <n v="2.62"/>
    <n v="2.1800000000000002"/>
    <n v="0.2"/>
    <n v="26"/>
    <n v="2.2599999999999998"/>
    <n v="2.97"/>
    <n v="3.68"/>
    <n v="0.93230000000000002"/>
    <n v="10.37"/>
    <n v="-322400.20697060501"/>
    <n v="-7754"/>
    <n v="-3.7176347779016399"/>
  </r>
  <r>
    <s v="3931Swedish Issaquah307022574701 STERILE PROCESSING"/>
    <m/>
    <x v="1"/>
    <s v="SHS"/>
    <s v="WA"/>
    <n v="3931"/>
    <x v="28"/>
    <n v="3070"/>
    <s v="Sterile Processing"/>
    <s v="Surgical Services"/>
    <s v="22574701 STERILE PROCESSING"/>
    <s v="100 Items Processed"/>
    <n v="1149.73"/>
    <n v="1294.33"/>
    <n v="0.56000000000000005"/>
    <n v="16.239999999999998"/>
    <n v="15.84"/>
    <n v="0.29170000000000001"/>
    <n v="26"/>
    <n v="14.67"/>
    <n v="16.510000000000002"/>
    <n v="21.16"/>
    <n v="0.91259999999999997"/>
    <n v="10.8"/>
    <n v="-22559.239030667999"/>
    <n v="-890"/>
    <n v="-0.42689820944603502"/>
  </r>
  <r>
    <s v="4002Swedish Redmond Campus432024078740, REDMOND SLEEP LAB"/>
    <m/>
    <x v="1"/>
    <s v="SHS"/>
    <s v="WA"/>
    <n v="4002"/>
    <x v="32"/>
    <n v="4320"/>
    <s v="Sleep Diagnostic Center"/>
    <s v="Neurodiagnostic Services"/>
    <s v="24078740, REDMOND SLEEP LAB"/>
    <s v="APC Relative Weight"/>
    <n v="6037.59"/>
    <n v="6664.18"/>
    <n v="0.48"/>
    <n v="0.68"/>
    <n v="0.65"/>
    <m/>
    <n v="26"/>
    <n v="0.95"/>
    <n v="0.96"/>
    <n v="1"/>
    <n v="0.94140000000000001"/>
    <n v="2.2000000000000002"/>
    <n v="-83205.119163271302"/>
    <n v="-2207"/>
    <n v="-1.0583063651164599"/>
  </r>
  <r>
    <s v="4002Swedish Redmond Campus201024070100, REDMOND EMERGENCY SERVICES"/>
    <m/>
    <x v="1"/>
    <s v="SHS"/>
    <s v="WA"/>
    <n v="4002"/>
    <x v="32"/>
    <n v="2010"/>
    <s v="Emergency Department"/>
    <s v="Emergency Services"/>
    <s v="24070100, REDMOND EMERGENCY SERVICES"/>
    <s v="Patient Visits"/>
    <n v="8257"/>
    <n v="9706"/>
    <n v="0.48"/>
    <n v="4.3600000000000003"/>
    <n v="3.98"/>
    <n v="0.60870000000000002"/>
    <n v="26"/>
    <n v="2.99"/>
    <n v="3.05"/>
    <n v="3.64"/>
    <n v="0.89590000000000003"/>
    <n v="20.71"/>
    <n v="475738.60114526702"/>
    <n v="10152"/>
    <n v="4.8673164089969303"/>
  </r>
  <r>
    <s v="3531Providence Medford Medical Center591059005910, SECURITY (N)"/>
    <m/>
    <x v="3"/>
    <s v="OR"/>
    <s v="OR"/>
    <n v="3531"/>
    <x v="29"/>
    <n v="5910"/>
    <s v="Security"/>
    <s v="Other Support Services"/>
    <s v="59005910, SECURITY (N)"/>
    <s v="1000 Gross Square Feet Patrolled"/>
    <n v="1509.68"/>
    <n v="1509.68"/>
    <n v="0.48"/>
    <n v="7.26"/>
    <n v="7.04"/>
    <n v="0.13639999999999999"/>
    <n v="26"/>
    <n v="10.56"/>
    <n v="11.3"/>
    <n v="15.39"/>
    <n v="0.92949999999999999"/>
    <n v="5.5"/>
    <n v="-129621.22271630001"/>
    <n v="-6882"/>
    <n v="-3.2995833613058601"/>
  </r>
  <r>
    <s v="2947Providence Alaska Medical Center5910Security"/>
    <m/>
    <x v="0"/>
    <s v="AK"/>
    <s v="AK"/>
    <n v="2947"/>
    <x v="0"/>
    <n v="5910"/>
    <s v="Security"/>
    <s v="Other Support Services"/>
    <s v="Security"/>
    <s v="1000 Gross Square Feet Patrolled"/>
    <n v="4508"/>
    <n v="4508"/>
    <n v="0.61539999999999995"/>
    <n v="9.89"/>
    <n v="11.52"/>
    <n v="0.52"/>
    <n v="27"/>
    <n v="9.09"/>
    <n v="9.91"/>
    <n v="11.5"/>
    <n v="0.89270000000000005"/>
    <n v="27.96"/>
    <n v="204397.07268425499"/>
    <n v="8272"/>
    <n v="3.9661363838343999"/>
  </r>
  <r>
    <s v="3523Providence Everett Medical Center229831670852 PRMCE Wound HBO Clinic"/>
    <m/>
    <x v="1"/>
    <s v="NWR"/>
    <s v="WA"/>
    <n v="3523"/>
    <x v="1"/>
    <n v="2298"/>
    <s v="Wound Care"/>
    <s v="Ambulatory Care Clinics"/>
    <s v="31670852 PRMCE Wound HBO Clinic"/>
    <s v="Patient Visits"/>
    <n v="5216"/>
    <n v="5167"/>
    <n v="0.61539999999999995"/>
    <n v="1.07"/>
    <n v="1.0900000000000001"/>
    <m/>
    <n v="27"/>
    <n v="1.94"/>
    <n v="2.15"/>
    <n v="2.29"/>
    <n v="0.94399999999999995"/>
    <n v="2.87"/>
    <n v="-271817.45428705501"/>
    <n v="-5782"/>
    <n v="-2.7722598842968602"/>
  </r>
  <r>
    <s v="3523Providence Everett Medical Center306031674500, Anesthesiology"/>
    <m/>
    <x v="1"/>
    <s v="NWR"/>
    <s v="WA"/>
    <n v="3523"/>
    <x v="1"/>
    <n v="3060"/>
    <s v="Anesthesia"/>
    <s v="Surgical Services"/>
    <s v="31674500, Anesthesiology"/>
    <s v="100 Minutes Patient Enter To Leave"/>
    <n v="17205.8"/>
    <n v="18376.98"/>
    <m/>
    <n v="0.69"/>
    <n v="0.67"/>
    <m/>
    <n v="27"/>
    <n v="0.62"/>
    <n v="0.82"/>
    <n v="1.07"/>
    <n v="0.9204"/>
    <n v="6.39"/>
    <n v="-102684.378690571"/>
    <n v="-3045"/>
    <n v="-1.4598172099962501"/>
  </r>
  <r>
    <s v="3523Providence Everett Medical Center127731665390, Special Care Nursery"/>
    <m/>
    <x v="1"/>
    <s v="NWR"/>
    <s v="WA"/>
    <n v="3523"/>
    <x v="1"/>
    <n v="1277"/>
    <s v="Neonatal Intensive Care Unit (NICU)"/>
    <s v="Nursing Services"/>
    <s v="31665390, Special Care Nursery"/>
    <s v="Patient Days (Neonate)"/>
    <n v="8148"/>
    <n v="8358"/>
    <n v="0.34620000000000001"/>
    <n v="12.42"/>
    <n v="12.55"/>
    <n v="0.4"/>
    <n v="27"/>
    <n v="11.92"/>
    <n v="12.32"/>
    <n v="12.8"/>
    <n v="0.88629999999999998"/>
    <n v="56.92"/>
    <n v="124881.022983909"/>
    <n v="2538"/>
    <n v="1.2167564881497099"/>
  </r>
  <r>
    <s v="2687Providence Holy Cross Medical Center500172084100 500 600 Landscape Engr Plant Maint"/>
    <m/>
    <x v="2"/>
    <s v="CA"/>
    <s v="CA"/>
    <n v="2687"/>
    <x v="4"/>
    <n v="5001"/>
    <s v="Plant Operations / Plant Maintenance and Grounds"/>
    <s v="Facility Services"/>
    <s v="72084100 500 600 Landscape Engr Plant Maint"/>
    <s v="1000 Gross Square Feet Maintained"/>
    <m/>
    <n v="719.79700000000003"/>
    <m/>
    <m/>
    <n v="48.659149732494022"/>
    <m/>
    <n v="27"/>
    <n v="30.21"/>
    <n v="34.090000000000003"/>
    <n v="37.520000000000003"/>
    <n v="0.90620000000000001"/>
    <n v="41.46"/>
    <n v="267088.98988258652"/>
    <n v="11572.313253144997"/>
    <n v="5.5484073707364425"/>
  </r>
  <r>
    <s v="3851Providence Holy Family Hospital307036574701, STERILE PROCESSING"/>
    <m/>
    <x v="4"/>
    <s v="PHC"/>
    <s v="WA"/>
    <n v="3851"/>
    <x v="11"/>
    <n v="3070"/>
    <s v="Sterile Processing"/>
    <s v="Surgical Services"/>
    <s v="36574701, STERILE PROCESSING"/>
    <s v="100 Items Processed"/>
    <n v="1166.53"/>
    <n v="1249.8399999999999"/>
    <n v="0.5"/>
    <n v="22.16"/>
    <n v="21.68"/>
    <n v="0.48"/>
    <n v="27"/>
    <n v="16.21"/>
    <n v="18.32"/>
    <n v="22.9"/>
    <n v="0.91320000000000001"/>
    <n v="14.27"/>
    <n v="82438.028156455897"/>
    <n v="4690"/>
    <n v="2.2484035506492499"/>
  </r>
  <r>
    <s v="3851Providence Holy Family Hospital521136584400, ENVIRONMENTAL SERVICES"/>
    <m/>
    <x v="4"/>
    <s v="PHC"/>
    <s v="WA"/>
    <n v="3851"/>
    <x v="11"/>
    <n v="5211"/>
    <s v="Environmental Services"/>
    <s v="Environmental Services"/>
    <s v="36584400, ENVIRONMENTAL SERVICES"/>
    <s v="1000 Net Sq Ft Cleaned"/>
    <n v="432.16"/>
    <n v="432.16"/>
    <n v="0.46150000000000002"/>
    <n v="130.81"/>
    <n v="128.65"/>
    <n v="0"/>
    <n v="27"/>
    <n v="155.72999999999999"/>
    <n v="164.87"/>
    <n v="173.12"/>
    <n v="0.88049999999999995"/>
    <n v="30.36"/>
    <n v="-289352.430764633"/>
    <n v="-17598"/>
    <n v="-8.4376126990267206"/>
  </r>
  <r>
    <s v="3532Providence Little Company of Mary Hospital3099Surgical Services Administration (U,N)"/>
    <m/>
    <x v="2"/>
    <s v="CA"/>
    <s v="CA"/>
    <n v="3532"/>
    <x v="13"/>
    <n v="3099"/>
    <s v="Surgical Services Administration"/>
    <s v="Surgical Services"/>
    <s v="Surgical Services Administration (U,N)"/>
    <s v="Cases Supported"/>
    <n v="9358"/>
    <n v="12816"/>
    <m/>
    <n v="2.2599999999999998"/>
    <n v="0.63"/>
    <n v="0.2233"/>
    <n v="27"/>
    <n v="0.99"/>
    <n v="1.07"/>
    <n v="1.17"/>
    <n v="0.87629999999999997"/>
    <n v="4.41"/>
    <n v="-143979.28311925099"/>
    <n v="-6451"/>
    <n v="-3.0929425935369199"/>
  </r>
  <r>
    <s v="3529Providence Milwaukie Hospital343055076600, MRI"/>
    <m/>
    <x v="3"/>
    <s v="OR"/>
    <s v="OR"/>
    <n v="3529"/>
    <x v="15"/>
    <n v="3430"/>
    <s v="Magnetic Resonance Imaging"/>
    <s v="Imaging Services"/>
    <s v="55076600, MRI"/>
    <s v="APC Relative Weight"/>
    <n v="18259.54"/>
    <n v="19563.71"/>
    <n v="0.42309999999999998"/>
    <n v="0.27"/>
    <n v="0.28000000000000003"/>
    <n v="8.6999999999999994E-2"/>
    <n v="27"/>
    <n v="0.28999999999999998"/>
    <n v="0.28999999999999998"/>
    <n v="0.3"/>
    <n v="0.88419999999999999"/>
    <n v="2.95"/>
    <n v="-10897.813239569699"/>
    <n v="-264"/>
    <n v="-0.126428759828631"/>
  </r>
  <r>
    <s v="3530Providence Newberg Hospital500157084600, MAINTENANCE"/>
    <m/>
    <x v="3"/>
    <s v="OR"/>
    <s v="OR"/>
    <n v="3530"/>
    <x v="17"/>
    <n v="5001"/>
    <s v="Plant Operations / Plant Maintenance and Grounds"/>
    <s v="Facility Services"/>
    <s v="57084600, MAINTENANCE"/>
    <s v="1000 Gross Square Feet Maintained"/>
    <n v="294.01"/>
    <n v="294.32"/>
    <n v="0.42309999999999998"/>
    <n v="28.16"/>
    <n v="42.98"/>
    <n v="0.3478"/>
    <n v="27"/>
    <n v="41.03"/>
    <n v="43.13"/>
    <n v="48.64"/>
    <n v="0.90380000000000005"/>
    <n v="6.73"/>
    <n v="-225.47065095895701"/>
    <n v="-8"/>
    <n v="-4.0301240760189901E-3"/>
  </r>
  <r>
    <s v="3527Providence Portland Medical Center451052277400, HEMODIALYSIS"/>
    <m/>
    <x v="3"/>
    <s v="OR"/>
    <s v="OR"/>
    <n v="3527"/>
    <x v="18"/>
    <n v="4510"/>
    <s v="Dialysis"/>
    <s v="Dialysis Services"/>
    <s v="52277400, HEMODIALYSIS"/>
    <s v="Treatments"/>
    <n v="2406"/>
    <n v="2672"/>
    <n v="0.5"/>
    <n v="4.87"/>
    <n v="4.54"/>
    <n v="0.38100000000000001"/>
    <n v="27"/>
    <n v="3.95"/>
    <n v="4.5199999999999996"/>
    <n v="4.7"/>
    <n v="0.86629999999999996"/>
    <n v="6.74"/>
    <n v="5872.0580904811604"/>
    <n v="116"/>
    <n v="5.5718473676537698E-2"/>
  </r>
  <r>
    <s v="3527Providence Portland Medical Center141052264400, REHAB - 4K"/>
    <m/>
    <x v="3"/>
    <s v="OR"/>
    <s v="OR"/>
    <n v="3527"/>
    <x v="18"/>
    <n v="1410"/>
    <s v="Acute Rehabilitation Unit"/>
    <s v="Nursing Services"/>
    <s v="52264400, REHAB - 4K"/>
    <s v="Equivalent Patient Day"/>
    <n v="4532"/>
    <n v="4899"/>
    <n v="0.57689999999999997"/>
    <n v="8.5399999999999991"/>
    <n v="8.7200000000000006"/>
    <n v="0.4"/>
    <n v="27"/>
    <n v="8.58"/>
    <n v="8.68"/>
    <n v="9.5500000000000007"/>
    <n v="0.8982"/>
    <n v="22.87"/>
    <n v="16763.883292681301"/>
    <n v="357"/>
    <n v="0.171232693447816"/>
  </r>
  <r>
    <s v="3527Providence Portland Medical Center344052276390, MAMMOGRAPHY"/>
    <m/>
    <x v="3"/>
    <s v="OR"/>
    <s v="OR"/>
    <n v="3527"/>
    <x v="18"/>
    <n v="3440"/>
    <s v="Mammography"/>
    <s v="Imaging Services"/>
    <s v="52276390, MAMMOGRAPHY"/>
    <s v="APC Relative Weight"/>
    <n v="22493.8"/>
    <n v="28823.03"/>
    <n v="0.57689999999999997"/>
    <n v="0.77"/>
    <n v="0.55000000000000004"/>
    <n v="0.42309999999999998"/>
    <n v="27"/>
    <n v="0.48"/>
    <n v="0.51"/>
    <n v="0.56999999999999995"/>
    <n v="0.86739999999999995"/>
    <n v="8.77"/>
    <n v="49643.153701712297"/>
    <n v="1345"/>
    <n v="0.64471597632854705"/>
  </r>
  <r>
    <s v="3527Providence Portland Medical Center441052277100, 52277111 PHARMACY"/>
    <m/>
    <x v="3"/>
    <s v="OR"/>
    <s v="OR"/>
    <n v="3527"/>
    <x v="18"/>
    <n v="4410"/>
    <s v="Pharmacy Services"/>
    <s v="Pharmacy Services"/>
    <s v="52277100, 52277111 PHARMACY"/>
    <s v="CMI Weighted Department Adjusted Discharges"/>
    <n v="45812.22"/>
    <n v="42903.71"/>
    <n v="0.46150000000000002"/>
    <n v="2.2200000000000002"/>
    <n v="2.4846998080119413"/>
    <n v="0.66669999999999996"/>
    <n v="27"/>
    <n v="2.02"/>
    <n v="2.21"/>
    <n v="2.35"/>
    <n v="0.89090000000000003"/>
    <n v="58.86"/>
    <n v="590538.79198114306"/>
    <n v="13228.915590975428"/>
    <n v="6.342674205770451"/>
  </r>
  <r>
    <s v="3854Providence Saint Mary Medical Center127032565390, 32570753, WHS / SPECIAL CARE NURSERY"/>
    <m/>
    <x v="4"/>
    <s v="SER"/>
    <s v="WA"/>
    <n v="3854"/>
    <x v="8"/>
    <n v="1270"/>
    <s v="Labor/Delivery/Recovery/Postpartum/Nursery"/>
    <s v="Nursing Services"/>
    <s v="32565390, 32570753, WHS / SPECIAL CARE NURSERY"/>
    <s v="Neonate Deliveries"/>
    <n v="588"/>
    <n v="588"/>
    <n v="0.57689999999999997"/>
    <n v="80.52"/>
    <n v="73.540000000000006"/>
    <n v="0.46150000000000002"/>
    <n v="27"/>
    <n v="65.17"/>
    <n v="69.66"/>
    <n v="75.14"/>
    <n v="0.86170000000000002"/>
    <n v="24.13"/>
    <n v="108917.736711943"/>
    <n v="2794"/>
    <n v="1.33955201227717"/>
  </r>
  <r>
    <s v="3533Providence San Pedro Peninsula Hospital511277283200 83300 83400 SPH KITCHEN CAFETERIA DIETARY"/>
    <m/>
    <x v="2"/>
    <s v="CA"/>
    <s v="CA"/>
    <n v="3533"/>
    <x v="14"/>
    <n v="5112"/>
    <s v="Patient and Nonpatient Food Services"/>
    <s v="Food and Nutrition Services"/>
    <s v="77283200 83300 83400 SPH KITCHEN CAFETERIA DIETARY"/>
    <s v="ART: Total Meal Equivalents"/>
    <n v="744182.52"/>
    <n v="599355.23"/>
    <n v="0.42859999999999998"/>
    <n v="0.1"/>
    <n v="0.13"/>
    <n v="0.3846"/>
    <n v="27"/>
    <n v="0.13"/>
    <n v="0.13"/>
    <n v="0.15"/>
    <n v="0.91949999999999998"/>
    <n v="42.12"/>
    <n v="0"/>
    <n v="0"/>
    <n v="0"/>
  </r>
  <r>
    <s v="2719Providence St Joseph Medical Center141071064400 - 01410 - PSJMC PHYSICAL REHABILITATION"/>
    <m/>
    <x v="2"/>
    <s v="CA"/>
    <s v="CA"/>
    <n v="2719"/>
    <x v="6"/>
    <n v="1410"/>
    <s v="Acute Rehabilitation Unit"/>
    <s v="Nursing Services"/>
    <s v="71064400 - 01410 - PSJMC PHYSICAL REHABILITATION"/>
    <s v="Equivalent Patient Day"/>
    <n v="2918"/>
    <n v="2899"/>
    <n v="0.5"/>
    <n v="10.34"/>
    <n v="10.6"/>
    <n v="0.60870000000000002"/>
    <n v="27"/>
    <n v="9.7200000000000006"/>
    <n v="9.81"/>
    <n v="10.38"/>
    <n v="0.85629999999999995"/>
    <n v="17.25"/>
    <n v="114575.920250229"/>
    <n v="2767"/>
    <n v="1.32646680508627"/>
  </r>
  <r>
    <s v="3855Providence St Joseph Medical Center Polson201046570100, EMERGENCY SERVICES"/>
    <m/>
    <x v="4"/>
    <s v="WMR"/>
    <s v="MT"/>
    <n v="3855"/>
    <x v="30"/>
    <n v="2010"/>
    <s v="Emergency Department"/>
    <s v="Emergency Services"/>
    <s v="46570100, EMERGENCY SERVICES"/>
    <s v="Patient Visits"/>
    <n v="4884"/>
    <n v="4808"/>
    <n v="0.15379999999999999"/>
    <n v="2.94"/>
    <n v="2.98"/>
    <n v="0.57689999999999997"/>
    <n v="27"/>
    <n v="2.19"/>
    <n v="2.52"/>
    <n v="2.87"/>
    <n v="0.91339999999999999"/>
    <n v="7.55"/>
    <n v="89991.289329641906"/>
    <n v="2482"/>
    <n v="1.1900726987411401"/>
  </r>
  <r>
    <s v="3848Providence St Patrick Hospital &amp; Health Science Ce637046086700, AUXILIARY GROUPS"/>
    <m/>
    <x v="4"/>
    <s v="WMR"/>
    <s v="MT"/>
    <n v="3848"/>
    <x v="21"/>
    <n v="6370"/>
    <s v="Volunteer Services"/>
    <s v="Community Outreach"/>
    <s v="46086700, AUXILIARY GROUPS"/>
    <s v="100 Volunteer Service Hours"/>
    <n v="246.3"/>
    <n v="238.95"/>
    <n v="0.15379999999999999"/>
    <n v="13.46"/>
    <n v="15.63"/>
    <n v="0.84619999999999995"/>
    <n v="27"/>
    <n v="6.46"/>
    <n v="7.16"/>
    <n v="8.1199999999999992"/>
    <n v="0.8962"/>
    <n v="2"/>
    <n v="43694.671320794601"/>
    <n v="2262"/>
    <n v="1.08470039182554"/>
  </r>
  <r>
    <s v="3928Swedish Cherry Hill223522070700 FAMILY MEDICINE CLINIC"/>
    <m/>
    <x v="1"/>
    <s v="SHS"/>
    <s v="WA"/>
    <n v="3928"/>
    <x v="25"/>
    <n v="2235"/>
    <s v="Family Practice Clinic"/>
    <s v="Ambulatory Care Clinics"/>
    <s v="22070700 FAMILY MEDICINE CLINIC"/>
    <s v="Patient Visits"/>
    <n v="20649"/>
    <n v="21017"/>
    <n v="0.61539999999999995"/>
    <n v="0.9"/>
    <n v="0.82"/>
    <n v="7.6899999999999996E-2"/>
    <n v="27"/>
    <n v="0.95"/>
    <n v="0.99"/>
    <n v="1.07"/>
    <n v="0.87790000000000001"/>
    <n v="9.4700000000000006"/>
    <n v="-140142.584572716"/>
    <n v="-3949"/>
    <n v="-1.8934192113630901"/>
  </r>
  <r>
    <s v="3755Providence Tarzana Medical Center112272561500 DOU"/>
    <m/>
    <x v="2"/>
    <s v="CA"/>
    <s v="CA"/>
    <n v="3755"/>
    <x v="3"/>
    <n v="1122"/>
    <s v="Cardiac Intermediate Care Unit"/>
    <s v="Nursing Services"/>
    <s v="72561500 DOU"/>
    <s v="Equivalent Patient Day"/>
    <n v="11190.17"/>
    <n v="10797"/>
    <n v="0.5"/>
    <n v="11.75"/>
    <n v="12.84"/>
    <n v="0.88"/>
    <n v="27"/>
    <n v="10.24"/>
    <n v="10.93"/>
    <n v="11.29"/>
    <n v="0.88939999999999997"/>
    <n v="74.95"/>
    <n v="941954.80691234197"/>
    <n v="23637"/>
    <n v="11.3328371204178"/>
  </r>
  <r>
    <s v="3928Swedish Cherry Hill171022061703 INTERVENTIONAL CARDIAC"/>
    <m/>
    <x v="1"/>
    <s v="SHS"/>
    <s v="WA"/>
    <n v="3928"/>
    <x v="25"/>
    <n v="1710"/>
    <s v="Observation Unit"/>
    <s v="Nursing Services"/>
    <s v="22061703 INTERVENTIONAL CARDIAC"/>
    <s v="Outpatient Observation Days"/>
    <n v="1337.63"/>
    <n v="1583"/>
    <n v="0.5"/>
    <n v="20.07"/>
    <n v="23.57"/>
    <n v="0.80769999999999997"/>
    <n v="27"/>
    <n v="14.04"/>
    <n v="15.04"/>
    <n v="18.05"/>
    <n v="0.88649999999999995"/>
    <n v="20.23"/>
    <n v="795743.22604018904"/>
    <n v="15337"/>
    <n v="7.3534899827231097"/>
  </r>
  <r>
    <s v="3929Swedish Edmonds201023070100 EMERGENCY SERVICES"/>
    <m/>
    <x v="1"/>
    <s v="SHS"/>
    <s v="WA"/>
    <n v="3929"/>
    <x v="31"/>
    <n v="2010"/>
    <s v="Emergency Department"/>
    <s v="Emergency Services"/>
    <s v="23070100 EMERGENCY SERVICES"/>
    <s v="Patient Visits"/>
    <n v="42897"/>
    <n v="45837"/>
    <n v="0.53849999999999998"/>
    <n v="2.76"/>
    <n v="2.78"/>
    <n v="0.26090000000000002"/>
    <n v="27"/>
    <n v="2.72"/>
    <n v="2.86"/>
    <n v="3.33"/>
    <n v="0.91020000000000001"/>
    <n v="67.37"/>
    <n v="-159472.43989264101"/>
    <n v="-3514"/>
    <n v="-1.68474826872217"/>
  </r>
  <r>
    <s v="3929Swedish Edmonds464023072320 AMBULATORY INFUSION CENTER"/>
    <m/>
    <x v="1"/>
    <s v="SHS"/>
    <s v="WA"/>
    <n v="3929"/>
    <x v="31"/>
    <n v="4640"/>
    <s v="Hematology Oncology Infusion Therapy (Hema/Onc)"/>
    <s v="Other Clinical Support Services"/>
    <s v="23072320 AMBULATORY INFUSION CENTER"/>
    <s v="Infusions"/>
    <n v="3144"/>
    <n v="3356"/>
    <n v="0.53849999999999998"/>
    <n v="1.6"/>
    <n v="1.36"/>
    <n v="3.85E-2"/>
    <n v="27"/>
    <n v="1.89"/>
    <n v="2.08"/>
    <n v="2.23"/>
    <n v="0.9133"/>
    <n v="2.4"/>
    <n v="-133140.06544538101"/>
    <n v="-2637"/>
    <n v="-1.26454440264345"/>
  </r>
  <r>
    <s v="3927Swedish First Hill521121084400 ENVIRONMENTAL SVC/21084401 ENVIRO CARE/21084402 WASTE MGMT"/>
    <m/>
    <x v="1"/>
    <s v="SHS"/>
    <s v="WA"/>
    <n v="3927"/>
    <x v="26"/>
    <n v="5211"/>
    <s v="Environmental Services"/>
    <s v="Environmental Services"/>
    <s v="21084400 ENVIRONMENTAL SVC/21084401 ENVIRO CARE/21084402 WASTE MGMT"/>
    <s v="1000 Net Sq Ft Cleaned"/>
    <n v="1542.32"/>
    <n v="1542.32"/>
    <n v="0.57689999999999997"/>
    <n v="193.97"/>
    <n v="207.39"/>
    <n v="0.4"/>
    <n v="27"/>
    <n v="184.26"/>
    <n v="196.69"/>
    <n v="216.98"/>
    <n v="0.87229999999999996"/>
    <n v="176.29"/>
    <n v="425868.879559625"/>
    <n v="19919"/>
    <n v="9.5502841562447092"/>
  </r>
  <r>
    <s v="3927Swedish First Hill301121074210 ORTHOPEDIC SURGERY/21074709 ORTHO SURG PATIENT CHARGEABLES"/>
    <m/>
    <x v="1"/>
    <s v="SHS"/>
    <s v="WA"/>
    <n v="3927"/>
    <x v="26"/>
    <n v="3011"/>
    <s v="Operating Room"/>
    <s v="Surgical Services"/>
    <s v="21074210 ORTHOPEDIC SURGERY/21074709 ORTHO SURG PATIENT CHARGEABLES"/>
    <s v="100 Operating Room Minutes"/>
    <n v="8089.1"/>
    <n v="8507.75"/>
    <n v="0.53849999999999998"/>
    <n v="9.83"/>
    <n v="10.68"/>
    <n v="0.375"/>
    <n v="27"/>
    <n v="10.55"/>
    <n v="10.67"/>
    <n v="11"/>
    <n v="0.89100000000000001"/>
    <n v="49.01"/>
    <n v="13286.6000249071"/>
    <n v="337"/>
    <n v="0.16168427925134701"/>
  </r>
  <r>
    <s v="3927Swedish First Hill223521070700 FAMILY MEDICINE CLINIC"/>
    <m/>
    <x v="1"/>
    <s v="SHS"/>
    <s v="WA"/>
    <n v="3927"/>
    <x v="26"/>
    <n v="2235"/>
    <s v="Family Practice Clinic"/>
    <s v="Ambulatory Care Clinics"/>
    <s v="21070700 FAMILY MEDICINE CLINIC"/>
    <s v="Patient Visits"/>
    <n v="17751"/>
    <n v="17230"/>
    <n v="0.3846"/>
    <n v="1.0900000000000001"/>
    <n v="1.06"/>
    <n v="0.3846"/>
    <n v="27"/>
    <n v="0.97"/>
    <n v="1.04"/>
    <n v="1.0900000000000001"/>
    <n v="0.8488"/>
    <n v="10.38"/>
    <n v="25418.873019702201"/>
    <n v="538"/>
    <n v="0.25811486114074"/>
  </r>
  <r>
    <s v="3927Swedish First Hill343021076600 MRI"/>
    <m/>
    <x v="1"/>
    <s v="SHS"/>
    <s v="WA"/>
    <n v="3927"/>
    <x v="26"/>
    <n v="3430"/>
    <s v="Magnetic Resonance Imaging"/>
    <s v="Imaging Services"/>
    <s v="21076600 MRI"/>
    <s v="APC Relative Weight"/>
    <n v="16417.13"/>
    <n v="20079.009999999998"/>
    <n v="0.53849999999999998"/>
    <n v="0.46"/>
    <n v="0.38"/>
    <n v="0.45829999999999999"/>
    <n v="27"/>
    <n v="0.33"/>
    <n v="0.35"/>
    <n v="0.38"/>
    <n v="0.88149999999999995"/>
    <n v="4.1100000000000003"/>
    <n v="33281.780821398097"/>
    <n v="600"/>
    <n v="0.28759955830278899"/>
  </r>
  <r>
    <s v="3927Swedish First Hill111021061715 MEDICAL SURGICAL TELEMETRY"/>
    <m/>
    <x v="1"/>
    <s v="SHS"/>
    <s v="WA"/>
    <n v="3927"/>
    <x v="26"/>
    <n v="1110"/>
    <s v="Medical/Surgical Intermediate Care Unit"/>
    <s v="Nursing Services"/>
    <s v="21061715 MEDICAL SURGICAL TELEMETRY"/>
    <s v="Equivalent Patient Day"/>
    <n v="665.83"/>
    <n v="5353"/>
    <n v="0.46150000000000002"/>
    <n v="10.36"/>
    <n v="12.54"/>
    <n v="0.45829999999999999"/>
    <n v="27"/>
    <n v="11.85"/>
    <n v="12.11"/>
    <n v="12.63"/>
    <n v="0.92549999999999999"/>
    <n v="34.86"/>
    <n v="109110.85468462099"/>
    <n v="2664"/>
    <n v="1.2774923542933001"/>
  </r>
  <r>
    <s v="3927Swedish First Hill591021084200 SECURITY"/>
    <m/>
    <x v="1"/>
    <s v="SHS"/>
    <s v="WA"/>
    <n v="3927"/>
    <x v="26"/>
    <n v="5910"/>
    <s v="Security"/>
    <s v="Other Support Services"/>
    <s v="21084200 SECURITY"/>
    <s v="1000 Gross Square Feet Patrolled"/>
    <n v="2927.84"/>
    <n v="2927.84"/>
    <n v="0.44669999999999999"/>
    <n v="14.54"/>
    <n v="16.100000000000001"/>
    <n v="0.40760000000000002"/>
    <n v="27"/>
    <n v="12.89"/>
    <n v="14.44"/>
    <n v="21.18"/>
    <n v="0.91249999999999998"/>
    <n v="24.83"/>
    <n v="122591.70909162299"/>
    <n v="5456"/>
    <n v="2.61584393006257"/>
  </r>
  <r>
    <s v="3931Swedish Issaquah500122584500 FACILITY MANAGEMENT/22584560 FACILITIES CONSTRUCTION/22584602 GROUNDS"/>
    <m/>
    <x v="1"/>
    <s v="SHS"/>
    <s v="WA"/>
    <n v="3931"/>
    <x v="28"/>
    <n v="5001"/>
    <s v="Plant Operations / Plant Maintenance and Grounds"/>
    <s v="Facility Services"/>
    <s v="22584500 FACILITY MANAGEMENT/22584560 FACILITIES CONSTRUCTION/22584602 GROUNDS"/>
    <s v="1000 Gross Square Feet Maintained"/>
    <n v="997.86"/>
    <n v="691.83"/>
    <n v="0.61539999999999995"/>
    <n v="26.78"/>
    <n v="39.840000000000003"/>
    <n v="0.52"/>
    <n v="27"/>
    <n v="30.21"/>
    <n v="33.450000000000003"/>
    <n v="38.68"/>
    <n v="0.90090000000000003"/>
    <n v="14.71"/>
    <n v="181244.43793663001"/>
    <n v="4993"/>
    <n v="2.39407360966214"/>
  </r>
  <r>
    <s v="3531Providence Medford Medical Center489959004899, REHAB ADMIN AND SUPPORT (U,N)"/>
    <m/>
    <x v="3"/>
    <s v="OR"/>
    <s v="OR"/>
    <n v="3531"/>
    <x v="29"/>
    <n v="4899"/>
    <s v="Rehabilitation Services Administration"/>
    <s v="Rehabilitation Services"/>
    <s v="59004899, REHAB ADMIN AND SUPPORT (U,N)"/>
    <s v="1000 Baseline Billed Time Units (BTUs) Supported"/>
    <n v="2547.84"/>
    <n v="2990.98"/>
    <n v="0.85270000000000001"/>
    <n v="9.7200000000000006"/>
    <n v="6.16"/>
    <n v="0.71719999999999995"/>
    <n v="27"/>
    <n v="2.58"/>
    <n v="3.87"/>
    <n v="4.4400000000000004"/>
    <n v="0.89419999999999999"/>
    <n v="9.9"/>
    <n v="199762.009072905"/>
    <n v="7704"/>
    <n v="3.69362565038664"/>
  </r>
  <r>
    <s v="3531Providence Medford Medical Center401059076420, RADIATION ONCOLOGY"/>
    <m/>
    <x v="3"/>
    <s v="OR"/>
    <s v="OR"/>
    <n v="3531"/>
    <x v="29"/>
    <n v="4010"/>
    <s v="Radiation Therapy (Oncology)"/>
    <s v="Radiation Therapy Services"/>
    <s v="59076420, RADIATION ONCOLOGY"/>
    <s v="APC Relative Weight"/>
    <n v="41625.379999999997"/>
    <n v="46505.14"/>
    <n v="0.57689999999999997"/>
    <n v="0.37"/>
    <n v="0.39"/>
    <n v="0.56000000000000005"/>
    <n v="27"/>
    <n v="0.33"/>
    <n v="0.34"/>
    <n v="0.37"/>
    <n v="0.86499999999999999"/>
    <n v="9.99"/>
    <n v="119508.265892729"/>
    <n v="2557"/>
    <n v="1.22580716583418"/>
  </r>
  <r>
    <s v="3931Swedish Issaquah511122583401 DIETICIAN SERVICES"/>
    <m/>
    <x v="1"/>
    <s v="SHS"/>
    <s v="WA"/>
    <n v="3931"/>
    <x v="28"/>
    <n v="5111"/>
    <s v="Clinical Nutrition Services"/>
    <s v="Food and Nutrition Services"/>
    <s v="22583401 DIETICIAN SERVICES"/>
    <s v="Total Medical Nutritional Therapy Interventions"/>
    <m/>
    <n v="11103"/>
    <n v="0.46150000000000002"/>
    <m/>
    <n v="0.44"/>
    <n v="0.375"/>
    <n v="27"/>
    <n v="0.39"/>
    <n v="0.44"/>
    <n v="0.48"/>
    <n v="0.92390000000000005"/>
    <n v="2.57"/>
    <n v="2265.6985958278001"/>
    <n v="73"/>
    <n v="3.4776755677203397E-2"/>
  </r>
  <r>
    <s v="2947Providence Alaska Medical Center4640Infusion Therapy"/>
    <m/>
    <x v="0"/>
    <s v="AK"/>
    <s v="AK"/>
    <n v="2947"/>
    <x v="0"/>
    <n v="4640"/>
    <s v="Hematology Oncology Infusion Therapy (Hema/Onc)"/>
    <s v="Other Clinical Support Services"/>
    <s v="Infusion Therapy"/>
    <s v="Infusions"/>
    <n v="11735"/>
    <n v="12262"/>
    <n v="0.47620000000000001"/>
    <n v="1.18"/>
    <n v="1.1342855977817647"/>
    <n v="0.64739999999999998"/>
    <n v="28"/>
    <n v="1.1100000000000001"/>
    <n v="1.34"/>
    <n v="1.63"/>
    <n v="0.86450000000000005"/>
    <n v="7.67"/>
    <n v="-135387.63215731646"/>
    <n v="-2917.836899942165"/>
    <n v="-1.3989657718197472"/>
  </r>
  <r>
    <s v="2947Providence Alaska Medical Center4220E K G (U)"/>
    <m/>
    <x v="0"/>
    <s v="AK"/>
    <s v="AK"/>
    <n v="2947"/>
    <x v="0"/>
    <n v="4220"/>
    <s v="Combined Noninvasive Cardiology and Vascular Services"/>
    <s v="Cardiology and Vascular Services Series"/>
    <s v="E K G (U)"/>
    <s v="APC Relative Weight"/>
    <n v="11853.14"/>
    <n v="31552.75"/>
    <n v="0.32"/>
    <n v="1.61"/>
    <n v="0.65"/>
    <m/>
    <n v="28"/>
    <n v="0.23"/>
    <n v="0.28000000000000003"/>
    <n v="0.33"/>
    <n v="0.8901"/>
    <n v="11.1"/>
    <n v="313338.33297748299"/>
    <n v="13226"/>
    <n v="6.3411216234158498"/>
  </r>
  <r>
    <s v="2947Providence Alaska Medical Center1013Adult Critical Care Unit"/>
    <m/>
    <x v="0"/>
    <s v="AK"/>
    <s v="AK"/>
    <n v="2947"/>
    <x v="0"/>
    <n v="1013"/>
    <s v="Med/Surg/Cardiac Intensive Care Unit"/>
    <s v="Nursing Services"/>
    <s v="Adult Critical Care Unit"/>
    <s v="Equivalent Patient Day"/>
    <n v="7683"/>
    <n v="5429"/>
    <n v="0.52"/>
    <n v="19.420000000000002"/>
    <n v="21.539736599742124"/>
    <n v="0.70369999999999999"/>
    <n v="28"/>
    <n v="17.88"/>
    <n v="19.11"/>
    <n v="21.03"/>
    <n v="0.88149999999999995"/>
    <n v="63.78"/>
    <n v="638377.50017016416"/>
    <n v="14964.310833806006"/>
    <n v="7.1746843203542232"/>
  </r>
  <r>
    <s v="3523Providence Everett Medical Center111131661709, Intermediate Care 6N"/>
    <m/>
    <x v="1"/>
    <s v="NWR"/>
    <s v="WA"/>
    <n v="3523"/>
    <x v="1"/>
    <n v="1111"/>
    <s v="Med/Surg/Cardiac Intermediate Care Unit"/>
    <s v="Nursing Services"/>
    <s v="31661709, Intermediate Care 6N"/>
    <s v="Equivalent Patient Day"/>
    <n v="9813.75"/>
    <n v="10266.9"/>
    <n v="0.40739999999999998"/>
    <n v="12.53"/>
    <n v="12.34"/>
    <n v="0.55559999999999998"/>
    <n v="28"/>
    <n v="11.04"/>
    <n v="11.35"/>
    <n v="12.24"/>
    <n v="0.9083"/>
    <n v="67.08"/>
    <n v="436122.36231164198"/>
    <n v="11615"/>
    <n v="5.5688228603925403"/>
  </r>
  <r>
    <s v="3532Providence Little Company of Mary Hospital128076265300 01280 Newborn Nursery"/>
    <m/>
    <x v="2"/>
    <s v="CA"/>
    <s v="CA"/>
    <n v="3532"/>
    <x v="13"/>
    <n v="1280"/>
    <s v="Newborn Nursery"/>
    <s v="Nursing Services"/>
    <s v="76265300 01280 Newborn Nursery"/>
    <s v="Patient Days (Neonate)"/>
    <n v="5571"/>
    <n v="5669"/>
    <n v="1"/>
    <n v="1.56"/>
    <n v="1.49"/>
    <m/>
    <n v="28"/>
    <n v="5.43"/>
    <n v="6.2"/>
    <n v="7.43"/>
    <n v="1"/>
    <n v="4.0599999999999996"/>
    <n v="-1338576.52343748"/>
    <n v="-26680"/>
    <n v="-12.791800354796999"/>
  </r>
  <r>
    <s v="3528Providence Hood River Memorial Hospital464056076410, OUTPATIENT TRANSFUSION"/>
    <m/>
    <x v="3"/>
    <s v="OR"/>
    <s v="OR"/>
    <n v="3528"/>
    <x v="12"/>
    <n v="4640"/>
    <s v="Hematology Oncology Infusion Therapy (Hema/Onc)"/>
    <s v="Other Clinical Support Services"/>
    <s v="56076410, OUTPATIENT TRANSFUSION"/>
    <s v="Infusions"/>
    <n v="2008"/>
    <n v="4031"/>
    <n v="0.62960000000000005"/>
    <n v="2.93"/>
    <n v="1.75"/>
    <n v="0.30769999999999997"/>
    <n v="28"/>
    <n v="1.71"/>
    <n v="1.87"/>
    <n v="2.0099999999999998"/>
    <n v="0.91310000000000002"/>
    <n v="3.71"/>
    <n v="-24154.029303858999"/>
    <n v="-517"/>
    <n v="-0.248076836847828"/>
  </r>
  <r>
    <s v="3532Providence Little Company of Mary Hospital3499Imaging Service Administration (U,N)"/>
    <m/>
    <x v="2"/>
    <s v="CA"/>
    <s v="CA"/>
    <n v="3532"/>
    <x v="13"/>
    <n v="3499"/>
    <s v="Imaging Services Administration"/>
    <s v="Imaging Services"/>
    <s v="Imaging Service Administration (U,N)"/>
    <s v="APC Relative Weight Supported"/>
    <m/>
    <n v="348536"/>
    <m/>
    <m/>
    <n v="2.2071608097872241E-2"/>
    <m/>
    <n v="28"/>
    <n v="0.04"/>
    <n v="0.05"/>
    <n v="0.06"/>
    <n v="0.88229999999999997"/>
    <n v="4.1900000000000004"/>
    <n v="-389891.56409384572"/>
    <n v="-11032.585288450642"/>
    <n v="-5.2896319165990517"/>
  </r>
  <r>
    <s v="3532Providence Little Company of Mary Hospital522176283500 05221 LAUNDRY &amp; LINEN"/>
    <m/>
    <x v="2"/>
    <s v="CA"/>
    <s v="CA"/>
    <n v="3532"/>
    <x v="13"/>
    <n v="5221"/>
    <s v="Laundry and Linen Distribution Only"/>
    <s v="Environmental Services"/>
    <s v="76283500 05221 LAUNDRY &amp; LINEN"/>
    <s v="100 Lbs Clean Laundry Distributed"/>
    <n v="21318.68"/>
    <n v="19809.810000000001"/>
    <n v="0.62960000000000005"/>
    <n v="0.17"/>
    <n v="0.19"/>
    <n v="7.4099999999999999E-2"/>
    <n v="28"/>
    <n v="0.26"/>
    <n v="0.28999999999999998"/>
    <n v="0.38"/>
    <n v="0.92159999999999997"/>
    <n v="2.0099999999999998"/>
    <n v="-32489.853714470199"/>
    <n v="-2041"/>
    <n v="-0.97871154243779102"/>
  </r>
  <r>
    <s v="3850Providence Mount Carmel Hospital463037077610, ENDOSCOPY"/>
    <m/>
    <x v="4"/>
    <s v="PHC"/>
    <s v="WA"/>
    <n v="3850"/>
    <x v="16"/>
    <n v="4630"/>
    <s v="Endoscopy (GI) Laboratory"/>
    <s v="Other Clinical Support Services"/>
    <s v="37077610, ENDOSCOPY"/>
    <s v="APC Relative Weight"/>
    <n v="13783.28"/>
    <n v="1329.42"/>
    <n v="0.77780000000000005"/>
    <n v="0.43"/>
    <n v="4.66"/>
    <n v="7.4099999999999999E-2"/>
    <n v="28"/>
    <n v="14.82"/>
    <n v="19.09"/>
    <n v="30.19"/>
    <n v="0.88890000000000002"/>
    <n v="3.35"/>
    <n v="-810917.50242358004"/>
    <n v="-21564"/>
    <n v="-10.3387373028276"/>
  </r>
  <r>
    <s v="3530Providence Newberg Hospital307057083800, STERILE PROCESSING"/>
    <m/>
    <x v="3"/>
    <s v="OR"/>
    <s v="OR"/>
    <n v="3530"/>
    <x v="17"/>
    <n v="3070"/>
    <s v="Sterile Processing"/>
    <s v="Surgical Services"/>
    <s v="57083800, STERILE PROCESSING"/>
    <s v="100 Items Processed"/>
    <n v="324.3"/>
    <n v="357.58"/>
    <n v="0.74070000000000003"/>
    <n v="18.649999999999999"/>
    <n v="16.79"/>
    <n v="0.32"/>
    <n v="28"/>
    <n v="16.57"/>
    <n v="17.14"/>
    <n v="20.61"/>
    <n v="0.9133"/>
    <n v="3.16"/>
    <n v="-3025.9683727728502"/>
    <n v="-120"/>
    <n v="-5.7501357743708202E-2"/>
  </r>
  <r>
    <s v="3530Providence Newberg Hospital301157074200, SURGICAL SERVICES"/>
    <m/>
    <x v="3"/>
    <s v="OR"/>
    <s v="OR"/>
    <n v="3530"/>
    <x v="17"/>
    <n v="3011"/>
    <s v="Operating Room"/>
    <s v="Surgical Services"/>
    <s v="57074200, SURGICAL SERVICES"/>
    <s v="100 Operating Room Minutes"/>
    <n v="2322.6"/>
    <n v="2198.06"/>
    <n v="0.59260000000000002"/>
    <n v="10.16"/>
    <n v="12.23"/>
    <n v="0.46150000000000002"/>
    <n v="28"/>
    <n v="11.07"/>
    <n v="11.69"/>
    <n v="12.4"/>
    <n v="0.88090000000000002"/>
    <n v="14.67"/>
    <n v="53086.679785279302"/>
    <n v="1428"/>
    <n v="0.68457710779117997"/>
  </r>
  <r>
    <s v="3852Providence Sacred Heart Medical Center521134584400, ENVIRONMENTAL SERVICES"/>
    <m/>
    <x v="4"/>
    <s v="PHC"/>
    <s v="WA"/>
    <n v="3852"/>
    <x v="9"/>
    <n v="5211"/>
    <s v="Environmental Services"/>
    <s v="Environmental Services"/>
    <s v="34584400, ENVIRONMENTAL SERVICES"/>
    <s v="1000 Net Sq Ft Cleaned"/>
    <n v="1239.5"/>
    <n v="1402.711"/>
    <n v="0.44440000000000002"/>
    <n v="210.14"/>
    <n v="186.47512566736839"/>
    <n v="0.60709999999999997"/>
    <n v="28"/>
    <n v="175.04"/>
    <n v="181.42"/>
    <n v="198.1"/>
    <n v="0.88500000000000001"/>
    <n v="142.1"/>
    <n v="139974.77993062139"/>
    <n v="8012.2942146892619"/>
    <n v="3.8415372367498981"/>
  </r>
  <r>
    <s v="3852Providence Sacred Heart Medical Center111034561720, SURGICAL FLOOR"/>
    <m/>
    <x v="4"/>
    <s v="PHC"/>
    <s v="WA"/>
    <n v="3852"/>
    <x v="9"/>
    <n v="1110"/>
    <s v="Medical/Surgical Intermediate Care Unit"/>
    <s v="Nursing Services"/>
    <s v="34561720, SURGICAL FLOOR"/>
    <s v="Equivalent Patient Day"/>
    <n v="10831.68"/>
    <n v="11129"/>
    <n v="0.70369999999999999"/>
    <n v="9.58"/>
    <n v="10.16"/>
    <n v="7.6899999999999996E-2"/>
    <n v="28"/>
    <n v="10.6"/>
    <n v="10.9"/>
    <n v="11.18"/>
    <n v="0.88849999999999996"/>
    <n v="61.19"/>
    <n v="-327369.76494157902"/>
    <n v="-8905"/>
    <n v="-4.2696030007266899"/>
  </r>
  <r>
    <s v="3852Providence Sacred Heart Medical Center111034561710, 7N MEDICAL"/>
    <m/>
    <x v="4"/>
    <s v="PHC"/>
    <s v="WA"/>
    <n v="3852"/>
    <x v="9"/>
    <n v="1110"/>
    <s v="Medical/Surgical Intermediate Care Unit"/>
    <s v="Nursing Services"/>
    <s v="34561710, 7N MEDICAL"/>
    <s v="Equivalent Patient Day"/>
    <n v="10027.23"/>
    <n v="10557"/>
    <n v="0.44440000000000002"/>
    <n v="10.220000000000001"/>
    <n v="10.45"/>
    <n v="0.23080000000000001"/>
    <n v="28"/>
    <n v="10.6"/>
    <n v="10.9"/>
    <n v="11.18"/>
    <n v="0.87070000000000003"/>
    <n v="60.93"/>
    <n v="-189998.30257401901"/>
    <n v="-5078"/>
    <n v="-2.4345906973693201"/>
  </r>
  <r>
    <s v="3852Providence Sacred Heart Medical Center128534574000, LABOR AND DELIVERY"/>
    <m/>
    <x v="4"/>
    <s v="PHC"/>
    <s v="WA"/>
    <n v="3852"/>
    <x v="9"/>
    <n v="1285"/>
    <s v="Labor/Delivery with Recovery"/>
    <s v="Nursing Services"/>
    <s v="34574000, LABOR AND DELIVERY"/>
    <s v="Neonate Deliveries"/>
    <n v="3024"/>
    <n v="3308"/>
    <n v="0.51849999999999996"/>
    <n v="35.770000000000003"/>
    <n v="33.380000000000003"/>
    <n v="0.33329999999999999"/>
    <n v="28"/>
    <n v="31.38"/>
    <n v="33.4"/>
    <n v="34.9"/>
    <n v="0.83650000000000002"/>
    <n v="53.08"/>
    <n v="-980353.63546461205"/>
    <n v="-21374"/>
    <n v="-10.2477679640209"/>
  </r>
  <r>
    <s v="3852Providence Sacred Heart Medical Center304034574300, DAY SURGERY"/>
    <m/>
    <x v="4"/>
    <s v="PHC"/>
    <s v="WA"/>
    <n v="3852"/>
    <x v="9"/>
    <n v="3040"/>
    <s v="Ambulatory Surgery Center"/>
    <s v="Surgical Services"/>
    <s v="34574300, DAY SURGERY"/>
    <s v="100 Operating Room Minutes"/>
    <n v="2627.68"/>
    <n v="2694.38"/>
    <n v="0.51849999999999996"/>
    <n v="17.079999999999998"/>
    <n v="16.98"/>
    <n v="0.43480000000000002"/>
    <n v="28"/>
    <n v="15.64"/>
    <n v="16.77"/>
    <n v="17.149999999999999"/>
    <n v="0.86099999999999999"/>
    <n v="25.54"/>
    <n v="32184.7405429588"/>
    <n v="789"/>
    <n v="0.37847751045404399"/>
  </r>
  <r>
    <s v="3854Providence Saint Mary Medical Center482232577900, OP OCCUPATIONAL THERAPY"/>
    <m/>
    <x v="4"/>
    <s v="SER"/>
    <s v="WA"/>
    <n v="3854"/>
    <x v="8"/>
    <n v="4822"/>
    <s v="Occupational Therapy: Outpatient"/>
    <s v="Rehabilitation Services"/>
    <s v="32577900, OP OCCUPATIONAL THERAPY"/>
    <s v="1000 Baseline Billed Time Units (BTUs)"/>
    <n v="195.54"/>
    <n v="248.34"/>
    <n v="0.51849999999999996"/>
    <n v="21.1"/>
    <n v="17.39"/>
    <n v="3.6999999999999998E-2"/>
    <n v="28"/>
    <n v="22.17"/>
    <n v="22.74"/>
    <n v="24.52"/>
    <n v="0.89649999999999996"/>
    <n v="2.3199999999999998"/>
    <n v="-55526.113178606502"/>
    <n v="-1460"/>
    <n v="-0.70019512415045404"/>
  </r>
  <r>
    <s v="3854Providence Saint Mary Medical Center481132577702, IP PHYSICAL THERAPY"/>
    <m/>
    <x v="4"/>
    <s v="SER"/>
    <s v="WA"/>
    <n v="3854"/>
    <x v="8"/>
    <n v="4811"/>
    <s v="Physical Therapy: Inpatient"/>
    <s v="Rehabilitation Services"/>
    <s v="32577702, IP PHYSICAL THERAPY"/>
    <s v="1000 Baseline Billed Time Units (BTUs)"/>
    <n v="350.76"/>
    <n v="472.46"/>
    <n v="0.70369999999999999"/>
    <n v="38.81"/>
    <n v="32.270000000000003"/>
    <n v="0.83330000000000004"/>
    <n v="28"/>
    <n v="25.17"/>
    <n v="26.03"/>
    <n v="27.3"/>
    <n v="0.91549999999999998"/>
    <n v="8.01"/>
    <n v="100394.63841212299"/>
    <n v="3273"/>
    <n v="1.5693600143202899"/>
  </r>
  <r>
    <s v="3527Providence Portland Medical Center511152283410, NUTRITION SERVICES"/>
    <m/>
    <x v="3"/>
    <s v="OR"/>
    <s v="OR"/>
    <n v="3527"/>
    <x v="18"/>
    <n v="5111"/>
    <s v="Clinical Nutrition Services"/>
    <s v="Food and Nutrition Services"/>
    <s v="52283410, NUTRITION SERVICES"/>
    <s v="Total Medical Nutritional Therapy Interventions"/>
    <n v="34103"/>
    <n v="34618"/>
    <n v="0.62960000000000005"/>
    <n v="0.45"/>
    <n v="0.44"/>
    <n v="0.62960000000000005"/>
    <n v="28"/>
    <n v="0.35"/>
    <n v="0.37"/>
    <n v="0.41"/>
    <n v="0.90620000000000001"/>
    <n v="8.0500000000000007"/>
    <n v="82399.341019070198"/>
    <n v="2655"/>
    <n v="1.2731511597396099"/>
  </r>
  <r>
    <s v="2719Providence St Joseph Medical Center3099Surgical Services Administration (U,N)"/>
    <m/>
    <x v="2"/>
    <s v="CA"/>
    <s v="CA"/>
    <n v="2719"/>
    <x v="6"/>
    <n v="3099"/>
    <s v="Surgical Services Administration"/>
    <s v="Surgical Services"/>
    <s v="Surgical Services Administration (U,N)"/>
    <s v="Cases Supported"/>
    <n v="8887"/>
    <n v="8947"/>
    <n v="0.49280000000000002"/>
    <n v="1.54"/>
    <n v="1.95"/>
    <n v="0.69210000000000005"/>
    <n v="28"/>
    <n v="1.06"/>
    <n v="1.28"/>
    <n v="1.62"/>
    <n v="0.88880000000000003"/>
    <n v="9.42"/>
    <n v="358198.50155125302"/>
    <n v="6762"/>
    <n v="3.2422330647505899"/>
  </r>
  <r>
    <s v="3855Providence St Joseph Medical Center Polson441146577102, SJH Retail Pharmacy"/>
    <m/>
    <x v="4"/>
    <s v="WMR"/>
    <s v="MT"/>
    <n v="3855"/>
    <x v="30"/>
    <n v="4411"/>
    <s v="Pharmacy Retail/Prescription Services"/>
    <s v="Pharmacy Services"/>
    <s v="46577102, SJH Retail Pharmacy"/>
    <s v="Retail Prescriptions Processed"/>
    <m/>
    <n v="20967"/>
    <n v="0.40739999999999998"/>
    <m/>
    <n v="0.18"/>
    <n v="0.04"/>
    <n v="28"/>
    <n v="0.21"/>
    <n v="0.22"/>
    <n v="0.23"/>
    <n v="0.91569999999999996"/>
    <n v="2.0299999999999998"/>
    <n v="-28718.685274298601"/>
    <n v="-803"/>
    <n v="-0.38520456393730701"/>
  </r>
  <r>
    <s v="3848Providence St Patrick Hospital &amp; Health Science Ce344046076390, MAMMOGRAPHY"/>
    <m/>
    <x v="4"/>
    <s v="WMR"/>
    <s v="MT"/>
    <n v="3848"/>
    <x v="21"/>
    <n v="3440"/>
    <s v="Mammography"/>
    <s v="Imaging Services"/>
    <s v="46076390, MAMMOGRAPHY"/>
    <s v="APC Relative Weight"/>
    <n v="9877.36"/>
    <n v="13932.68"/>
    <n v="0.51849999999999996"/>
    <n v="0.62"/>
    <n v="0.49"/>
    <n v="7.1400000000000005E-2"/>
    <n v="28"/>
    <n v="0.5"/>
    <n v="0.54"/>
    <n v="0.61"/>
    <n v="0.90029999999999999"/>
    <n v="3.64"/>
    <n v="-22728.943295423702"/>
    <n v="-765"/>
    <n v="-0.36672311096314097"/>
  </r>
  <r>
    <s v="3848Providence St Patrick Hospital &amp; Health Science Ce401046076420, RADIATION ONCOLOGY"/>
    <m/>
    <x v="4"/>
    <s v="WMR"/>
    <s v="MT"/>
    <n v="3848"/>
    <x v="21"/>
    <n v="4010"/>
    <s v="Radiation Therapy (Oncology)"/>
    <s v="Radiation Therapy Services"/>
    <s v="46076420, RADIATION ONCOLOGY"/>
    <s v="APC Relative Weight"/>
    <n v="70910.33"/>
    <n v="49027.92"/>
    <n v="0.51849999999999996"/>
    <n v="0.26"/>
    <n v="0.4"/>
    <n v="0.55559999999999998"/>
    <n v="28"/>
    <n v="0.35"/>
    <n v="0.37"/>
    <n v="0.4"/>
    <n v="0.90969999999999995"/>
    <n v="10.48"/>
    <n v="79895.075627672501"/>
    <n v="1917"/>
    <n v="0.91917966725251399"/>
  </r>
  <r>
    <s v="3524Providence St Peter Hospital521133084400, ENVIRONMENTAL SERVICES"/>
    <m/>
    <x v="1"/>
    <s v="SWR"/>
    <s v="WA"/>
    <n v="3524"/>
    <x v="2"/>
    <n v="5211"/>
    <s v="Environmental Services"/>
    <s v="Environmental Services"/>
    <s v="33084400, ENVIRONMENTAL SERVICES"/>
    <s v="1000 Net Sq Ft Cleaned"/>
    <n v="873.55"/>
    <n v="873.55"/>
    <n v="0.55559999999999998"/>
    <n v="173.1"/>
    <n v="178.11"/>
    <n v="0.44440000000000002"/>
    <n v="28"/>
    <n v="166.46"/>
    <n v="174.23"/>
    <n v="182.18"/>
    <n v="0.89380000000000004"/>
    <n v="83.69"/>
    <n v="78062.343691712798"/>
    <n v="4270"/>
    <n v="2.0470829838489402"/>
  </r>
  <r>
    <s v="3535Providence St Vincent Medical Center345053076700, ULTRASOUND"/>
    <m/>
    <x v="3"/>
    <s v="OR"/>
    <s v="OR"/>
    <n v="3535"/>
    <x v="22"/>
    <n v="3450"/>
    <s v="Ultrasound"/>
    <s v="Imaging Services"/>
    <s v="53076700, ULTRASOUND"/>
    <s v="APC Relative Weight"/>
    <n v="53213.06"/>
    <n v="52640.76"/>
    <n v="0.70369999999999999"/>
    <n v="0.51"/>
    <n v="0.52"/>
    <n v="0.96299999999999997"/>
    <n v="28"/>
    <n v="0.39"/>
    <n v="0.41"/>
    <n v="0.44"/>
    <n v="0.92130000000000001"/>
    <n v="14.26"/>
    <n v="303122.53591380001"/>
    <n v="6316"/>
    <n v="3.0281034397025302"/>
  </r>
  <r>
    <s v="4283Providence St. John's Health Center127273563800, 74002 OBSTETRICS ACUTE /ANTEPARTUM (U)"/>
    <m/>
    <x v="2"/>
    <s v="CA"/>
    <s v="CA"/>
    <n v="4283"/>
    <x v="23"/>
    <n v="1272"/>
    <s v="Mother/Baby Unit"/>
    <s v="Nursing Services"/>
    <s v="73563800, 74002 OBSTETRICS ACUTE /ANTEPARTUM (U)"/>
    <s v="Equivalent Patient Day"/>
    <m/>
    <n v="11620.63"/>
    <n v="0.51060000000000005"/>
    <m/>
    <n v="6.31"/>
    <n v="8.0699999999999994E-2"/>
    <n v="28"/>
    <n v="7.3"/>
    <n v="7.43"/>
    <n v="7.57"/>
    <n v="0.86339999999999995"/>
    <n v="40.85"/>
    <n v="-781281.41762421001"/>
    <n v="-14801"/>
    <n v="-7.0962451711145196"/>
  </r>
  <r>
    <s v="4283Providence St. John's Health Center411073577200, SJHC RESPIRATORY THERAPY (U)"/>
    <m/>
    <x v="2"/>
    <s v="CA"/>
    <s v="CA"/>
    <n v="4283"/>
    <x v="23"/>
    <n v="4110"/>
    <s v="Respiratory Care"/>
    <s v="Respiratory and Pulmonary Care Services"/>
    <s v="73577200, SJHC RESPIRATORY THERAPY (U)"/>
    <s v="CMI Weighted Discharges"/>
    <m/>
    <n v="5094.6400000000003"/>
    <n v="0.51719999999999999"/>
    <m/>
    <n v="2.1819559380054332"/>
    <n v="0.89290000000000003"/>
    <n v="28"/>
    <n v="2.41"/>
    <n v="2.5299999999999998"/>
    <n v="2.81"/>
    <n v="0.8841"/>
    <n v="23.46"/>
    <n v="-83353.123348037509"/>
    <n v="-2005.6093202126444"/>
    <n v="-3.7140913337271195"/>
  </r>
  <r>
    <s v="4283Providence St. John's Health Center304073574300, SJHC AMBULATORY SURGERY CENTER"/>
    <m/>
    <x v="2"/>
    <s v="CA"/>
    <s v="CA"/>
    <n v="4283"/>
    <x v="23"/>
    <n v="3040"/>
    <s v="Ambulatory Surgery Center"/>
    <s v="Surgical Services"/>
    <s v="73574300, SJHC AMBULATORY SURGERY CENTER"/>
    <s v="100 Operating Room Minutes"/>
    <n v="440.4"/>
    <n v="490.5"/>
    <n v="0.55559999999999998"/>
    <n v="21.74"/>
    <n v="22.48"/>
    <n v="0.84619999999999995"/>
    <n v="28"/>
    <n v="18.239999999999998"/>
    <n v="18.7"/>
    <n v="19.28"/>
    <n v="0.90769999999999995"/>
    <n v="23.36"/>
    <n v="25290.471182634599"/>
    <n v="2075.4422800484731"/>
    <n v="3.9803275256239599"/>
  </r>
  <r>
    <s v="3755Providence Tarzana Medical Center121172561731, MED SURG 3"/>
    <m/>
    <x v="2"/>
    <s v="CA"/>
    <s v="CA"/>
    <n v="3755"/>
    <x v="3"/>
    <n v="1211"/>
    <s v="General Medical Acute Care Unit"/>
    <s v="Nursing Services"/>
    <s v="72561731, MED SURG 3"/>
    <s v="Equivalent Patient Day"/>
    <n v="3937"/>
    <n v="5622"/>
    <n v="0.40739999999999998"/>
    <n v="12.6"/>
    <n v="10.23"/>
    <n v="0.34620000000000001"/>
    <n v="28"/>
    <n v="10.09"/>
    <n v="10.25"/>
    <n v="10.58"/>
    <n v="0.86550000000000005"/>
    <n v="31.94"/>
    <n v="1416.8568125740901"/>
    <n v="37"/>
    <n v="1.7581025667144701E-2"/>
  </r>
  <r>
    <s v="3755Providence Tarzana Medical Center553072584700 84705 84725 PBX/Telecom Maint (U)"/>
    <m/>
    <x v="2"/>
    <s v="CA"/>
    <s v="CA"/>
    <n v="3755"/>
    <x v="3"/>
    <n v="5530"/>
    <s v="Call Center / Switchboard"/>
    <s v="Information Technology"/>
    <s v="72584700 84705 84725 PBX/Telecom Maint (U)"/>
    <s v="Adjusted Discharges"/>
    <n v="17618.29"/>
    <n v="19617.5"/>
    <n v="0.4703"/>
    <n v="0.51"/>
    <n v="0.49"/>
    <n v="0.40770000000000001"/>
    <n v="28"/>
    <n v="0.42"/>
    <n v="0.47"/>
    <n v="0.6"/>
    <n v="0.90759999999999996"/>
    <n v="5.09"/>
    <n v="9094.8872414444195"/>
    <n v="457"/>
    <n v="0.21925727127618899"/>
  </r>
  <r>
    <s v="3755Providence Tarzana Medical Center424172575930, CARDIAC REHAB"/>
    <m/>
    <x v="2"/>
    <s v="CA"/>
    <s v="CA"/>
    <n v="3755"/>
    <x v="3"/>
    <n v="4241"/>
    <s v="Cardiac Rehabilitation Services"/>
    <s v="Cardiology and Vascular Services Series"/>
    <s v="72575930, CARDIAC REHAB"/>
    <s v="Patient Visits"/>
    <n v="3088"/>
    <n v="2835"/>
    <n v="0.37040000000000001"/>
    <m/>
    <n v="2.42"/>
    <n v="0.90910000000000002"/>
    <n v="28"/>
    <n v="0.98"/>
    <n v="1.19"/>
    <n v="1.3"/>
    <n v="0.873"/>
    <n v="3.77"/>
    <n v="167440.65809746299"/>
    <n v="3999"/>
    <n v="1.91717697190837"/>
  </r>
  <r>
    <s v="3755Providence Tarzana Medical Center500172584600, 84500 Plant Operations - Maintenance - POM"/>
    <m/>
    <x v="2"/>
    <s v="CA"/>
    <s v="CA"/>
    <n v="3755"/>
    <x v="3"/>
    <n v="5001"/>
    <s v="Plant Operations / Plant Maintenance and Grounds"/>
    <s v="Facility Services"/>
    <s v="72584600, 84500 Plant Operations - Maintenance - POM"/>
    <s v="1000 Gross Square Feet Maintained"/>
    <n v="446.25"/>
    <n v="646.25"/>
    <n v="0.51849999999999996"/>
    <n v="55.59"/>
    <n v="13.32"/>
    <m/>
    <n v="28"/>
    <n v="32.06"/>
    <n v="35.51"/>
    <n v="38.68"/>
    <n v="0.87529999999999997"/>
    <n v="4.7300000000000004"/>
    <n v="-358740.26320951199"/>
    <n v="-16352"/>
    <n v="-7.8402078481344901"/>
  </r>
  <r>
    <s v="3928Swedish Cherry Hill441022077100 PHARMACY"/>
    <m/>
    <x v="1"/>
    <s v="SHS"/>
    <s v="WA"/>
    <n v="3928"/>
    <x v="25"/>
    <n v="4410"/>
    <s v="Pharmacy Services"/>
    <s v="Pharmacy Services"/>
    <s v="22077100 PHARMACY"/>
    <s v="CMI Weighted Department Adjusted Discharges"/>
    <n v="26830.98"/>
    <n v="29845.9"/>
    <n v="0.48149999999999998"/>
    <n v="1.68"/>
    <n v="1.69"/>
    <n v="0.33329999999999999"/>
    <n v="28"/>
    <n v="1.65"/>
    <n v="1.73"/>
    <n v="1.9"/>
    <n v="0.87949999999999995"/>
    <n v="27.52"/>
    <n v="-64981.173605192598"/>
    <n v="-1309"/>
    <n v="-0.62771193091220201"/>
  </r>
  <r>
    <s v="3928Swedish Cherry Hill464022072320 AMBULATORY INFUSION CENTER"/>
    <m/>
    <x v="1"/>
    <s v="SHS"/>
    <s v="WA"/>
    <n v="3928"/>
    <x v="25"/>
    <n v="4640"/>
    <s v="Hematology Oncology Infusion Therapy (Hema/Onc)"/>
    <s v="Other Clinical Support Services"/>
    <s v="22072320 AMBULATORY INFUSION CENTER"/>
    <s v="Infusions"/>
    <n v="1751"/>
    <n v="1765"/>
    <n v="0.48149999999999998"/>
    <n v="1.79"/>
    <n v="3.36"/>
    <n v="0.91300000000000003"/>
    <n v="28"/>
    <n v="2.0099999999999998"/>
    <n v="2.2999999999999998"/>
    <n v="2.84"/>
    <n v="0.81850000000000001"/>
    <n v="3.44"/>
    <n v="108754.036484335"/>
    <n v="2215"/>
    <n v="1.06205382089733"/>
  </r>
  <r>
    <s v="3928Swedish Cherry Hill309922086123 SURGICAL RESOURCES"/>
    <m/>
    <x v="1"/>
    <s v="SHS"/>
    <s v="WA"/>
    <n v="3928"/>
    <x v="25"/>
    <n v="3099"/>
    <s v="Surgical Services Administration"/>
    <s v="Surgical Services"/>
    <s v="22086123 SURGICAL RESOURCES"/>
    <s v="Cases Supported"/>
    <n v="5268"/>
    <n v="5628"/>
    <n v="0.48149999999999998"/>
    <n v="2.25"/>
    <n v="2.59"/>
    <n v="0.81479999999999997"/>
    <n v="28"/>
    <n v="0.97"/>
    <n v="1.32"/>
    <n v="1.54"/>
    <n v="0.8891"/>
    <n v="7.89"/>
    <n v="354422.07097107102"/>
    <n v="8101"/>
    <n v="3.8838651071305499"/>
  </r>
  <r>
    <s v="3929Swedish Edmonds224123070710 INTERNAL MEDICINE CLINIC"/>
    <m/>
    <x v="1"/>
    <s v="SHS"/>
    <s v="WA"/>
    <n v="3929"/>
    <x v="31"/>
    <n v="2241"/>
    <s v="General Medicine Clinic"/>
    <s v="Ambulatory Care Clinics"/>
    <s v="23070710 INTERNAL MEDICINE CLINIC"/>
    <s v="Patient Visits"/>
    <n v="14957"/>
    <n v="16552"/>
    <n v="0.44440000000000002"/>
    <n v="0.83"/>
    <n v="0.83"/>
    <n v="7.4099999999999999E-2"/>
    <n v="28"/>
    <n v="1.19"/>
    <n v="1.29"/>
    <n v="1.62"/>
    <n v="0.89180000000000004"/>
    <n v="7.42"/>
    <n v="-245576.980147717"/>
    <n v="-8467"/>
    <n v="-4.0594446614723303"/>
  </r>
  <r>
    <s v="3929Swedish Edmonds482523077900 IP OCCUPATIONAL THERAPY"/>
    <m/>
    <x v="1"/>
    <s v="SHS"/>
    <s v="WA"/>
    <n v="3929"/>
    <x v="31"/>
    <n v="4825"/>
    <s v="Occupational Therapy: Inpatient and Outpatient"/>
    <s v="Rehabilitation Services"/>
    <s v="23077900 IP OCCUPATIONAL THERAPY"/>
    <s v="1000 Baseline Billed Time Units (BTUs)"/>
    <n v="174.77"/>
    <n v="195.86"/>
    <n v="0.51849999999999996"/>
    <n v="33.28"/>
    <n v="33.619999999999997"/>
    <n v="0.88890000000000002"/>
    <n v="28"/>
    <n v="22.33"/>
    <n v="23.03"/>
    <n v="24.95"/>
    <n v="0.82140000000000002"/>
    <n v="3.85"/>
    <n v="108881.08827608101"/>
    <n v="2539"/>
    <n v="1.2171073721610901"/>
  </r>
  <r>
    <s v="3927Swedish First Hill191021087202 NURSING SUPERVISORS"/>
    <m/>
    <x v="1"/>
    <s v="SHS"/>
    <s v="WA"/>
    <n v="3927"/>
    <x v="26"/>
    <n v="1910"/>
    <s v="Nursing Administration"/>
    <s v="Nursing Services"/>
    <s v="21087202 NURSING SUPERVISORS"/>
    <s v="Nursing Division Employees"/>
    <n v="1343"/>
    <n v="1463"/>
    <n v="0.48149999999999998"/>
    <n v="16.350000000000001"/>
    <n v="25.36"/>
    <n v="0.04"/>
    <n v="28"/>
    <n v="34.4"/>
    <n v="41.33"/>
    <n v="46.71"/>
    <n v="0.86160000000000003"/>
    <n v="16.64"/>
    <n v="-2205745.8003598601"/>
    <n v="-35473"/>
    <n v="-17.007453373190899"/>
  </r>
  <r>
    <s v="3927Swedish First Hill464021072320 AMBULATORY INFUSION CENTER"/>
    <m/>
    <x v="1"/>
    <s v="SHS"/>
    <s v="WA"/>
    <n v="3927"/>
    <x v="26"/>
    <n v="4640"/>
    <s v="Hematology Oncology Infusion Therapy (Hema/Onc)"/>
    <s v="Other Clinical Support Services"/>
    <s v="21072320 AMBULATORY INFUSION CENTER"/>
    <s v="Infusions"/>
    <n v="3846"/>
    <n v="4292"/>
    <n v="0.60919999999999996"/>
    <n v="2.02"/>
    <n v="1.43"/>
    <n v="5.5500000000000001E-2"/>
    <n v="28"/>
    <n v="1.96"/>
    <n v="2.11"/>
    <n v="2.5099999999999998"/>
    <n v="0.85209999999999997"/>
    <n v="3.47"/>
    <n v="-182863.97803323201"/>
    <n v="-3391"/>
    <n v="-1.6256520152876299"/>
  </r>
  <r>
    <s v="3927Swedish First Hill121221061792 SHORT STAY UNIT"/>
    <m/>
    <x v="1"/>
    <s v="SHS"/>
    <s v="WA"/>
    <n v="3927"/>
    <x v="26"/>
    <n v="1212"/>
    <s v="General Surgical Acute Care Unit"/>
    <s v="Nursing Services"/>
    <s v="21061792 SHORT STAY UNIT"/>
    <s v="Equivalent Patient Day"/>
    <n v="2931.29"/>
    <n v="4326"/>
    <n v="0.59260000000000002"/>
    <n v="14.02"/>
    <n v="11"/>
    <n v="0.34620000000000001"/>
    <n v="28"/>
    <n v="10.6"/>
    <n v="11.01"/>
    <n v="11.44"/>
    <n v="0.87490000000000001"/>
    <n v="26.14"/>
    <n v="3552.9099751711601"/>
    <n v="81"/>
    <n v="3.861357068606E-2"/>
  </r>
  <r>
    <s v="3927Swedish First Hill342021076800 CT SCANNING"/>
    <m/>
    <x v="1"/>
    <s v="SHS"/>
    <s v="WA"/>
    <n v="3927"/>
    <x v="26"/>
    <n v="3420"/>
    <s v="Computerized Tomography"/>
    <s v="Imaging Services"/>
    <s v="21076800 CT SCANNING"/>
    <s v="APC Relative Weight"/>
    <n v="67553.7"/>
    <n v="68458.5"/>
    <n v="0.62960000000000005"/>
    <n v="0.27"/>
    <n v="0.27"/>
    <n v="0.53849999999999998"/>
    <n v="28"/>
    <n v="0.22"/>
    <n v="0.24"/>
    <n v="0.26"/>
    <n v="0.90349999999999997"/>
    <n v="9.66"/>
    <n v="95713.489180605102"/>
    <n v="1963"/>
    <n v="0.941161711529789"/>
  </r>
  <r>
    <s v="3927Swedish First Hill224221074295 SCI BREAST SURGERY"/>
    <m/>
    <x v="1"/>
    <s v="SHS"/>
    <s v="WA"/>
    <n v="3927"/>
    <x v="26"/>
    <n v="2242"/>
    <s v="General Surgery Clinic"/>
    <s v="Ambulatory Care Clinics"/>
    <s v="21074295 SCI BREAST SURGERY"/>
    <s v="Patient Visits"/>
    <n v="7765"/>
    <n v="7026"/>
    <n v="0.48149999999999998"/>
    <n v="1.57"/>
    <n v="1.65"/>
    <n v="0.55559999999999998"/>
    <n v="28"/>
    <n v="1.0900000000000001"/>
    <n v="1.33"/>
    <n v="1.59"/>
    <n v="0.85929999999999995"/>
    <n v="6.5"/>
    <n v="123216.48138218401"/>
    <n v="2682"/>
    <n v="1.2860947640659299"/>
  </r>
  <r>
    <s v="3927Swedish First Hill441021077100 PHARMACY"/>
    <m/>
    <x v="1"/>
    <s v="SHS"/>
    <s v="WA"/>
    <n v="3927"/>
    <x v="26"/>
    <n v="4410"/>
    <s v="Pharmacy Services"/>
    <s v="Pharmacy Services"/>
    <s v="21077100 PHARMACY"/>
    <s v="CMI Weighted Department Adjusted Discharges"/>
    <n v="109733.81"/>
    <n v="61689.95"/>
    <n v="0.59260000000000002"/>
    <n v="1.44"/>
    <n v="2.57"/>
    <n v="0.53849999999999998"/>
    <n v="28"/>
    <n v="1.79"/>
    <n v="2.25"/>
    <n v="2.48"/>
    <n v="0.88990000000000002"/>
    <n v="85.82"/>
    <n v="1078258.4592462201"/>
    <n v="23020"/>
    <n v="11.0368269287936"/>
  </r>
  <r>
    <s v="3531Providence Medford Medical Center338059075200, PATHOLOGY"/>
    <m/>
    <x v="3"/>
    <s v="OR"/>
    <s v="OR"/>
    <n v="3531"/>
    <x v="29"/>
    <n v="3380"/>
    <s v="Laboratory Services: Anatomic Pathology"/>
    <s v="Laboratory Services"/>
    <s v="59075200, PATHOLOGY"/>
    <s v="100 Billed Tests"/>
    <n v="207.69"/>
    <n v="132.55000000000001"/>
    <n v="0.55559999999999998"/>
    <n v="27.13"/>
    <n v="43.08"/>
    <n v="0.56520000000000004"/>
    <n v="28"/>
    <n v="36.5"/>
    <n v="37.299999999999997"/>
    <n v="41.78"/>
    <n v="0.91610000000000003"/>
    <n v="3"/>
    <n v="27959.139803604299"/>
    <n v="860"/>
    <n v="0.41241967899708798"/>
  </r>
  <r>
    <s v="2947Providence Alaska Medical Center12124 North Surgical"/>
    <m/>
    <x v="0"/>
    <s v="AK"/>
    <s v="AK"/>
    <n v="2947"/>
    <x v="0"/>
    <n v="1212"/>
    <s v="General Surgical Acute Care Unit"/>
    <s v="Nursing Services"/>
    <s v="4 North Surgical"/>
    <s v="Equivalent Patient Day"/>
    <n v="9030"/>
    <n v="9445"/>
    <n v="0.5"/>
    <n v="11.42"/>
    <n v="10.855509793541556"/>
    <n v="0.70369999999999999"/>
    <n v="29"/>
    <n v="10.29"/>
    <n v="10.56"/>
    <n v="10.84"/>
    <n v="0.874"/>
    <n v="56.41"/>
    <n v="94175.336498855439"/>
    <n v="3193.4668192219547"/>
    <n v="1.5311173745256794"/>
  </r>
  <r>
    <s v="3523Providence Everett Medical Center432031678748, Sleep Lab"/>
    <m/>
    <x v="1"/>
    <s v="NWR"/>
    <s v="WA"/>
    <n v="3523"/>
    <x v="1"/>
    <n v="4320"/>
    <s v="Sleep Diagnostic Center"/>
    <s v="Neurodiagnostic Services"/>
    <s v="31678748, Sleep Lab"/>
    <s v="APC Relative Weight"/>
    <n v="14550.78"/>
    <n v="14304.86"/>
    <n v="0.53569999999999995"/>
    <n v="0.61"/>
    <n v="0.57999999999999996"/>
    <n v="0"/>
    <n v="29"/>
    <n v="0.84"/>
    <n v="0.86"/>
    <n v="0.95"/>
    <n v="0.88790000000000002"/>
    <n v="4.51"/>
    <n v="-151481.949657499"/>
    <n v="-4449"/>
    <n v="-2.13302926827259"/>
  </r>
  <r>
    <s v="2687Providence Holy Cross Medical Center4899Rehabilitation Services Administration (U,N)"/>
    <m/>
    <x v="2"/>
    <s v="CA"/>
    <s v="CA"/>
    <n v="2687"/>
    <x v="4"/>
    <n v="4899"/>
    <s v="Rehabilitation Services Administration"/>
    <s v="Rehabilitation Services"/>
    <s v="Rehabilitation Services Administration (U,N)"/>
    <s v="1000 Baseline Billed Time Units (BTUs) Supported"/>
    <n v="2539.5"/>
    <n v="3652.62"/>
    <n v="0.56499999999999995"/>
    <n v="2.4700000000000002"/>
    <n v="2.71"/>
    <n v="0.31840000000000002"/>
    <n v="29"/>
    <n v="2.4700000000000002"/>
    <n v="3.07"/>
    <n v="4.1900000000000004"/>
    <n v="0.87380000000000002"/>
    <n v="5.45"/>
    <n v="-66365.654630479607"/>
    <n v="-1466"/>
    <n v="-0.70288767368829297"/>
  </r>
  <r>
    <s v="2687Providence Holy Cross Medical Center141072064400, 3D ACUTE REHAB (IRF)"/>
    <m/>
    <x v="2"/>
    <s v="CA"/>
    <s v="CA"/>
    <n v="2687"/>
    <x v="4"/>
    <n v="1410"/>
    <s v="Acute Rehabilitation Unit"/>
    <s v="Nursing Services"/>
    <s v="72064400, 3D ACUTE REHAB (IRF)"/>
    <s v="Equivalent Patient Day"/>
    <n v="2583"/>
    <n v="2859"/>
    <n v="0.53569999999999995"/>
    <n v="13.43"/>
    <n v="12.97"/>
    <n v="0.92"/>
    <n v="29"/>
    <n v="9.73"/>
    <n v="10.130000000000001"/>
    <n v="10.47"/>
    <n v="0.90180000000000005"/>
    <n v="19.77"/>
    <n v="374153.660090335"/>
    <n v="9119"/>
    <n v="4.3720988021878604"/>
  </r>
  <r>
    <s v="3851Providence Holy Family Hospital111136560101, ADVANCED CARE"/>
    <m/>
    <x v="4"/>
    <s v="PHC"/>
    <s v="WA"/>
    <n v="3851"/>
    <x v="11"/>
    <n v="1111"/>
    <s v="Med/Surg/Cardiac Intermediate Care Unit"/>
    <s v="Nursing Services"/>
    <s v="36560101, ADVANCED CARE"/>
    <s v="Equivalent Patient Day"/>
    <n v="10354.51"/>
    <n v="10498"/>
    <n v="0.53569999999999995"/>
    <n v="10.31"/>
    <n v="10.96"/>
    <n v="0.28570000000000001"/>
    <n v="29"/>
    <n v="10.77"/>
    <n v="11.28"/>
    <n v="12.06"/>
    <n v="0.87709999999999999"/>
    <n v="63.09"/>
    <n v="-120348.88089922399"/>
    <n v="-3423"/>
    <n v="-1.6413576642969301"/>
  </r>
  <r>
    <s v="3851Providence Holy Family Hospital309936574204, SURGERY ADMIN"/>
    <m/>
    <x v="4"/>
    <s v="PHC"/>
    <s v="WA"/>
    <n v="3851"/>
    <x v="11"/>
    <n v="3099"/>
    <s v="Surgical Services Administration"/>
    <s v="Surgical Services"/>
    <s v="36574204, SURGERY ADMIN"/>
    <s v="Cases Supported"/>
    <n v="7748"/>
    <n v="9082"/>
    <n v="0.35709999999999997"/>
    <n v="0.98"/>
    <n v="0.82"/>
    <n v="6.6699999999999995E-2"/>
    <n v="29"/>
    <n v="1.1299999999999999"/>
    <n v="1.4"/>
    <n v="1.71"/>
    <n v="0.87229999999999996"/>
    <n v="4.1100000000000003"/>
    <n v="-236422.69348041201"/>
    <n v="-6004"/>
    <n v="-2.8786263223091599"/>
  </r>
  <r>
    <s v="3850Providence Mount Carmel Hospital341137076300, DIAGNOSTIC IMAGING"/>
    <m/>
    <x v="4"/>
    <s v="PHC"/>
    <s v="WA"/>
    <n v="3850"/>
    <x v="16"/>
    <n v="3411"/>
    <s v="Diagnostic Radiology Without Interventional Procedures"/>
    <s v="Imaging Services"/>
    <s v="37076300, DIAGNOSTIC IMAGING"/>
    <s v="APC Relative Weight"/>
    <n v="34709.040000000001"/>
    <n v="37016"/>
    <n v="0.89290000000000003"/>
    <n v="0.59"/>
    <n v="0.56000000000000005"/>
    <n v="0.1429"/>
    <n v="29"/>
    <n v="0.6"/>
    <n v="0.66"/>
    <n v="0.71"/>
    <n v="0.88249999999999995"/>
    <n v="11.34"/>
    <n v="-138533.273391861"/>
    <n v="-4032"/>
    <n v="-1.93293192100912"/>
  </r>
  <r>
    <s v="3530Providence Newberg Hospital481257078095, SHERWOOD REHAB"/>
    <m/>
    <x v="3"/>
    <s v="OR"/>
    <s v="OR"/>
    <n v="3530"/>
    <x v="17"/>
    <n v="4812"/>
    <s v="Physical Therapy: Outpatient"/>
    <s v="Rehabilitation Services"/>
    <s v="57078095, SHERWOOD REHAB"/>
    <s v="1000 Baseline Billed Time Units (BTUs)"/>
    <n v="355.94"/>
    <n v="461.82"/>
    <n v="0.53569999999999995"/>
    <n v="22.81"/>
    <n v="19.73"/>
    <n v="0.1852"/>
    <n v="29"/>
    <n v="20.53"/>
    <n v="21.52"/>
    <n v="22.68"/>
    <n v="0.91979999999999995"/>
    <n v="4.76"/>
    <n v="-31806.6662805411"/>
    <n v="-877"/>
    <n v="-0.42047709152696"/>
  </r>
  <r>
    <s v="3527Providence Portland Medical Center201052270100, 52270101 EMERGENCY SERVICES"/>
    <m/>
    <x v="3"/>
    <s v="OR"/>
    <s v="OR"/>
    <n v="3527"/>
    <x v="18"/>
    <n v="2010"/>
    <s v="Emergency Department"/>
    <s v="Emergency Services"/>
    <s v="52270100, 52270101 EMERGENCY SERVICES"/>
    <s v="Patient Visits"/>
    <n v="65518"/>
    <n v="66464"/>
    <n v="0.53569999999999995"/>
    <n v="2.91"/>
    <n v="3.1"/>
    <n v="0.73080000000000001"/>
    <n v="29"/>
    <n v="2.62"/>
    <n v="2.73"/>
    <n v="2.82"/>
    <n v="0.89600000000000002"/>
    <n v="110.49"/>
    <n v="1306105.23497149"/>
    <n v="27942"/>
    <n v="13.3966979910821"/>
  </r>
  <r>
    <s v="3527Providence Portland Medical Center422052275601, HEART CLINIC ECHO (U)"/>
    <m/>
    <x v="3"/>
    <s v="OR"/>
    <s v="OR"/>
    <n v="3527"/>
    <x v="18"/>
    <n v="4220"/>
    <s v="Combined Noninvasive Cardiology and Vascular Services"/>
    <s v="Cardiology and Vascular Services Series"/>
    <s v="52275601, HEART CLINIC ECHO (U)"/>
    <s v="APC Relative Weight"/>
    <n v="14707.14"/>
    <n v="28321.35"/>
    <n v="0.44650000000000001"/>
    <n v="0.27"/>
    <n v="0.15"/>
    <m/>
    <n v="29"/>
    <n v="0.25"/>
    <n v="0.28000000000000003"/>
    <n v="0.33"/>
    <n v="0.88929999999999998"/>
    <n v="2.25"/>
    <n v="-158828.12720384801"/>
    <n v="-4224"/>
    <n v="-2.0253517239993899"/>
  </r>
  <r>
    <s v="3852Providence Sacred Heart Medical Center121334561703, CARDIAC MEDICAL"/>
    <m/>
    <x v="4"/>
    <s v="PHC"/>
    <s v="WA"/>
    <n v="3852"/>
    <x v="9"/>
    <n v="1213"/>
    <s v="Med/Surg/Cardiac Acute Care Unit"/>
    <s v="Nursing Services"/>
    <s v="34561703, CARDIAC MEDICAL"/>
    <s v="Equivalent Patient Day"/>
    <n v="7651.87"/>
    <n v="7572"/>
    <n v="0.46429999999999999"/>
    <n v="11.97"/>
    <n v="12.18"/>
    <n v="0.92589999999999995"/>
    <n v="29"/>
    <n v="10.4"/>
    <n v="10.53"/>
    <n v="10.86"/>
    <n v="0.89759999999999995"/>
    <n v="49.39"/>
    <n v="528740.60492495098"/>
    <n v="14184"/>
    <n v="6.8003283910119903"/>
  </r>
  <r>
    <s v="3854Providence Saint Mary Medical Center432032578740, SLEEP LABORATORY"/>
    <m/>
    <x v="4"/>
    <s v="SER"/>
    <s v="WA"/>
    <n v="3854"/>
    <x v="8"/>
    <n v="4320"/>
    <s v="Sleep Diagnostic Center"/>
    <s v="Neurodiagnostic Services"/>
    <s v="32578740, SLEEP LABORATORY"/>
    <s v="APC Relative Weight"/>
    <n v="7926.46"/>
    <n v="8103.73"/>
    <n v="0.46429999999999999"/>
    <n v="1.37"/>
    <n v="1.45"/>
    <n v="0.92589999999999995"/>
    <n v="29"/>
    <n v="0.92"/>
    <n v="0.95"/>
    <n v="1.01"/>
    <n v="0.86629999999999996"/>
    <n v="6.5"/>
    <n v="145152.068767994"/>
    <n v="4670"/>
    <n v="2.23922684802015"/>
  </r>
  <r>
    <s v="3854Providence Saint Mary Medical Center335032575000, 75400 CLINICAL LAB SERVICES / BLOOD BANK"/>
    <m/>
    <x v="4"/>
    <s v="SER"/>
    <s v="WA"/>
    <n v="3854"/>
    <x v="8"/>
    <n v="3350"/>
    <s v="Laboratory Services: Clinical Operations and Blood Bank Combined"/>
    <s v="Laboratory Services"/>
    <s v="32575000, 75400 CLINICAL LAB SERVICES / BLOOD BANK"/>
    <s v="100 Billed Tests"/>
    <n v="2318.9499999999998"/>
    <n v="2339.7199999999998"/>
    <n v="0.64290000000000003"/>
    <n v="19.75"/>
    <n v="21.44"/>
    <n v="0.75"/>
    <n v="29"/>
    <n v="15.13"/>
    <n v="17.57"/>
    <n v="18.12"/>
    <n v="0.91139999999999999"/>
    <n v="26.46"/>
    <n v="303285.896114167"/>
    <n v="10082"/>
    <n v="4.8340704660887797"/>
  </r>
  <r>
    <s v="3524Providence St Peter Hospital111133060101, IMCU Med/Surg/Cardiac Intermediate Unit"/>
    <m/>
    <x v="1"/>
    <s v="SWR"/>
    <s v="WA"/>
    <n v="3524"/>
    <x v="2"/>
    <n v="1111"/>
    <s v="Med/Surg/Cardiac Intermediate Care Unit"/>
    <s v="Nursing Services"/>
    <s v="33060101, IMCU Med/Surg/Cardiac Intermediate Unit"/>
    <s v="Equivalent Patient Day"/>
    <n v="9397.4699999999993"/>
    <n v="9740.73"/>
    <n v="0.53569999999999995"/>
    <n v="11.23"/>
    <n v="10.34"/>
    <n v="0.1852"/>
    <n v="29"/>
    <n v="10.71"/>
    <n v="11.23"/>
    <n v="12.24"/>
    <n v="0.8528"/>
    <n v="56.78"/>
    <n v="-407021.65225228498"/>
    <n v="-9844"/>
    <n v="-4.7195911923604497"/>
  </r>
  <r>
    <s v="3524Providence St Peter Hospital5099Facilities Administration and Support (U,N)"/>
    <m/>
    <x v="1"/>
    <s v="SWR"/>
    <s v="WA"/>
    <n v="3524"/>
    <x v="2"/>
    <n v="5099"/>
    <s v="Facility Services Administration"/>
    <s v="Facility Services"/>
    <s v="Facilities Administration and Support (U,N)"/>
    <s v="1000 Gross Square Feet Maintained"/>
    <n v="1018.79"/>
    <n v="1018.79"/>
    <n v="0.52539999999999998"/>
    <n v="6.42"/>
    <n v="5.68"/>
    <n v="0.93130000000000002"/>
    <n v="29"/>
    <n v="2.08"/>
    <n v="2.42"/>
    <n v="2.71"/>
    <n v="0.85450000000000004"/>
    <n v="3.26"/>
    <n v="116745.79409002099"/>
    <n v="3914"/>
    <n v="1.8766370778103301"/>
  </r>
  <r>
    <s v="3535Providence St Vincent Medical Center121253061722, SPECIALITY SURGERY - 8W"/>
    <m/>
    <x v="3"/>
    <s v="OR"/>
    <s v="OR"/>
    <n v="3535"/>
    <x v="22"/>
    <n v="1212"/>
    <s v="General Surgical Acute Care Unit"/>
    <s v="Nursing Services"/>
    <s v="53061722, SPECIALITY SURGERY - 8W"/>
    <s v="Equivalent Patient Day"/>
    <n v="6349.46"/>
    <n v="5838"/>
    <n v="0.46429999999999999"/>
    <n v="8.7200000000000006"/>
    <n v="10.69"/>
    <n v="0.16"/>
    <n v="29"/>
    <n v="10.91"/>
    <n v="11"/>
    <n v="11.37"/>
    <n v="0.88819999999999999"/>
    <n v="33.78"/>
    <n v="-82764.062134768494"/>
    <n v="-1846"/>
    <n v="-0.88523636894491597"/>
  </r>
  <r>
    <s v="3535Providence St Vincent Medical Center401053076420, RADIATION ONCOLOGY"/>
    <m/>
    <x v="3"/>
    <s v="OR"/>
    <s v="OR"/>
    <n v="3535"/>
    <x v="22"/>
    <n v="4010"/>
    <s v="Radiation Therapy (Oncology)"/>
    <s v="Radiation Therapy Services"/>
    <s v="53076420, RADIATION ONCOLOGY"/>
    <s v="APC Relative Weight"/>
    <n v="104637.16"/>
    <n v="78503.69"/>
    <n v="0.57140000000000002"/>
    <n v="0.26"/>
    <n v="0.33"/>
    <n v="0.35709999999999997"/>
    <n v="29"/>
    <n v="0.31"/>
    <n v="0.33"/>
    <n v="0.38"/>
    <n v="0.85719999999999996"/>
    <n v="14.52"/>
    <n v="3117.1693102140498"/>
    <n v="62"/>
    <n v="2.9945890455840299E-2"/>
  </r>
  <r>
    <s v="4283Providence St. John's Health Center651073587100, SJHC MEDICAL STAFF ADMIN"/>
    <m/>
    <x v="2"/>
    <s v="CA"/>
    <s v="CA"/>
    <n v="4283"/>
    <x v="23"/>
    <n v="6510"/>
    <s v="Medical Staff Services"/>
    <s v="Medical Staff Services"/>
    <s v="73587100, SJHC MEDICAL STAFF ADMIN"/>
    <s v="Physicians On Active Medical Staff"/>
    <s v=" "/>
    <n v="191"/>
    <n v="0.46429999999999999"/>
    <s v=" "/>
    <n v="17.309999999999999"/>
    <n v="0.82140000000000002"/>
    <n v="29"/>
    <n v="4.2699999999999996"/>
    <n v="6.25"/>
    <n v="7.79"/>
    <n v="0.90849999999999997"/>
    <n v="6.76"/>
    <n v="204084.33043478258"/>
    <n v="2325.2173913043475"/>
    <n v="4.3059581320450881"/>
  </r>
  <r>
    <s v="3931Swedish Issaquah303022574270 RECOVERY"/>
    <m/>
    <x v="1"/>
    <s v="SHS"/>
    <s v="WA"/>
    <n v="3931"/>
    <x v="28"/>
    <n v="3030"/>
    <s v="Surgery Pre Op and Post Recovery Only"/>
    <s v="Surgical Services"/>
    <s v="22574270 RECOVERY"/>
    <s v="100 Patient Observation Minutes"/>
    <n v="5530.58"/>
    <n v="7008.24"/>
    <n v="0.64290000000000003"/>
    <n v="2.97"/>
    <n v="2.87"/>
    <n v="0.28000000000000003"/>
    <n v="29"/>
    <n v="2.72"/>
    <n v="2.97"/>
    <n v="3.28"/>
    <n v="0.91830000000000001"/>
    <n v="10.54"/>
    <n v="-35751.6926009581"/>
    <n v="-683"/>
    <n v="-0.32748350965756501"/>
  </r>
  <r>
    <s v="3535Providence St Vincent Medical Center511253083300,53083304,53083306,53083340,53083400 PT_NON PT FOOD SVC"/>
    <m/>
    <x v="3"/>
    <s v="OR"/>
    <s v="OR"/>
    <n v="3535"/>
    <x v="22"/>
    <n v="5112"/>
    <s v="Patient and Nonpatient Food Services"/>
    <s v="Food and Nutrition Services"/>
    <s v="53083300,53083304,53083306,53083340,53083400 PT_NON PT FOOD SVC"/>
    <s v="ART: Total Meal Equivalents"/>
    <n v="1886373.34"/>
    <n v="1977685.05"/>
    <n v="0.75"/>
    <n v="0.12"/>
    <n v="0.12"/>
    <n v="0.46429999999999999"/>
    <n v="29"/>
    <n v="0.1"/>
    <n v="0.11"/>
    <n v="0.12"/>
    <n v="0.89459999999999995"/>
    <n v="123.62"/>
    <n v="270032.16082919901"/>
    <n v="14658"/>
    <n v="7.0279117912795401"/>
  </r>
  <r>
    <s v="3755Providence Tarzana Medical Center307072583810, STERILE PROCESSING"/>
    <m/>
    <x v="2"/>
    <s v="CA"/>
    <s v="CA"/>
    <n v="3755"/>
    <x v="3"/>
    <n v="3070"/>
    <s v="Sterile Processing"/>
    <s v="Surgical Services"/>
    <s v="72583810, STERILE PROCESSING"/>
    <s v="100 Items Processed"/>
    <n v="577.85"/>
    <n v="593.64"/>
    <n v="0.60709999999999997"/>
    <n v="22.98"/>
    <n v="31.85"/>
    <n v="0.71430000000000005"/>
    <n v="29"/>
    <n v="17.989999999999998"/>
    <n v="18.27"/>
    <n v="21.92"/>
    <n v="0.9163"/>
    <n v="9.92"/>
    <n v="277766.31208130298"/>
    <n v="8854"/>
    <n v="4.2449175430217796"/>
  </r>
  <r>
    <s v="3928Swedish Cherry Hill481122077700 PHYSICAL THERAPY"/>
    <m/>
    <x v="1"/>
    <s v="SHS"/>
    <s v="WA"/>
    <n v="3928"/>
    <x v="25"/>
    <n v="4811"/>
    <s v="Physical Therapy: Inpatient"/>
    <s v="Rehabilitation Services"/>
    <s v="22077700 PHYSICAL THERAPY"/>
    <s v="1000 Baseline Billed Time Units (BTUs)"/>
    <n v="1241.1600000000001"/>
    <n v="1524.68"/>
    <n v="0.57140000000000002"/>
    <n v="23.66"/>
    <n v="20.49"/>
    <n v="0"/>
    <n v="29"/>
    <n v="25.69"/>
    <n v="26.05"/>
    <n v="28.7"/>
    <n v="0.88539999999999996"/>
    <n v="16.96"/>
    <n v="-411360.75386982999"/>
    <n v="-9485"/>
    <n v="-4.5477545863173896"/>
  </r>
  <r>
    <s v="3929Swedish Edmonds342023076800 CT SCANNING/23076850 PET CT"/>
    <m/>
    <x v="1"/>
    <s v="SHS"/>
    <s v="WA"/>
    <n v="3929"/>
    <x v="31"/>
    <n v="3420"/>
    <s v="Computerized Tomography"/>
    <s v="Imaging Services"/>
    <s v="23076800 CT SCANNING/23076850 PET CT"/>
    <s v="APC Relative Weight"/>
    <n v="52870.07"/>
    <n v="54981.68"/>
    <n v="0.60709999999999997"/>
    <n v="0.25"/>
    <n v="0.27"/>
    <n v="0.46429999999999999"/>
    <n v="29"/>
    <n v="0.24"/>
    <n v="0.25"/>
    <n v="0.27"/>
    <n v="0.90429999999999999"/>
    <n v="7.86"/>
    <n v="54324.812229670097"/>
    <n v="1194"/>
    <n v="0.57224703952499401"/>
  </r>
  <r>
    <s v="3929Swedish Edmonds481523077700 PHYSICAL THERAPY"/>
    <m/>
    <x v="1"/>
    <s v="SHS"/>
    <s v="WA"/>
    <n v="3929"/>
    <x v="31"/>
    <n v="4815"/>
    <s v="Physical Therapy: Inpatient and Outpatient"/>
    <s v="Rehabilitation Services"/>
    <s v="23077700 PHYSICAL THERAPY"/>
    <s v="1000 Baseline Billed Time Units (BTUs)"/>
    <n v="740.41"/>
    <n v="778.19"/>
    <n v="0.46429999999999999"/>
    <n v="28.19"/>
    <n v="27.7"/>
    <n v="0.74070000000000003"/>
    <n v="29"/>
    <n v="21.81"/>
    <n v="22.63"/>
    <n v="24.77"/>
    <n v="0.8629"/>
    <n v="12.01"/>
    <n v="201554.658395854"/>
    <n v="4641"/>
    <n v="2.22506625143208"/>
  </r>
  <r>
    <s v="3531Providence Medford Medical Center309959003099, SURG SVCS ADMIN (U,N)"/>
    <m/>
    <x v="3"/>
    <s v="OR"/>
    <s v="OR"/>
    <n v="3531"/>
    <x v="29"/>
    <n v="3099"/>
    <s v="Surgical Services Administration"/>
    <s v="Surgical Services"/>
    <s v="59003099, SURG SVCS ADMIN (U,N)"/>
    <s v="Cases Supported"/>
    <n v="6829"/>
    <n v="5649"/>
    <n v="0.60509999999999997"/>
    <n v="2"/>
    <n v="2.0229969906178082"/>
    <n v="0.8306"/>
    <n v="29"/>
    <n v="1.23"/>
    <n v="1.31"/>
    <n v="1.65"/>
    <n v="0.85350000000000004"/>
    <n v="6.44"/>
    <n v="178522.14130052718"/>
    <n v="4719.0626830697111"/>
    <n v="2.2625797972238151"/>
  </r>
  <r>
    <s v="3531Providence Medford Medical Center101359060100, ICU"/>
    <m/>
    <x v="3"/>
    <s v="OR"/>
    <s v="OR"/>
    <n v="3531"/>
    <x v="29"/>
    <n v="1013"/>
    <s v="Med/Surg/Cardiac Intensive Care Unit"/>
    <s v="Nursing Services"/>
    <s v="59060100, ICU"/>
    <s v="Equivalent Patient Day"/>
    <n v="3881.04"/>
    <n v="4056"/>
    <n v="0.57140000000000002"/>
    <n v="18.260000000000002"/>
    <n v="18.760000000000002"/>
    <n v="0.23080000000000001"/>
    <n v="29"/>
    <n v="18.87"/>
    <n v="19.03"/>
    <n v="20.36"/>
    <n v="0.87729999999999997"/>
    <n v="41.71"/>
    <n v="-44972.488731158803"/>
    <n v="-986"/>
    <n v="-0.47293212117463701"/>
  </r>
  <r>
    <s v="3523Providence Everett Medical Center592531683700, Patient Transport"/>
    <m/>
    <x v="1"/>
    <s v="NWR"/>
    <s v="WA"/>
    <n v="3523"/>
    <x v="1"/>
    <n v="5925"/>
    <s v="Patient Escort (Transport) Service"/>
    <s v="Other Support Services"/>
    <s v="31683700, Patient Transport"/>
    <s v="100 Patient Transports Performed"/>
    <n v="2890.73"/>
    <n v="2703.05"/>
    <n v="0.8276"/>
    <n v="26.89"/>
    <n v="29.41"/>
    <n v="0.28570000000000001"/>
    <n v="30"/>
    <n v="28.08"/>
    <n v="31.86"/>
    <n v="36.549999999999997"/>
    <n v="0.92020000000000002"/>
    <n v="41.53"/>
    <n v="-131612.69999028501"/>
    <n v="-6968"/>
    <n v="-3.3410033278743998"/>
  </r>
  <r>
    <s v="3523Providence Everett Medical Center127031674000, Labor And Delivery"/>
    <m/>
    <x v="1"/>
    <s v="NWR"/>
    <s v="WA"/>
    <n v="3523"/>
    <x v="1"/>
    <n v="1270"/>
    <s v="Labor/Delivery/Recovery/Postpartum/Nursery"/>
    <s v="Nursing Services"/>
    <s v="31674000, Labor And Delivery"/>
    <s v="Neonate Deliveries"/>
    <n v="4532"/>
    <n v="4641"/>
    <n v="1"/>
    <n v="61.4"/>
    <n v="60.79"/>
    <n v="0.44829999999999998"/>
    <n v="30"/>
    <n v="56.05"/>
    <n v="58.48"/>
    <n v="62.08"/>
    <n v="0.88490000000000002"/>
    <n v="153.28"/>
    <n v="552395.26467901701"/>
    <n v="12988"/>
    <n v="6.2273361520437902"/>
  </r>
  <r>
    <s v="3528Providence Hood River Memorial Hospital451056077400, HEMODIALYSIS"/>
    <m/>
    <x v="3"/>
    <s v="OR"/>
    <s v="OR"/>
    <n v="3528"/>
    <x v="12"/>
    <n v="4510"/>
    <s v="Dialysis"/>
    <s v="Dialysis Services"/>
    <s v="56077400, HEMODIALYSIS"/>
    <s v="Treatments"/>
    <n v="6793"/>
    <n v="2203"/>
    <n v="0.44829999999999998"/>
    <n v="2.31"/>
    <n v="6.15"/>
    <n v="0.88890000000000002"/>
    <n v="30"/>
    <n v="4.3"/>
    <n v="4.58"/>
    <n v="4.8899999999999997"/>
    <n v="0.88119999999999998"/>
    <n v="7.39"/>
    <n v="143689.919137536"/>
    <n v="3963"/>
    <n v="1.9002363714820001"/>
  </r>
  <r>
    <s v="3532Providence Little Company of Mary Hospital422076275900 04220 CARDIOLOGY (U)"/>
    <m/>
    <x v="2"/>
    <s v="CA"/>
    <s v="CA"/>
    <n v="3532"/>
    <x v="13"/>
    <n v="4220"/>
    <s v="Combined Noninvasive Cardiology and Vascular Services"/>
    <s v="Cardiology and Vascular Services Series"/>
    <s v="76275900 04220 CARDIOLOGY (U)"/>
    <s v="APC Relative Weight"/>
    <n v="54834.74"/>
    <n v="84859.67"/>
    <n v="0.61880000000000002"/>
    <n v="0.23"/>
    <n v="0.17"/>
    <m/>
    <n v="30"/>
    <n v="0.26"/>
    <n v="0.27"/>
    <n v="0.32"/>
    <n v="0.90600000000000003"/>
    <n v="7.63"/>
    <n v="-413663.22919095698"/>
    <n v="-9375"/>
    <n v="-4.4950925967968001"/>
  </r>
  <r>
    <s v="3527Providence Portland Medical Center342052276800 52276801, CTT SCANNER"/>
    <m/>
    <x v="3"/>
    <s v="OR"/>
    <s v="OR"/>
    <n v="3527"/>
    <x v="18"/>
    <n v="3420"/>
    <s v="Computerized Tomography"/>
    <s v="Imaging Services"/>
    <s v="52276800 52276801, CTT SCANNER"/>
    <s v="APC Relative Weight"/>
    <n v="100110.91"/>
    <n v="100935.53"/>
    <n v="0.58620000000000005"/>
    <n v="0.27"/>
    <n v="0.27"/>
    <n v="0.6552"/>
    <n v="30"/>
    <n v="0.21"/>
    <n v="0.22"/>
    <n v="0.25"/>
    <n v="0.87690000000000001"/>
    <n v="14.93"/>
    <n v="257975.04334345201"/>
    <n v="5816"/>
    <n v="2.7887098644718198"/>
  </r>
  <r>
    <s v="3527Providence Portland Medical Center123852261730, ONCOLOGY - 7N"/>
    <m/>
    <x v="3"/>
    <s v="OR"/>
    <s v="OR"/>
    <n v="3527"/>
    <x v="18"/>
    <n v="1238"/>
    <s v="Oncology Acute Care Unit"/>
    <s v="Nursing Services"/>
    <s v="52261730, ONCOLOGY - 7N"/>
    <s v="Equivalent Patient Day"/>
    <n v="6277.75"/>
    <n v="6578"/>
    <n v="0.51719999999999999"/>
    <n v="10.58"/>
    <n v="11.47"/>
    <n v="0.85189999999999999"/>
    <n v="30"/>
    <n v="9.7899999999999991"/>
    <n v="10.25"/>
    <n v="10.64"/>
    <n v="0.89139999999999997"/>
    <n v="40.71"/>
    <n v="426759.69454552501"/>
    <n v="9270"/>
    <n v="4.44453389437819"/>
  </r>
  <r>
    <s v="3854Providence Saint Mary Medical Center464032572340, INFUSION SERVICES"/>
    <m/>
    <x v="4"/>
    <s v="SER"/>
    <s v="WA"/>
    <n v="3854"/>
    <x v="8"/>
    <n v="4640"/>
    <s v="Hematology Oncology Infusion Therapy (Hema/Onc)"/>
    <s v="Other Clinical Support Services"/>
    <s v="32572340, INFUSION SERVICES"/>
    <s v="Infusions"/>
    <n v="1872"/>
    <n v="2402"/>
    <n v="0.75860000000000005"/>
    <n v="2.6"/>
    <n v="2.23"/>
    <n v="0.32140000000000002"/>
    <n v="30"/>
    <n v="2.0699999999999998"/>
    <n v="2.2799999999999998"/>
    <n v="2.9"/>
    <n v="0.90969999999999995"/>
    <n v="2.84"/>
    <n v="-4035.8158017466599"/>
    <n v="-97"/>
    <n v="-4.6408629112487401E-2"/>
  </r>
  <r>
    <s v="2719Providence St Joseph Medical Center553071084700 - 05530 - PSJMC PBX"/>
    <m/>
    <x v="2"/>
    <s v="CA"/>
    <s v="CA"/>
    <n v="2719"/>
    <x v="6"/>
    <n v="5530"/>
    <s v="Call Center / Switchboard"/>
    <s v="Information Technology"/>
    <s v="71084700 - 05530 - PSJMC PBX"/>
    <s v="Adjusted Discharges"/>
    <n v="23392.76"/>
    <n v="25623.31"/>
    <n v="0.55169999999999997"/>
    <n v="0.65"/>
    <n v="0.57999999999999996"/>
    <n v="0.72409999999999997"/>
    <n v="30"/>
    <n v="0.37"/>
    <n v="0.47"/>
    <n v="0.51"/>
    <n v="0.92789999999999995"/>
    <n v="7.73"/>
    <n v="60080.751562808196"/>
    <n v="3144"/>
    <n v="1.5072826764560101"/>
  </r>
  <r>
    <s v="3535Providence St Vincent Medical Center302053074270, PACU"/>
    <m/>
    <x v="3"/>
    <s v="OR"/>
    <s v="OR"/>
    <n v="3535"/>
    <x v="22"/>
    <n v="3020"/>
    <s v="Post Anesthesia Care Unit (PACU)"/>
    <s v="Surgical Services"/>
    <s v="53074270, PACU"/>
    <s v="100 PACU Minutes"/>
    <n v="11310.6"/>
    <n v="11416.2"/>
    <n v="0.62070000000000003"/>
    <n v="3.25"/>
    <n v="3.46"/>
    <n v="0.46150000000000002"/>
    <n v="30"/>
    <n v="3.17"/>
    <n v="3.28"/>
    <n v="3.55"/>
    <n v="0.87980000000000003"/>
    <n v="21.59"/>
    <n v="141321.05970620899"/>
    <n v="2469"/>
    <n v="1.18391865780232"/>
  </r>
  <r>
    <s v="4283Providence St. John's Health Center101373560100, SJHC ICU CCU (U)"/>
    <m/>
    <x v="2"/>
    <s v="CA"/>
    <s v="CA"/>
    <n v="4283"/>
    <x v="23"/>
    <n v="1013"/>
    <s v="Med/Surg/Cardiac Intensive Care Unit"/>
    <s v="Nursing Services"/>
    <s v="73560100, SJHC ICU CCU (U)"/>
    <s v="Equivalent Patient Day"/>
    <m/>
    <n v="4931.13"/>
    <n v="0.58040000000000003"/>
    <m/>
    <n v="20.49"/>
    <n v="0.44850000000000001"/>
    <n v="30"/>
    <n v="19.010000000000002"/>
    <n v="19.559999999999999"/>
    <n v="21.43"/>
    <n v="0.88649999999999995"/>
    <n v="54.8"/>
    <n v="327444.03125336498"/>
    <n v="5494"/>
    <n v="2.63433820195486"/>
  </r>
  <r>
    <s v="4283Providence St. John's Health Center339973575000, SJHC LAB ADMINISTRATION"/>
    <m/>
    <x v="2"/>
    <s v="CA"/>
    <s v="CA"/>
    <n v="4283"/>
    <x v="23"/>
    <n v="3399"/>
    <s v="Laboratory Services Administration"/>
    <s v="Laboratory Services"/>
    <s v="73575000, SJHC LAB ADMINISTRATION"/>
    <s v="100 Billed Tests Supported"/>
    <m/>
    <n v="2291.9299999999998"/>
    <n v="0.58620000000000005"/>
    <m/>
    <n v="3.03"/>
    <n v="0.96550000000000002"/>
    <n v="30"/>
    <n v="0.65"/>
    <n v="0.83"/>
    <n v="1.1299999999999999"/>
    <n v="0.84489999999999998"/>
    <n v="15.81"/>
    <n v="65605.996489522906"/>
    <n v="5992.2179468871936"/>
    <n v="11.492003541999701"/>
  </r>
  <r>
    <s v="3755Providence Tarzana Medical Center101172560100, ICU"/>
    <m/>
    <x v="2"/>
    <s v="CA"/>
    <s v="CA"/>
    <n v="3755"/>
    <x v="3"/>
    <n v="1011"/>
    <s v="Medical Intensive Care Unit"/>
    <s v="Nursing Services"/>
    <s v="72560100, ICU"/>
    <s v="Equivalent Patient Day"/>
    <n v="2852.71"/>
    <n v="2574"/>
    <n v="0.51719999999999999"/>
    <n v="16.7"/>
    <n v="16.149999999999999"/>
    <n v="3.6999999999999998E-2"/>
    <n v="30"/>
    <n v="17.87"/>
    <n v="18.3"/>
    <n v="19.18"/>
    <n v="0.86329999999999996"/>
    <n v="23.16"/>
    <n v="-349449.69152058603"/>
    <n v="-6258"/>
    <n v="-3.0005005986916098"/>
  </r>
  <r>
    <s v="3755Providence Tarzana Medical Center111172561520 CVU"/>
    <m/>
    <x v="2"/>
    <s v="CA"/>
    <s v="CA"/>
    <n v="3755"/>
    <x v="3"/>
    <n v="1111"/>
    <s v="Med/Surg/Cardiac Intermediate Care Unit"/>
    <s v="Nursing Services"/>
    <s v="72561520 CVU"/>
    <s v="Equivalent Patient Day"/>
    <n v="4942.79"/>
    <n v="4799"/>
    <n v="0.37930000000000003"/>
    <n v="12.96"/>
    <n v="12.77"/>
    <n v="0.3448"/>
    <n v="30"/>
    <n v="12.59"/>
    <n v="12.84"/>
    <n v="13.98"/>
    <n v="0.88619999999999999"/>
    <n v="33.26"/>
    <n v="-7134.2273734087603"/>
    <n v="-162"/>
    <n v="-7.7435376188546498E-2"/>
  </r>
  <r>
    <s v="3755Providence Tarzana Medical Center481272577710, OP PHYSICAL THERAPY"/>
    <m/>
    <x v="2"/>
    <s v="CA"/>
    <s v="CA"/>
    <n v="3755"/>
    <x v="3"/>
    <n v="4812"/>
    <s v="Physical Therapy: Outpatient"/>
    <s v="Rehabilitation Services"/>
    <s v="72577710, OP PHYSICAL THERAPY"/>
    <s v="1000 Baseline Billed Time Units (BTUs)"/>
    <n v="381.82"/>
    <n v="153.34"/>
    <n v="0.55169999999999997"/>
    <n v="31.92"/>
    <n v="33"/>
    <n v="0.75860000000000005"/>
    <n v="30"/>
    <n v="22.54"/>
    <n v="23.5"/>
    <n v="24.06"/>
    <n v="0.92030000000000001"/>
    <n v="2.64"/>
    <n v="77292.490632340996"/>
    <n v="1591"/>
    <n v="0.76266378509301902"/>
  </r>
  <r>
    <s v="3849Providence Willamette Falls Medical Center302053574270, PACU"/>
    <m/>
    <x v="3"/>
    <s v="OR"/>
    <s v="OR"/>
    <n v="3849"/>
    <x v="7"/>
    <n v="3020"/>
    <s v="Post Anesthesia Care Unit (PACU)"/>
    <s v="Surgical Services"/>
    <s v="53574270, PACU"/>
    <s v="100 PACU Minutes"/>
    <n v="2803.5"/>
    <n v="5104.04"/>
    <n v="0.58620000000000005"/>
    <n v="3.89"/>
    <n v="2.13"/>
    <n v="3.6999999999999998E-2"/>
    <n v="30"/>
    <n v="3.01"/>
    <n v="3.16"/>
    <n v="3.43"/>
    <n v="0.85580000000000001"/>
    <n v="6.12"/>
    <n v="-357695.418307285"/>
    <n v="-6082"/>
    <n v="-2.9160167769255199"/>
  </r>
  <r>
    <s v="3849Providence Willamette Falls Medical Center441053577100, PHARMACY"/>
    <m/>
    <x v="3"/>
    <s v="OR"/>
    <s v="OR"/>
    <n v="3849"/>
    <x v="7"/>
    <n v="4410"/>
    <s v="Pharmacy Services"/>
    <s v="Pharmacy Services"/>
    <s v="53577100, PHARMACY"/>
    <s v="CMI Weighted Department Adjusted Discharges"/>
    <n v="11133.88"/>
    <n v="11907.29"/>
    <n v="0.55169999999999997"/>
    <n v="1.74"/>
    <n v="1.77"/>
    <n v="0.1852"/>
    <n v="30"/>
    <n v="1.78"/>
    <n v="1.95"/>
    <n v="2.0699999999999998"/>
    <n v="0.9052"/>
    <n v="11.2"/>
    <n v="-93675.154804763704"/>
    <n v="-2291"/>
    <n v="-1.0984719760473201"/>
  </r>
  <r>
    <s v="3928Swedish Cherry Hill349922086107 MEDICAL IMAGING ADMIN"/>
    <m/>
    <x v="1"/>
    <s v="SHS"/>
    <s v="WA"/>
    <n v="3928"/>
    <x v="25"/>
    <n v="3499"/>
    <s v="Imaging Services Administration"/>
    <s v="Imaging Services"/>
    <s v="22086107 MEDICAL IMAGING ADMIN"/>
    <s v="APC Relative Weight Supported"/>
    <n v="486894.06"/>
    <n v="492986.64"/>
    <n v="0.79310000000000003"/>
    <n v="0.03"/>
    <n v="0.04"/>
    <n v="0.27589999999999998"/>
    <n v="30"/>
    <n v="0.04"/>
    <n v="0.05"/>
    <n v="0.06"/>
    <n v="0.87180000000000002"/>
    <n v="11.14"/>
    <n v="-166267.36662912901"/>
    <n v="-5039"/>
    <n v="-2.41615258506117"/>
  </r>
  <r>
    <s v="3931Swedish Issaquah4490Pharmacy Administration and Support (N)"/>
    <m/>
    <x v="1"/>
    <s v="SHS"/>
    <s v="WA"/>
    <n v="3931"/>
    <x v="28"/>
    <n v="4490"/>
    <s v="Pharmacy Administration and Support"/>
    <s v="Pharmacy Services"/>
    <s v="Pharmacy Administration and Support (N)"/>
    <s v="CMI Weighted Adjusted Discharges"/>
    <n v="15888.04"/>
    <n v="18599.919999999998"/>
    <n v="0.58620000000000005"/>
    <n v="0.38"/>
    <n v="0.34"/>
    <n v="0.62960000000000005"/>
    <n v="30"/>
    <n v="0.19"/>
    <n v="0.25"/>
    <n v="0.3"/>
    <n v="0.89059999999999995"/>
    <n v="3.39"/>
    <n v="111687.410612006"/>
    <n v="1849"/>
    <n v="0.88667894002707204"/>
  </r>
  <r>
    <s v="3531Providence Medford Medical Center349959003499, DIAGNOSTIC IMAGING ADM SUPPORT (U,N)"/>
    <m/>
    <x v="3"/>
    <s v="OR"/>
    <s v="OR"/>
    <n v="3531"/>
    <x v="29"/>
    <n v="3499"/>
    <s v="Imaging Services Administration"/>
    <s v="Imaging Services"/>
    <s v="59003499, DIAGNOSTIC IMAGING ADM SUPPORT (U,N)"/>
    <s v="APC Relative Weight Supported"/>
    <n v="134085.91"/>
    <n v="129515.8"/>
    <n v="0.53359999999999996"/>
    <n v="0.13"/>
    <n v="0.12599435744519202"/>
    <n v="0.65059999999999996"/>
    <n v="30"/>
    <n v="0.05"/>
    <n v="0.06"/>
    <n v="7.0000000000000007E-2"/>
    <n v="0.86850000000000005"/>
    <n v="6.2"/>
    <n v="290520.0348186529"/>
    <n v="9841.4645941278086"/>
    <n v="4.7185427406279947"/>
  </r>
  <r>
    <s v="2947Providence Alaska Medical Center4411Medical Arts Pharmacy"/>
    <m/>
    <x v="0"/>
    <s v="AK"/>
    <s v="AK"/>
    <n v="2947"/>
    <x v="0"/>
    <n v="4411"/>
    <s v="Pharmacy Retail/Prescription Services"/>
    <s v="Pharmacy Services"/>
    <s v="Medical Arts Pharmacy"/>
    <s v="Retail Prescriptions Processed"/>
    <n v="47500"/>
    <n v="42500"/>
    <n v="0.6"/>
    <n v="0.24"/>
    <n v="0.18863529411764707"/>
    <m/>
    <n v="31"/>
    <n v="0.19"/>
    <n v="0.2"/>
    <n v="0.21"/>
    <n v="0.85599999999999998"/>
    <n v="5.9"/>
    <n v="-30390.630841121503"/>
    <n v="-564.25233644859827"/>
    <n v="-0.27053249802158413"/>
  </r>
  <r>
    <s v="3523Providence Everett Medical Center343031676608, Mri -"/>
    <m/>
    <x v="1"/>
    <s v="NWR"/>
    <s v="WA"/>
    <n v="3523"/>
    <x v="1"/>
    <n v="3430"/>
    <s v="Magnetic Resonance Imaging"/>
    <s v="Imaging Services"/>
    <s v="31676608, Mri -"/>
    <s v="APC Relative Weight"/>
    <n v="65423"/>
    <n v="63875.47"/>
    <n v="0.9"/>
    <n v="0.26"/>
    <n v="0.3"/>
    <n v="0.33329999999999999"/>
    <n v="31"/>
    <n v="0.28000000000000003"/>
    <n v="0.31"/>
    <n v="0.33"/>
    <n v="0.92349999999999999"/>
    <n v="9.8699999999999992"/>
    <n v="-41233.345989167698"/>
    <n v="-856"/>
    <n v="-0.41033013835752302"/>
  </r>
  <r>
    <s v="2687Providence Holy Cross Medical Center343072076600 HOSP Magnetic Resonance Imaging"/>
    <m/>
    <x v="2"/>
    <s v="CA"/>
    <s v="CA"/>
    <n v="2687"/>
    <x v="4"/>
    <n v="3430"/>
    <s v="Magnetic Resonance Imaging"/>
    <s v="Imaging Services"/>
    <s v="72076600 HOSP Magnetic Resonance Imaging"/>
    <s v="APC Relative Weight"/>
    <n v="25204.21"/>
    <n v="26677.64"/>
    <n v="0.56669999999999998"/>
    <n v="0.24"/>
    <n v="0.24"/>
    <n v="6.9000000000000006E-2"/>
    <n v="31"/>
    <n v="0.3"/>
    <n v="0.31"/>
    <n v="0.35"/>
    <n v="0.93620000000000003"/>
    <n v="3.31"/>
    <n v="-106606.96807258"/>
    <n v="-1930"/>
    <n v="-0.92534335193895301"/>
  </r>
  <r>
    <s v="2687Providence Holy Cross Medical Center582572087400 72087540 Quality Improvement / Risk Mgmt"/>
    <m/>
    <x v="2"/>
    <s v="CA"/>
    <s v="CA"/>
    <n v="2687"/>
    <x v="4"/>
    <n v="5825"/>
    <s v="Quality Management"/>
    <s v="Clinical Resource Management Services"/>
    <s v="72087400 72087540 Quality Improvement / Risk Mgmt"/>
    <s v="Total Admissions And Registrations"/>
    <n v="148996"/>
    <n v="142907"/>
    <n v="0.5333"/>
    <n v="0.14000000000000001"/>
    <n v="0.12"/>
    <n v="0.71430000000000005"/>
    <n v="31"/>
    <n v="7.0000000000000007E-2"/>
    <n v="0.09"/>
    <n v="0.09"/>
    <n v="0.88319999999999999"/>
    <n v="9.23"/>
    <n v="236305.21551742801"/>
    <n v="4688"/>
    <n v="2.2479153438215902"/>
  </r>
  <r>
    <s v="2687Providence Holy Cross Medical Center127772060700 NICU"/>
    <m/>
    <x v="2"/>
    <s v="CA"/>
    <s v="CA"/>
    <n v="2687"/>
    <x v="4"/>
    <n v="1277"/>
    <s v="Neonatal Intensive Care Unit (NICU)"/>
    <s v="Nursing Services"/>
    <s v="72060700 NICU"/>
    <s v="Patient Days (Neonate)"/>
    <n v="3821"/>
    <n v="3726"/>
    <n v="0.36670000000000003"/>
    <n v="16.91"/>
    <n v="16.98"/>
    <n v="0.76670000000000005"/>
    <n v="31"/>
    <n v="13.17"/>
    <n v="14.12"/>
    <n v="15.27"/>
    <n v="0.89280000000000004"/>
    <n v="34.06"/>
    <n v="673058.15293564904"/>
    <n v="12111"/>
    <n v="5.8065475349035802"/>
  </r>
  <r>
    <s v="3529Providence Milwaukie Hospital344055076390, MAMMOGRAPHY"/>
    <m/>
    <x v="3"/>
    <s v="OR"/>
    <s v="OR"/>
    <n v="3529"/>
    <x v="15"/>
    <n v="3440"/>
    <s v="Mammography"/>
    <s v="Imaging Services"/>
    <s v="55076390, MAMMOGRAPHY"/>
    <s v="APC Relative Weight"/>
    <n v="9051.5"/>
    <n v="14186.39"/>
    <n v="0.73329999999999995"/>
    <n v="0.57999999999999996"/>
    <n v="0.36"/>
    <n v="0"/>
    <n v="31"/>
    <n v="0.54"/>
    <n v="0.56999999999999995"/>
    <n v="0.6"/>
    <n v="0.94369999999999998"/>
    <n v="2.62"/>
    <n v="-118932.404502486"/>
    <n v="-3104"/>
    <n v="-1.48828869454422"/>
  </r>
  <r>
    <s v="3530Providence Newberg Hospital343057076600, MRI"/>
    <m/>
    <x v="3"/>
    <s v="OR"/>
    <s v="OR"/>
    <n v="3530"/>
    <x v="17"/>
    <n v="3430"/>
    <s v="Magnetic Resonance Imaging"/>
    <s v="Imaging Services"/>
    <s v="57076600, MRI"/>
    <s v="APC Relative Weight"/>
    <n v="15787.82"/>
    <n v="16848.25"/>
    <n v="0.63329999999999997"/>
    <n v="0.34"/>
    <n v="0.36"/>
    <n v="0.76670000000000005"/>
    <n v="31"/>
    <n v="0.28000000000000003"/>
    <n v="0.28999999999999998"/>
    <n v="0.31"/>
    <n v="0.89970000000000006"/>
    <n v="3.24"/>
    <n v="54481.88314279"/>
    <n v="1327"/>
    <n v="0.63622630971976102"/>
  </r>
  <r>
    <s v="3527Providence Portland Medical Center487252270814, GATEWAY REHAB"/>
    <m/>
    <x v="3"/>
    <s v="OR"/>
    <s v="OR"/>
    <n v="3527"/>
    <x v="18"/>
    <n v="4872"/>
    <s v="PT/OT/SLP Combined: Outpatient"/>
    <s v="Rehabilitation Services"/>
    <s v="52270814, GATEWAY REHAB"/>
    <s v="1000 Baseline Billed Time Units (BTUs)"/>
    <n v="572.76"/>
    <n v="776.09"/>
    <n v="0.5333"/>
    <n v="22.73"/>
    <n v="20.16"/>
    <n v="0.1071"/>
    <n v="31"/>
    <n v="22.24"/>
    <n v="22.58"/>
    <n v="22.91"/>
    <n v="0.8871"/>
    <n v="8.48"/>
    <n v="-67492.617535756304"/>
    <n v="-2068"/>
    <n v="-0.99134387429218396"/>
  </r>
  <r>
    <s v="3852Providence Sacred Heart Medical Center111034561730, ONCOLOGY"/>
    <m/>
    <x v="4"/>
    <s v="PHC"/>
    <s v="WA"/>
    <n v="3852"/>
    <x v="9"/>
    <n v="1110"/>
    <s v="Medical/Surgical Intermediate Care Unit"/>
    <s v="Nursing Services"/>
    <s v="34561730, ONCOLOGY"/>
    <s v="Equivalent Patient Day"/>
    <n v="10006.1"/>
    <n v="10225"/>
    <n v="0.4667"/>
    <n v="9.6999999999999993"/>
    <n v="10.44"/>
    <n v="0.1724"/>
    <n v="31"/>
    <n v="10.79"/>
    <n v="11.06"/>
    <n v="11.23"/>
    <n v="0.88480000000000003"/>
    <n v="57.98"/>
    <n v="-246880.32165612999"/>
    <n v="-6884"/>
    <n v="-3.3003854820923499"/>
  </r>
  <r>
    <s v="3533Providence San Pedro Peninsula Hospital349903499, Imaging Services Administration Normalization Results Library Imaging (U,N)"/>
    <m/>
    <x v="2"/>
    <s v="CA"/>
    <s v="CA"/>
    <n v="3533"/>
    <x v="14"/>
    <n v="3499"/>
    <s v="Imaging Services Administration"/>
    <s v="Imaging Services"/>
    <s v="03499, Imaging Services Administration Normalization Results Library Imaging (U,N)"/>
    <s v="APC Relative Weight Supported"/>
    <m/>
    <n v="102789.43"/>
    <n v="0.41760000000000003"/>
    <m/>
    <n v="7.0000000000000007E-2"/>
    <n v="0.48449999999999999"/>
    <n v="31"/>
    <n v="0.05"/>
    <n v="7.0000000000000007E-2"/>
    <n v="7.0000000000000007E-2"/>
    <n v="0.88919999999999999"/>
    <n v="4"/>
    <n v="8415.8747721162508"/>
    <n v="251"/>
    <n v="0.12032628370069"/>
  </r>
  <r>
    <s v="2719Providence St Joseph Medical Center464071074350, PSJMC DFCC INFUSION CENTER"/>
    <m/>
    <x v="2"/>
    <s v="CA"/>
    <s v="CA"/>
    <n v="2719"/>
    <x v="6"/>
    <n v="4640"/>
    <s v="Hematology Oncology Infusion Therapy (Hema/Onc)"/>
    <s v="Other Clinical Support Services"/>
    <s v="71074350, PSJMC DFCC INFUSION CENTER"/>
    <s v="Infusions"/>
    <m/>
    <n v="3090"/>
    <n v="0.56669999999999998"/>
    <m/>
    <n v="2.2200000000000002"/>
    <n v="0.44829999999999998"/>
    <n v="31"/>
    <n v="1.93"/>
    <n v="2.08"/>
    <n v="2.23"/>
    <n v="0.89839999999999998"/>
    <n v="3.67"/>
    <n v="28237.823961704202"/>
    <n v="500"/>
    <n v="0.23995174407963399"/>
  </r>
  <r>
    <s v="3848Providence St Patrick Hospital &amp; Health Science Ce486146077800, SPEECH LANGUAGE PATHOLOGY"/>
    <m/>
    <x v="4"/>
    <s v="WMR"/>
    <s v="MT"/>
    <n v="3848"/>
    <x v="21"/>
    <n v="4861"/>
    <s v="Speech Language Pathology: Inpatient and Outpatient"/>
    <s v="Rehabilitation Services"/>
    <s v="46077800, SPEECH LANGUAGE PATHOLOGY"/>
    <s v="1000 Baseline Billed Time Units (BTUs)"/>
    <n v="134.74"/>
    <n v="173.52"/>
    <n v="0.66669999999999996"/>
    <n v="33.5"/>
    <n v="26.28"/>
    <n v="0.3226"/>
    <n v="31"/>
    <n v="23.99"/>
    <n v="27.04"/>
    <n v="30.6"/>
    <n v="0.83189999999999997"/>
    <n v="2.64"/>
    <n v="-4325.0155222131998"/>
    <n v="-134"/>
    <n v="-6.4165457149945898E-2"/>
  </r>
  <r>
    <s v="3848Providence St Patrick Hospital &amp; Health Science Ce661046086100, 86200 ADMINISTRATION (U)"/>
    <m/>
    <x v="4"/>
    <s v="WMR"/>
    <s v="MT"/>
    <n v="3848"/>
    <x v="21"/>
    <n v="6610"/>
    <s v="Administration"/>
    <s v="Administration"/>
    <s v="46086100, 86200 ADMINISTRATION (U)"/>
    <s v="100 Adjusted Discharges"/>
    <n v="180.29"/>
    <n v="193.97"/>
    <n v="0.26119999999999999"/>
    <n v="82.23"/>
    <n v="83.78"/>
    <n v="0.46920000000000001"/>
    <n v="31"/>
    <n v="62.16"/>
    <n v="64.44"/>
    <n v="84.93"/>
    <n v="0.90210000000000001"/>
    <n v="8.66"/>
    <n v="407907.52046312997"/>
    <n v="4206"/>
    <n v="2.0167044558366101"/>
  </r>
  <r>
    <s v="2687Providence Holy Cross Medical Center303072072300 Surgery Pre Op and Post Recovery Only"/>
    <m/>
    <x v="2"/>
    <s v="CA"/>
    <s v="CA"/>
    <n v="2687"/>
    <x v="4"/>
    <n v="3030"/>
    <s v="Surgery Pre Op and Post Recovery Only"/>
    <s v="Surgical Services"/>
    <s v="72072300 Surgery Pre Op and Post Recovery Only"/>
    <s v="100 Patient Observation Minutes"/>
    <m/>
    <n v="7414.25"/>
    <m/>
    <m/>
    <n v="2.998573018174461"/>
    <n v="0.99970000000000003"/>
    <n v="31"/>
    <n v="2.36"/>
    <n v="2.58"/>
    <n v="2.99"/>
    <n v="0.9143"/>
    <n v="11.69"/>
    <n v="167712.17439571241"/>
    <n v="3394.2961828721395"/>
    <n v="1.6274134261265474"/>
  </r>
  <r>
    <s v="4283Providence St. John's Health Center4490Pharmacy Administration and Support (U,N)"/>
    <m/>
    <x v="2"/>
    <s v="CA"/>
    <s v="CA"/>
    <n v="4283"/>
    <x v="23"/>
    <n v="4490"/>
    <s v="Pharmacy Administration and Support"/>
    <s v="Pharmacy Services"/>
    <s v="Pharmacy Administration and Support (U,N)"/>
    <s v="CMI Weighted Adjusted Discharges"/>
    <m/>
    <n v="27734.62"/>
    <n v="0.54859999999999998"/>
    <m/>
    <n v="0.35"/>
    <n v="0.74670000000000003"/>
    <n v="31"/>
    <n v="0.19"/>
    <n v="0.21"/>
    <n v="0.28999999999999998"/>
    <n v="0.8599"/>
    <n v="5.44"/>
    <n v="301050.313405703"/>
    <n v="4573"/>
    <n v="2.1925555975970301"/>
  </r>
  <r>
    <s v="4283Providence St. John's Health Center111173561740, SJHC TELEMETRY (U)"/>
    <m/>
    <x v="2"/>
    <s v="CA"/>
    <s v="CA"/>
    <n v="4283"/>
    <x v="23"/>
    <n v="1111"/>
    <s v="Med/Surg/Cardiac Intermediate Care Unit"/>
    <s v="Nursing Services"/>
    <s v="73561740, SJHC TELEMETRY (U)"/>
    <s v="Equivalent Patient Day"/>
    <m/>
    <n v="7861.71"/>
    <n v="0.48349999999999999"/>
    <m/>
    <n v="13.8"/>
    <n v="0.93140000000000001"/>
    <n v="31"/>
    <n v="10.63"/>
    <n v="11.77"/>
    <n v="12.04"/>
    <n v="0.88849999999999996"/>
    <n v="58.69"/>
    <n v="847444.14715287904"/>
    <n v="18265"/>
    <n v="8.7573966889089494"/>
  </r>
  <r>
    <s v="3928Swedish Cherry Hill341222076490 INTERVENTIONAL RADIOLOGY"/>
    <m/>
    <x v="1"/>
    <s v="SHS"/>
    <s v="WA"/>
    <n v="3928"/>
    <x v="25"/>
    <n v="3412"/>
    <s v="Interventional Radiology"/>
    <s v="Imaging Services"/>
    <s v="22076490 INTERVENTIONAL RADIOLOGY"/>
    <s v="APC Relative Weight"/>
    <n v="305607.67"/>
    <n v="298382.98"/>
    <n v="0.56669999999999998"/>
    <n v="0.13"/>
    <n v="0.12"/>
    <n v="0.1429"/>
    <n v="31"/>
    <n v="0.14000000000000001"/>
    <n v="0.15"/>
    <n v="0.15"/>
    <n v="0.87780000000000002"/>
    <n v="19.97"/>
    <n v="-468266.29496310902"/>
    <n v="-9337"/>
    <n v="-4.4765674553515797"/>
  </r>
  <r>
    <s v="3928Swedish Cherry Hill229822070701 WOUND HEALING CENTER OP"/>
    <m/>
    <x v="1"/>
    <s v="SHS"/>
    <s v="WA"/>
    <n v="3928"/>
    <x v="25"/>
    <n v="2298"/>
    <s v="Wound Care"/>
    <s v="Ambulatory Care Clinics"/>
    <s v="22070701 WOUND HEALING CENTER OP"/>
    <s v="Patient Visits"/>
    <n v="2414"/>
    <n v="2364"/>
    <n v="0.43330000000000002"/>
    <n v="3.11"/>
    <n v="2.99"/>
    <n v="0.70369999999999999"/>
    <n v="31"/>
    <n v="1.83"/>
    <n v="2.23"/>
    <n v="2.5299999999999998"/>
    <n v="0.88490000000000002"/>
    <n v="3.85"/>
    <n v="89080.158250167398"/>
    <n v="2073"/>
    <n v="0.99368369497444597"/>
  </r>
  <r>
    <s v="3928Swedish Cherry Hill201022070100 EMERGENCY SERVICES"/>
    <m/>
    <x v="1"/>
    <s v="SHS"/>
    <s v="WA"/>
    <n v="3928"/>
    <x v="25"/>
    <n v="2010"/>
    <s v="Emergency Department"/>
    <s v="Emergency Services"/>
    <s v="22070100 EMERGENCY SERVICES"/>
    <s v="Patient Visits"/>
    <n v="19739"/>
    <n v="21098"/>
    <n v="0.1"/>
    <n v="3.93"/>
    <n v="4.04"/>
    <n v="0.9"/>
    <n v="31"/>
    <n v="2.87"/>
    <n v="2.98"/>
    <n v="3.21"/>
    <n v="0.91169999999999995"/>
    <n v="44.99"/>
    <n v="1038385.08062299"/>
    <n v="24874"/>
    <n v="11.926124563811699"/>
  </r>
  <r>
    <s v="3531Providence Medford Medical Center301159074200, SURGICAL SERVICES"/>
    <m/>
    <x v="3"/>
    <s v="OR"/>
    <s v="OR"/>
    <n v="3531"/>
    <x v="29"/>
    <n v="3011"/>
    <s v="Operating Room"/>
    <s v="Surgical Services"/>
    <s v="59074200, SURGICAL SERVICES"/>
    <s v="100 Operating Room Minutes"/>
    <n v="5556.45"/>
    <n v="6011.6"/>
    <n v="0.3"/>
    <n v="12.86"/>
    <n v="13.59916661121831"/>
    <s v=" "/>
    <n v="31"/>
    <n v="10.72"/>
    <n v="11.15"/>
    <n v="11.92"/>
    <n v="0.90669999999999995"/>
    <n v="43.35"/>
    <n v="573055.18793426675"/>
    <n v="16238.458144921133"/>
    <n v="7.7856154504104778"/>
  </r>
  <r>
    <s v="3531Providence Medford Medical Center449059004490, PHARMACY SUPPORT SVCS (U,N)"/>
    <m/>
    <x v="3"/>
    <s v="OR"/>
    <s v="OR"/>
    <n v="3531"/>
    <x v="29"/>
    <n v="4490"/>
    <s v="Pharmacy Administration and Support"/>
    <s v="Pharmacy Services"/>
    <s v="59004490, PHARMACY SUPPORT SVCS (U,N)"/>
    <s v="CMI Weighted Adjusted Discharges"/>
    <n v="21029.31"/>
    <n v="21516.720000000001"/>
    <n v="0.50529999999999997"/>
    <n v="0.56000000000000005"/>
    <n v="0.49930658576214221"/>
    <n v="0.90029999999999999"/>
    <n v="31"/>
    <n v="0.23"/>
    <n v="0.28999999999999998"/>
    <n v="0.33"/>
    <n v="0.90949999999999998"/>
    <n v="5.66"/>
    <n v="201337.0183529412"/>
    <n v="4951.7220450797149"/>
    <n v="2.3741295704462364"/>
  </r>
  <r>
    <s v="2947Providence Alaska Medical Center4010Radiation Oncology"/>
    <m/>
    <x v="0"/>
    <s v="AK"/>
    <s v="AK"/>
    <n v="2947"/>
    <x v="0"/>
    <n v="4010"/>
    <s v="Radiation Therapy (Oncology)"/>
    <s v="Radiation Therapy Services"/>
    <s v="Radiation Oncology"/>
    <s v="APC Relative Weight"/>
    <n v="43198.31"/>
    <n v="49174.013700000003"/>
    <n v="0.5161"/>
    <n v="0.68"/>
    <n v="0.42"/>
    <n v="0.9667"/>
    <n v="32"/>
    <n v="0.34"/>
    <n v="0.35"/>
    <n v="0.39"/>
    <n v="0.86950000000000005"/>
    <n v="11.36"/>
    <n v="174510.86909130053"/>
    <n v="3899.6405338700401"/>
    <n v="1.8696945087620236"/>
  </r>
  <r>
    <s v="3523Providence Everett Medical Center401031676428, Radiation Oncology"/>
    <m/>
    <x v="1"/>
    <s v="NWR"/>
    <s v="WA"/>
    <n v="3523"/>
    <x v="1"/>
    <n v="4010"/>
    <s v="Radiation Therapy (Oncology)"/>
    <s v="Radiation Therapy Services"/>
    <s v="31676428, Radiation Oncology"/>
    <s v="APC Relative Weight"/>
    <n v="180868.18"/>
    <n v="140498.82999999999"/>
    <n v="0.9355"/>
    <n v="0.21"/>
    <n v="0.27"/>
    <n v="0.1875"/>
    <n v="32"/>
    <n v="0.28000000000000003"/>
    <n v="0.3"/>
    <n v="0.33"/>
    <n v="0.87660000000000005"/>
    <n v="20.97"/>
    <n v="-203359.85290025899"/>
    <n v="-4346"/>
    <n v="-2.0837009341371799"/>
  </r>
  <r>
    <s v="3530Providence Newberg Hospital432057078740, SLEEP LAB AND EEG"/>
    <m/>
    <x v="3"/>
    <s v="OR"/>
    <s v="OR"/>
    <n v="3530"/>
    <x v="17"/>
    <n v="4320"/>
    <s v="Sleep Diagnostic Center"/>
    <s v="Neurodiagnostic Services"/>
    <s v="57078740, SLEEP LAB AND EEG"/>
    <s v="APC Relative Weight"/>
    <n v="7029.48"/>
    <n v="7832.13"/>
    <n v="0.6129"/>
    <n v="0.86"/>
    <n v="0.73"/>
    <n v="0.10340000000000001"/>
    <n v="32"/>
    <n v="0.9"/>
    <n v="0.94"/>
    <n v="0.96"/>
    <n v="0.88580000000000003"/>
    <n v="3.08"/>
    <n v="-54851.3696208478"/>
    <n v="-1887"/>
    <n v="-0.90492566001130204"/>
  </r>
  <r>
    <s v="2947Providence Alaska Medical Center3030CV Ambulatory"/>
    <m/>
    <x v="0"/>
    <s v="AK"/>
    <s v="AK"/>
    <n v="2947"/>
    <x v="0"/>
    <n v="3030"/>
    <s v="Surgery Pre Op and Post Recovery Only"/>
    <s v="Surgical Services"/>
    <s v="CV Ambulatory"/>
    <s v="Cases Supported"/>
    <m/>
    <n v="10660"/>
    <n v="0.5"/>
    <m/>
    <n v="3.25"/>
    <n v="1"/>
    <n v="32"/>
    <n v="2.21"/>
    <n v="2.7"/>
    <n v="3.07"/>
    <n v="0.86329999999999996"/>
    <n v="24.41"/>
    <n v="334068.07598748972"/>
    <n v="6791.3819066373198"/>
    <n v="3.2561487007481"/>
  </r>
  <r>
    <s v="3854Providence Saint Mary Medical Center521132584400, ENVIRONMENTAL SERVICES"/>
    <m/>
    <x v="4"/>
    <s v="SER"/>
    <s v="WA"/>
    <n v="3854"/>
    <x v="8"/>
    <n v="5211"/>
    <s v="Environmental Services"/>
    <s v="Environmental Services"/>
    <s v="32584400, ENVIRONMENTAL SERVICES"/>
    <s v="1000 Net Sq Ft Cleaned"/>
    <n v="308"/>
    <n v="308"/>
    <n v="0.3871"/>
    <n v="190.41"/>
    <n v="192.76"/>
    <n v="0.5"/>
    <n v="32"/>
    <n v="168.08"/>
    <n v="179.01"/>
    <n v="192.76"/>
    <n v="0.88119999999999998"/>
    <n v="32.39"/>
    <n v="68329.959754393101"/>
    <n v="4988"/>
    <n v="2.39135218157947"/>
  </r>
  <r>
    <s v="3533Providence San Pedro Peninsula Hospital301177274200 SPH SURGERY"/>
    <m/>
    <x v="2"/>
    <s v="CA"/>
    <s v="CA"/>
    <n v="3533"/>
    <x v="14"/>
    <n v="3011"/>
    <s v="Operating Room"/>
    <s v="Surgical Services"/>
    <s v="77274200 SPH SURGERY"/>
    <s v="100 Operating Room Minutes"/>
    <n v="2372.52"/>
    <n v="2306.5700000000002"/>
    <n v="0.5484"/>
    <n v="11.04"/>
    <n v="12.76"/>
    <n v="0.68969999999999998"/>
    <n v="32"/>
    <n v="10.74"/>
    <n v="11.33"/>
    <n v="12.03"/>
    <n v="0.89500000000000002"/>
    <n v="15.81"/>
    <n v="148777.34001446899"/>
    <n v="3776"/>
    <n v="1.81020512117229"/>
  </r>
  <r>
    <s v="3535Providence St Vincent Medical Center339953003399, LAB SVCS ADMIN AND SUPPORT (U,N)"/>
    <m/>
    <x v="3"/>
    <s v="OR"/>
    <s v="OR"/>
    <n v="3535"/>
    <x v="22"/>
    <n v="3399"/>
    <s v="Laboratory Services Administration"/>
    <s v="Laboratory Services"/>
    <s v="53003399, LAB SVCS ADMIN AND SUPPORT (U,N)"/>
    <s v="100 Billed Tests Supported"/>
    <n v="13950.93"/>
    <n v="11521.4"/>
    <n v="0.53269999999999995"/>
    <n v="0.3"/>
    <n v="0.38"/>
    <m/>
    <n v="32"/>
    <n v="0.99"/>
    <n v="1.1299999999999999"/>
    <n v="1.36"/>
    <n v="0.91020000000000001"/>
    <n v="2.2999999999999998"/>
    <n v="-409303.35331953003"/>
    <n v="-9507"/>
    <n v="-4.55796123474531"/>
  </r>
  <r>
    <s v="3535Providence St Vincent Medical Center489953004899, REHAB ADMIN AND SUPPORT (U,N)"/>
    <m/>
    <x v="3"/>
    <s v="OR"/>
    <s v="OR"/>
    <n v="3535"/>
    <x v="22"/>
    <n v="4899"/>
    <s v="Rehabilitation Services Administration"/>
    <s v="Rehabilitation Services"/>
    <s v="53004899, REHAB ADMIN AND SUPPORT (U,N)"/>
    <s v="1000 Baseline Billed Time Units (BTUs) Supported"/>
    <n v="8139.81"/>
    <n v="9914.4500000000007"/>
    <m/>
    <n v="5.83"/>
    <n v="4.07"/>
    <n v="0.46600000000000003"/>
    <n v="32"/>
    <n v="3.05"/>
    <n v="3.43"/>
    <n v="4.54"/>
    <n v="0.87680000000000002"/>
    <n v="22.15"/>
    <n v="203056.872831669"/>
    <n v="7413"/>
    <n v="3.55439276675127"/>
  </r>
  <r>
    <s v="3928Swedish Cherry Hill424122075930 CARDIAC REHAB"/>
    <m/>
    <x v="1"/>
    <s v="SHS"/>
    <s v="WA"/>
    <n v="3928"/>
    <x v="25"/>
    <n v="4241"/>
    <s v="Cardiac Rehabilitation Services"/>
    <s v="Cardiology and Vascular Services Series"/>
    <s v="22075930 CARDIAC REHAB"/>
    <s v="Patient Visits"/>
    <n v="846"/>
    <n v="5769"/>
    <n v="0.5806"/>
    <m/>
    <n v="1.37"/>
    <n v="0.66669999999999996"/>
    <n v="32"/>
    <n v="0.86"/>
    <n v="1.1499999999999999"/>
    <n v="1.25"/>
    <n v="0.86480000000000001"/>
    <n v="4.4000000000000004"/>
    <n v="61766.880774901903"/>
    <n v="1506"/>
    <n v="0.72183796653809795"/>
  </r>
  <r>
    <s v="3929Swedish Edmonds4490Pharmacy Administration and Support (N)"/>
    <m/>
    <x v="1"/>
    <s v="SHS"/>
    <s v="WA"/>
    <n v="3929"/>
    <x v="31"/>
    <n v="4490"/>
    <s v="Pharmacy Administration and Support"/>
    <s v="Pharmacy Services"/>
    <s v="Pharmacy Administration and Support (N)"/>
    <s v="CMI Weighted Adjusted Discharges"/>
    <n v="22388.04"/>
    <n v="26460.9"/>
    <n v="0.5161"/>
    <n v="0.56000000000000005"/>
    <n v="0.37"/>
    <n v="0.8276"/>
    <n v="32"/>
    <n v="0.17"/>
    <n v="0.21"/>
    <n v="0.28000000000000003"/>
    <n v="0.88180000000000003"/>
    <n v="5.31"/>
    <n v="257290.398227614"/>
    <n v="4773"/>
    <n v="2.2886435106883498"/>
  </r>
  <r>
    <s v="3929Swedish Edmonds500123084500 FACILITY MANAGEMENT/23084560 CONSTRUCTION/23084602 GROUNDS MAINTENANCE"/>
    <m/>
    <x v="1"/>
    <s v="SHS"/>
    <s v="WA"/>
    <n v="3929"/>
    <x v="31"/>
    <n v="5001"/>
    <s v="Plant Operations / Plant Maintenance and Grounds"/>
    <s v="Facility Services"/>
    <s v="23084500 FACILITY MANAGEMENT/23084560 CONSTRUCTION/23084602 GROUNDS MAINTENANCE"/>
    <s v="1000 Gross Square Feet Maintained"/>
    <n v="502.34"/>
    <n v="597.13"/>
    <n v="0.3871"/>
    <n v="29.04"/>
    <n v="22.9"/>
    <n v="0"/>
    <n v="32"/>
    <n v="30.93"/>
    <n v="35.85"/>
    <n v="39.840000000000003"/>
    <n v="0.88370000000000004"/>
    <n v="7.44"/>
    <n v="-392160.668545514"/>
    <n v="-8707"/>
    <n v="-4.1745223674542196"/>
  </r>
  <r>
    <s v="3927Swedish First Hill500121084500 FACILITY MGMT/21084560 CONSTRUCTION/21084602 GROUND"/>
    <m/>
    <x v="1"/>
    <s v="SHS"/>
    <s v="WA"/>
    <n v="3927"/>
    <x v="26"/>
    <n v="5001"/>
    <s v="Plant Operations / Plant Maintenance and Grounds"/>
    <s v="Facility Services"/>
    <s v="21084500 FACILITY MGMT/21084560 CONSTRUCTION/21084602 GROUND"/>
    <s v="1000 Gross Square Feet Maintained"/>
    <n v="2325.27"/>
    <n v="2316.7600000000002"/>
    <n v="0.5161"/>
    <n v="24.69"/>
    <n v="22.34"/>
    <n v="6.6699999999999995E-2"/>
    <n v="32"/>
    <n v="28.96"/>
    <n v="32"/>
    <n v="38.299999999999997"/>
    <n v="0.88100000000000001"/>
    <n v="28.24"/>
    <n v="-953302.11770986696"/>
    <n v="-25250"/>
    <n v="-12.106259271488"/>
  </r>
  <r>
    <s v="3531Providence Medford Medical Center463059077600, GASTRO-INTESTINAL SERVICES"/>
    <m/>
    <x v="3"/>
    <s v="OR"/>
    <s v="OR"/>
    <n v="3531"/>
    <x v="29"/>
    <n v="4630"/>
    <s v="Endoscopy (GI) Laboratory"/>
    <s v="Other Clinical Support Services"/>
    <s v="59077600, GASTRO-INTESTINAL SERVICES"/>
    <s v="APC Relative Weight"/>
    <n v="14491.79"/>
    <n v="3286.65"/>
    <n v="0.7742"/>
    <n v="0.73"/>
    <n v="3.5"/>
    <n v="0.2258"/>
    <n v="32"/>
    <n v="3.87"/>
    <n v="7.05"/>
    <n v="11.1"/>
    <n v="0.89439999999999997"/>
    <n v="6.19"/>
    <n v="-554422.99547492794"/>
    <n v="-12996"/>
    <n v="-6.2310681102760999"/>
  </r>
  <r>
    <s v="3523Providence Everett Medical Center112231661790, Cardiac Tele 7N"/>
    <m/>
    <x v="1"/>
    <s v="NWR"/>
    <s v="WA"/>
    <n v="3523"/>
    <x v="1"/>
    <n v="1122"/>
    <s v="Cardiac Intermediate Care Unit"/>
    <s v="Nursing Services"/>
    <s v="31661790, Cardiac Tele 7N"/>
    <s v="Equivalent Patient Day"/>
    <n v="10075.299999999999"/>
    <n v="10337.280000000001"/>
    <n v="0.46879999999999999"/>
    <n v="11.31"/>
    <n v="10.99"/>
    <n v="0.34379999999999999"/>
    <n v="33"/>
    <n v="10.08"/>
    <n v="11.01"/>
    <n v="11.32"/>
    <n v="0.90329999999999999"/>
    <n v="60.46"/>
    <n v="3960.3105140648299"/>
    <n v="104"/>
    <n v="4.9873170766815599E-2"/>
  </r>
  <r>
    <s v="2687Providence Holy Cross Medical Center486172077800 Speech Therapy"/>
    <m/>
    <x v="2"/>
    <s v="CA"/>
    <s v="CA"/>
    <n v="2687"/>
    <x v="4"/>
    <n v="4861"/>
    <s v="Speech Language Pathology: Inpatient and Outpatient"/>
    <s v="Rehabilitation Services"/>
    <s v="72077800 Speech Therapy"/>
    <s v="1000 Baseline Billed Time Units (BTUs)"/>
    <n v="134.13999999999999"/>
    <n v="507.73"/>
    <n v="0.875"/>
    <n v="76"/>
    <n v="19.559999999999999"/>
    <n v="6.4500000000000002E-2"/>
    <n v="33"/>
    <n v="21.83"/>
    <n v="23.46"/>
    <n v="25.73"/>
    <n v="0.92649999999999999"/>
    <n v="5.15"/>
    <n v="-98193.733593270998"/>
    <n v="-2115"/>
    <n v="-1.0140133139029299"/>
  </r>
  <r>
    <s v="3532Providence Little Company of Mary Hospital127276264000 01272 POST PARTUM"/>
    <m/>
    <x v="2"/>
    <s v="CA"/>
    <s v="CA"/>
    <n v="3532"/>
    <x v="13"/>
    <n v="1272"/>
    <s v="Mother/Baby Unit"/>
    <s v="Nursing Services"/>
    <s v="76264000 01272 POST PARTUM"/>
    <s v="Equivalent Patient Day"/>
    <n v="13009"/>
    <n v="13728"/>
    <m/>
    <n v="6.59"/>
    <n v="7.07"/>
    <m/>
    <n v="33"/>
    <n v="7.1"/>
    <n v="7.31"/>
    <n v="7.53"/>
    <n v="0.84209999999999996"/>
    <n v="55.45"/>
    <n v="-152916.48330168799"/>
    <n v="-3516"/>
    <n v="-1.6859087127966701"/>
  </r>
  <r>
    <s v="3530Providence Newberg Hospital345057076700, ULTRASOUND"/>
    <m/>
    <x v="3"/>
    <s v="OR"/>
    <s v="OR"/>
    <n v="3530"/>
    <x v="17"/>
    <n v="3450"/>
    <s v="Ultrasound"/>
    <s v="Imaging Services"/>
    <s v="57076700, ULTRASOUND"/>
    <s v="APC Relative Weight"/>
    <n v="16659.3"/>
    <n v="17337.05"/>
    <n v="0.53129999999999999"/>
    <n v="0.75"/>
    <n v="0.76"/>
    <n v="1"/>
    <n v="33"/>
    <n v="0.43"/>
    <n v="0.45"/>
    <n v="0.48"/>
    <n v="0.88639999999999997"/>
    <n v="7.11"/>
    <n v="276396.82310222997"/>
    <n v="6028"/>
    <n v="2.8900614494713799"/>
  </r>
  <r>
    <s v="3854Providence Saint Mary Medical Center231032573900, HOME HEALTH CARE SVS"/>
    <m/>
    <x v="4"/>
    <s v="SER"/>
    <s v="WA"/>
    <n v="3854"/>
    <x v="8"/>
    <n v="2310"/>
    <s v="Home Health"/>
    <s v="Home Care Services"/>
    <s v="32573900, HOME HEALTH CARE SVS"/>
    <s v="Home Care Patient Visits"/>
    <n v="11936"/>
    <n v="15349"/>
    <n v="0.46879999999999999"/>
    <n v="2.89"/>
    <n v="2.54"/>
    <n v="0.1724"/>
    <n v="33"/>
    <n v="2.6"/>
    <n v="2.68"/>
    <n v="2.91"/>
    <n v="0.88980000000000004"/>
    <n v="21.09"/>
    <n v="-108973.593353524"/>
    <n v="-2242"/>
    <n v="-1.07514810584482"/>
  </r>
  <r>
    <s v="3533Providence San Pedro Peninsula Hospital341177276300 SPH RADIOLOGY"/>
    <m/>
    <x v="2"/>
    <s v="CA"/>
    <s v="CA"/>
    <n v="3533"/>
    <x v="14"/>
    <n v="3411"/>
    <s v="Diagnostic Radiology Without Interventional Procedures"/>
    <s v="Imaging Services"/>
    <s v="77276300 SPH RADIOLOGY"/>
    <s v="APC Relative Weight"/>
    <n v="19244.72"/>
    <n v="21879.83"/>
    <n v="0.5625"/>
    <n v="0.92"/>
    <n v="0.9"/>
    <n v="0.7097"/>
    <n v="33"/>
    <n v="0.65"/>
    <n v="0.71"/>
    <n v="0.76"/>
    <n v="0.89990000000000003"/>
    <n v="10.56"/>
    <n v="173352.54276994101"/>
    <n v="4762"/>
    <n v="2.2833193400109399"/>
  </r>
  <r>
    <s v="2719Providence St Joseph Medical Center4490Pharmacy Administration and Support (U,N)"/>
    <m/>
    <x v="2"/>
    <s v="CA"/>
    <s v="CA"/>
    <n v="2719"/>
    <x v="6"/>
    <n v="4490"/>
    <s v="Pharmacy Administration and Support"/>
    <s v="Pharmacy Services"/>
    <s v="Pharmacy Administration and Support (U,N)"/>
    <s v="CMI Weighted Adjusted Discharges"/>
    <n v="35138.269999999997"/>
    <n v="38947.43"/>
    <n v="0.46939999999999998"/>
    <n v="0.23"/>
    <n v="0.14000000000000001"/>
    <n v="0.20660000000000001"/>
    <n v="33"/>
    <n v="0.15"/>
    <n v="0.18"/>
    <n v="0.21"/>
    <n v="0.89319999999999999"/>
    <n v="3.01"/>
    <n v="-110851.402184452"/>
    <n v="-1571"/>
    <n v="-0.753143286870541"/>
  </r>
  <r>
    <s v="4283Providence St. John's Health Center637073586700, SJHC VOLUNTEERS"/>
    <m/>
    <x v="2"/>
    <s v="CA"/>
    <s v="CA"/>
    <n v="4283"/>
    <x v="23"/>
    <n v="6370"/>
    <s v="Volunteer Services"/>
    <s v="Community Outreach"/>
    <s v="73586700, SJHC VOLUNTEERS"/>
    <s v="100 Volunteer Service Hours"/>
    <n v="179.22"/>
    <n v="160.88"/>
    <n v="0.46879999999999999"/>
    <n v="4.2"/>
    <n v="4.41"/>
    <n v="0.38240000000000002"/>
    <n v="33"/>
    <n v="3.43"/>
    <n v="4.2"/>
    <n v="5.22"/>
    <n v="0.80120000000000002"/>
    <n v="1.7"/>
    <n v="392.90388548784802"/>
    <n v="43.067532451322947"/>
    <n v="8.2595833439752506E-2"/>
  </r>
  <r>
    <s v="3931Swedish Issaquah345022576700 ULTRASOUND"/>
    <m/>
    <x v="1"/>
    <s v="SHS"/>
    <s v="WA"/>
    <n v="3931"/>
    <x v="28"/>
    <n v="3450"/>
    <s v="Ultrasound"/>
    <s v="Imaging Services"/>
    <s v="22576700 ULTRASOUND"/>
    <s v="APC Relative Weight"/>
    <n v="21442.87"/>
    <n v="23728.87"/>
    <n v="0.65629999999999999"/>
    <n v="0.41"/>
    <n v="0.48"/>
    <n v="0.5625"/>
    <n v="33"/>
    <n v="0.42"/>
    <n v="0.44"/>
    <n v="0.48"/>
    <n v="0.91169999999999995"/>
    <n v="6.04"/>
    <n v="57686.254123908897"/>
    <n v="1146"/>
    <n v="0.54932247712239002"/>
  </r>
  <r>
    <s v="2947Providence Alaska Medical Center4812PHYSICAL THERAPY OP ONLY"/>
    <m/>
    <x v="0"/>
    <s v="AK"/>
    <s v="AK"/>
    <n v="2947"/>
    <x v="0"/>
    <n v="4812"/>
    <s v="Physical Therapy: Outpatient"/>
    <s v="Rehabilitation Services"/>
    <s v="PHYSICAL THERAPY OP ONLY"/>
    <s v="1000 Baseline Billed Time Units (BTUs)"/>
    <n v="742.51"/>
    <n v="727.33"/>
    <n v="0.51519999999999999"/>
    <n v="28.98"/>
    <n v="25.48"/>
    <n v="0.63639999999999997"/>
    <n v="34"/>
    <n v="19.61"/>
    <n v="21.74"/>
    <n v="22.97"/>
    <n v="0.86339999999999995"/>
    <n v="10.32"/>
    <n v="112877.47001149401"/>
    <n v="3211"/>
    <n v="1.5393401110792599"/>
  </r>
  <r>
    <s v="2947Providence Alaska Medical Center1350Mental Health Unit"/>
    <m/>
    <x v="0"/>
    <s v="AK"/>
    <s v="AK"/>
    <n v="2947"/>
    <x v="0"/>
    <n v="1350"/>
    <s v="Peds/Adolescent Behavioral Health Unit"/>
    <s v="Nursing Services"/>
    <s v="Mental Health Unit"/>
    <s v="Patient Days"/>
    <m/>
    <n v="3631"/>
    <m/>
    <m/>
    <n v="12.776389975213441"/>
    <n v="0.58540000000000003"/>
    <n v="34"/>
    <n v="9.5399999999999991"/>
    <n v="9.8800000000000008"/>
    <n v="10.16"/>
    <n v="0.89"/>
    <n v="25.06"/>
    <n v="595557.65932584263"/>
    <n v="11816.620224719099"/>
    <n v="5.6655144889361893"/>
  </r>
  <r>
    <s v="3525Providence Centralia Hospital481233377706 PHYSICAL THERAPY ANNEX"/>
    <m/>
    <x v="1"/>
    <s v="SWR"/>
    <s v="WA"/>
    <n v="3525"/>
    <x v="10"/>
    <n v="4812"/>
    <s v="Physical Therapy: Outpatient"/>
    <s v="Rehabilitation Services"/>
    <s v="33377706 PHYSICAL THERAPY ANNEX"/>
    <s v="1000 Baseline Billed Time Units (BTUs)"/>
    <n v="367.98"/>
    <n v="342.97"/>
    <n v="0.51519999999999999"/>
    <n v="18.91"/>
    <n v="19.329999999999998"/>
    <n v="9.0899999999999995E-2"/>
    <n v="34"/>
    <n v="22.61"/>
    <n v="23.27"/>
    <n v="24.79"/>
    <n v="0.86670000000000003"/>
    <n v="3.68"/>
    <n v="-69934.557255141102"/>
    <n v="-1533"/>
    <n v="-0.73501190542317296"/>
  </r>
  <r>
    <s v="2687Providence Holy Cross Medical Center302072074270 Post Anesthesia Care Unit (PACU) / Recovery"/>
    <m/>
    <x v="2"/>
    <s v="CA"/>
    <s v="CA"/>
    <n v="2687"/>
    <x v="4"/>
    <n v="3020"/>
    <s v="Post Anesthesia Care Unit (PACU)"/>
    <s v="Surgical Services"/>
    <s v="72074270 Post Anesthesia Care Unit (PACU) / Recovery"/>
    <s v="100 PACU Minutes"/>
    <n v="6831.59"/>
    <n v="6926.22"/>
    <n v="0.45450000000000002"/>
    <n v="3.51"/>
    <n v="3.44"/>
    <n v="0.45450000000000002"/>
    <n v="34"/>
    <n v="2.99"/>
    <n v="3.23"/>
    <n v="3.52"/>
    <n v="0.87809999999999999"/>
    <n v="13.04"/>
    <n v="99212.230608080106"/>
    <n v="1720"/>
    <n v="0.82473238275592597"/>
  </r>
  <r>
    <s v="3532Providence Little Company of Mary Hospital504076284601 05040 BIO MED ENGINEER"/>
    <m/>
    <x v="2"/>
    <s v="CA"/>
    <s v="CA"/>
    <n v="3532"/>
    <x v="13"/>
    <n v="5040"/>
    <s v="Biomedical Engineering"/>
    <s v="Facility Services"/>
    <s v="76284601 05040 BIO MED ENGINEER"/>
    <s v="100 Equipment and Devices Maintained"/>
    <n v="44.8"/>
    <n v="47.51"/>
    <n v="0.33329999999999999"/>
    <n v="249.61"/>
    <n v="226.71"/>
    <n v="0.9667"/>
    <n v="34"/>
    <n v="125.74"/>
    <n v="136.27000000000001"/>
    <n v="157.87"/>
    <n v="0.91739999999999999"/>
    <n v="5.64"/>
    <n v="193812.77950976099"/>
    <n v="4706"/>
    <n v="2.2564335548956298"/>
  </r>
  <r>
    <s v="3529Providence Milwaukie Hospital432055078740, SLEEP LAB"/>
    <m/>
    <x v="3"/>
    <s v="OR"/>
    <s v="OR"/>
    <n v="3529"/>
    <x v="15"/>
    <n v="4320"/>
    <s v="Sleep Diagnostic Center"/>
    <s v="Neurodiagnostic Services"/>
    <s v="55078740, SLEEP LAB"/>
    <s v="APC Relative Weight"/>
    <n v="5665.25"/>
    <n v="5989.47"/>
    <n v="0.36359999999999998"/>
    <n v="0.85"/>
    <n v="0.8"/>
    <n v="0.21210000000000001"/>
    <n v="34"/>
    <n v="0.9"/>
    <n v="0.95"/>
    <n v="1.01"/>
    <n v="0.85909999999999997"/>
    <n v="2.67"/>
    <n v="-34317.796959296298"/>
    <n v="-1054"/>
    <n v="-0.50553160203653202"/>
  </r>
  <r>
    <s v="3530Providence Newberg Hospital201057070100, 57070101 EMERGENCY SERVICES"/>
    <m/>
    <x v="3"/>
    <s v="OR"/>
    <s v="OR"/>
    <n v="3530"/>
    <x v="17"/>
    <n v="2010"/>
    <s v="Emergency Department"/>
    <s v="Emergency Services"/>
    <s v="57070100, 57070101 EMERGENCY SERVICES"/>
    <s v="Patient Visits"/>
    <n v="21318"/>
    <n v="23298"/>
    <n v="0.45450000000000002"/>
    <n v="2.6"/>
    <n v="2.67"/>
    <n v="0.42420000000000002"/>
    <n v="34"/>
    <n v="2.52"/>
    <n v="2.58"/>
    <n v="2.68"/>
    <n v="0.88970000000000005"/>
    <n v="32.82"/>
    <n v="101105.51646622439"/>
    <n v="2356.7719455996362"/>
    <n v="1.1299668914990826"/>
  </r>
  <r>
    <s v="3527Providence Portland Medical Center112252261705, MED SURG TELEMETRY"/>
    <m/>
    <x v="3"/>
    <s v="OR"/>
    <s v="OR"/>
    <n v="3527"/>
    <x v="18"/>
    <n v="1122"/>
    <s v="Cardiac Intermediate Care Unit"/>
    <s v="Nursing Services"/>
    <s v="52261705, MED SURG TELEMETRY"/>
    <s v="Equivalent Patient Day"/>
    <n v="5838.42"/>
    <n v="6326"/>
    <n v="0.42420000000000002"/>
    <n v="10.65"/>
    <n v="10.45"/>
    <n v="0.18179999999999999"/>
    <n v="34"/>
    <n v="10.6"/>
    <n v="11.17"/>
    <n v="11.74"/>
    <n v="0.89670000000000005"/>
    <n v="35.450000000000003"/>
    <n v="-217488.25308905501"/>
    <n v="-4864"/>
    <n v="-2.3318613378052899"/>
  </r>
  <r>
    <s v="3527Providence Portland Medical Center401052276420, RADIATION ONCOLOGY"/>
    <m/>
    <x v="3"/>
    <s v="OR"/>
    <s v="OR"/>
    <n v="3527"/>
    <x v="18"/>
    <n v="4010"/>
    <s v="Radiation Therapy (Oncology)"/>
    <s v="Radiation Therapy Services"/>
    <s v="52276420, RADIATION ONCOLOGY"/>
    <s v="APC Relative Weight"/>
    <n v="123276.9"/>
    <n v="95226.39"/>
    <n v="0.63639999999999997"/>
    <n v="0.24"/>
    <n v="0.32"/>
    <n v="0.38240000000000002"/>
    <n v="34"/>
    <n v="0.28000000000000003"/>
    <n v="0.31"/>
    <n v="0.34"/>
    <n v="0.86040000000000005"/>
    <n v="16.87"/>
    <n v="40127.973284392101"/>
    <n v="876"/>
    <n v="0.41996707004441403"/>
  </r>
  <r>
    <s v="3533Providence San Pedro Peninsula Hospital591077284200 84201 SPH SECURITY SAFETY"/>
    <m/>
    <x v="2"/>
    <s v="CA"/>
    <s v="CA"/>
    <n v="3533"/>
    <x v="14"/>
    <n v="5910"/>
    <s v="Security"/>
    <s v="Other Support Services"/>
    <s v="77284200 84201 SPH SECURITY SAFETY"/>
    <s v="1000 Gross Square Feet Patrolled"/>
    <n v="636.57000000000005"/>
    <n v="1237.71"/>
    <n v="0.42420000000000002"/>
    <n v="37.049999999999997"/>
    <n v="20.6"/>
    <n v="0.66669999999999996"/>
    <n v="34"/>
    <n v="14.12"/>
    <n v="15.2"/>
    <n v="17.22"/>
    <n v="0.92500000000000004"/>
    <n v="13.25"/>
    <n v="123505.32198094801"/>
    <n v="7297"/>
    <n v="3.49855638589157"/>
  </r>
  <r>
    <s v="4283Providence St. John's Health Center401073576410, SJHC RADIATION ONCOLOGY (U)"/>
    <m/>
    <x v="2"/>
    <s v="CA"/>
    <s v="CA"/>
    <n v="4283"/>
    <x v="23"/>
    <n v="4010"/>
    <s v="Radiation Therapy (Oncology)"/>
    <s v="Radiation Therapy Services"/>
    <s v="73576410, SJHC RADIATION ONCOLOGY (U)"/>
    <s v="APC Relative Weight"/>
    <m/>
    <n v="58333.99"/>
    <n v="0.61029999999999995"/>
    <m/>
    <n v="0.37"/>
    <n v="0.42399999999999999"/>
    <n v="34"/>
    <n v="0.3"/>
    <n v="0.34"/>
    <n v="0.39"/>
    <n v="0.90659999999999996"/>
    <n v="11.51"/>
    <n v="127616.993339776"/>
    <n v="2130"/>
    <n v="1.0210251511397499"/>
  </r>
  <r>
    <s v="3755Providence Tarzana Medical Center301172574200 74230 CVOR Surg"/>
    <m/>
    <x v="2"/>
    <s v="CA"/>
    <s v="CA"/>
    <n v="3755"/>
    <x v="3"/>
    <n v="3011"/>
    <s v="Operating Room"/>
    <s v="Surgical Services"/>
    <s v="72574200 74230 CVOR Surg"/>
    <s v="100 Operating Room Minutes"/>
    <n v="8190.3"/>
    <n v="8207.41"/>
    <n v="0.57579999999999998"/>
    <n v="10.02"/>
    <n v="8.98"/>
    <n v="3.1300000000000001E-2"/>
    <n v="34"/>
    <n v="10.56"/>
    <n v="10.84"/>
    <n v="11.58"/>
    <n v="0.874"/>
    <n v="40.53"/>
    <n v="-834113.77552571299"/>
    <n v="-17261"/>
    <n v="-8.2758788465730806"/>
  </r>
  <r>
    <s v="3755Providence Tarzana Medical Center342072576800, CAT SCAN"/>
    <m/>
    <x v="2"/>
    <s v="CA"/>
    <s v="CA"/>
    <n v="3755"/>
    <x v="3"/>
    <n v="3420"/>
    <s v="Computerized Tomography"/>
    <s v="Imaging Services"/>
    <s v="72576800, CAT SCAN"/>
    <s v="APC Relative Weight"/>
    <n v="35405.82"/>
    <n v="37664.410000000003"/>
    <n v="0.45450000000000002"/>
    <n v="0.36"/>
    <n v="0.31"/>
    <n v="0.6452"/>
    <n v="34"/>
    <n v="0.24"/>
    <n v="0.26"/>
    <n v="0.28000000000000003"/>
    <n v="0.9143"/>
    <n v="6.21"/>
    <n v="119430.158554977"/>
    <n v="2242"/>
    <n v="1.07472204063114"/>
  </r>
  <r>
    <s v="3755Providence Tarzana Medical Center335072575000 75100 75400, PTMC Lab Lab Send Out Blood Bank"/>
    <m/>
    <x v="2"/>
    <s v="CA"/>
    <s v="CA"/>
    <n v="3755"/>
    <x v="3"/>
    <n v="3350"/>
    <s v="Laboratory Services: Clinical Operations and Blood Bank Combined"/>
    <s v="Laboratory Services"/>
    <s v="72575000 75100 75400, PTMC Lab Lab Send Out Blood Bank"/>
    <s v="100 Billed Tests"/>
    <n v="5091.41"/>
    <n v="5728.26"/>
    <n v="0.1515"/>
    <n v="15.41"/>
    <n v="13.23"/>
    <n v="0.60609999999999997"/>
    <n v="34"/>
    <n v="12.38"/>
    <n v="12.69"/>
    <n v="13.96"/>
    <n v="0.90080000000000005"/>
    <n v="40.46"/>
    <n v="138873.371003437"/>
    <n v="3691"/>
    <n v="1.7695193132360001"/>
  </r>
  <r>
    <s v="3755Providence Tarzana Medical Center127772560700, NICU"/>
    <m/>
    <x v="2"/>
    <s v="CA"/>
    <s v="CA"/>
    <n v="3755"/>
    <x v="3"/>
    <n v="1277"/>
    <s v="Neonatal Intensive Care Unit (NICU)"/>
    <s v="Nursing Services"/>
    <s v="72560700, NICU"/>
    <s v="Patient Days (Neonate)"/>
    <n v="3901"/>
    <n v="3868"/>
    <n v="0.42420000000000002"/>
    <n v="15.77"/>
    <n v="16.18"/>
    <n v="0.54549999999999998"/>
    <n v="34"/>
    <n v="13.15"/>
    <n v="14.06"/>
    <n v="15.12"/>
    <n v="0.87770000000000004"/>
    <n v="34.28"/>
    <n v="527602.16865088604"/>
    <n v="9536"/>
    <n v="4.5719704931046499"/>
  </r>
  <r>
    <s v="3929Swedish Edmonds463023077610 ENDOSCOPY CLINIC"/>
    <m/>
    <x v="1"/>
    <s v="SHS"/>
    <s v="WA"/>
    <n v="3929"/>
    <x v="31"/>
    <n v="4630"/>
    <s v="Endoscopy (GI) Laboratory"/>
    <s v="Other Clinical Support Services"/>
    <s v="23077610 ENDOSCOPY CLINIC"/>
    <s v="APC Relative Weight"/>
    <n v="29424.42"/>
    <n v="40295.85"/>
    <n v="0.51519999999999999"/>
    <n v="0.53"/>
    <n v="0.47"/>
    <n v="0.4194"/>
    <n v="34"/>
    <n v="0.36"/>
    <n v="0.45"/>
    <n v="0.47"/>
    <n v="0.88880000000000003"/>
    <n v="10.15"/>
    <n v="35214.842746217699"/>
    <n v="768"/>
    <n v="0.36824124086666599"/>
  </r>
  <r>
    <s v="3929Swedish Edmonds345023076700 ULTRASOUND"/>
    <m/>
    <x v="1"/>
    <s v="SHS"/>
    <s v="WA"/>
    <n v="3929"/>
    <x v="31"/>
    <n v="3450"/>
    <s v="Ultrasound"/>
    <s v="Imaging Services"/>
    <s v="23076700 ULTRASOUND"/>
    <s v="APC Relative Weight"/>
    <n v="15691.11"/>
    <n v="16626.900000000001"/>
    <n v="0.69699999999999995"/>
    <n v="0.64"/>
    <n v="0.64"/>
    <n v="0.96430000000000005"/>
    <n v="34"/>
    <n v="0.48"/>
    <n v="0.48"/>
    <n v="0.51"/>
    <n v="0.89090000000000003"/>
    <n v="5.73"/>
    <n v="169447.02649345901"/>
    <n v="2993"/>
    <n v="1.4349154042251699"/>
  </r>
  <r>
    <s v="3927Swedish First Hill487221077709 OP REHAB SERVICES FH"/>
    <m/>
    <x v="1"/>
    <s v="SHS"/>
    <s v="WA"/>
    <n v="3927"/>
    <x v="26"/>
    <n v="4872"/>
    <s v="PT/OT/SLP Combined: Outpatient"/>
    <s v="Rehabilitation Services"/>
    <s v="21077709 OP REHAB SERVICES FH"/>
    <s v="1000 Baseline Billed Time Units (BTUs)"/>
    <n v="956.77"/>
    <n v="747.03"/>
    <n v="0.48480000000000001"/>
    <n v="24.06"/>
    <n v="24.84"/>
    <n v="0.5806"/>
    <n v="34"/>
    <n v="22.58"/>
    <n v="22.88"/>
    <n v="24.07"/>
    <n v="0.90280000000000005"/>
    <n v="9.8800000000000008"/>
    <n v="74338.705926581402"/>
    <n v="1674"/>
    <n v="0.80282576828788199"/>
  </r>
  <r>
    <s v="3531Providence Medford Medical Center341159076300, DIAGNOSTIC IMAGING"/>
    <m/>
    <x v="3"/>
    <s v="OR"/>
    <s v="OR"/>
    <n v="3531"/>
    <x v="29"/>
    <n v="3411"/>
    <s v="Diagnostic Radiology Without Interventional Procedures"/>
    <s v="Imaging Services"/>
    <s v="59076300, DIAGNOSTIC IMAGING"/>
    <s v="APC Relative Weight"/>
    <n v="38542.65"/>
    <n v="33569.879999999997"/>
    <m/>
    <n v="0.53"/>
    <n v="0.61778624171429863"/>
    <n v="0.53849999999999998"/>
    <n v="34"/>
    <n v="0.66"/>
    <n v="0.69"/>
    <n v="0.73"/>
    <n v="0.91539999999999999"/>
    <n v="13.57"/>
    <n v="-78176.312589032066"/>
    <n v="-2648.2490714441756"/>
    <n v="-1.2697171556044378"/>
  </r>
  <r>
    <s v="3531Providence Medford Medical Center342059076800, CTT SCANNER"/>
    <m/>
    <x v="3"/>
    <s v="OR"/>
    <s v="OR"/>
    <n v="3531"/>
    <x v="29"/>
    <n v="3420"/>
    <s v="Computerized Tomography"/>
    <s v="Imaging Services"/>
    <s v="59076800, CTT SCANNER"/>
    <s v="APC Relative Weight"/>
    <n v="45143.91"/>
    <n v="45862.47"/>
    <n v="0.54549999999999998"/>
    <n v="0.26"/>
    <n v="0.28000000000000003"/>
    <n v="0.33329999999999999"/>
    <n v="34"/>
    <n v="0.26"/>
    <n v="0.28000000000000003"/>
    <n v="0.28999999999999998"/>
    <n v="0.90549999999999997"/>
    <n v="6.81"/>
    <n v="757.50066881623604"/>
    <n v="22"/>
    <n v="1.0528210995929E-2"/>
  </r>
  <r>
    <s v="2947Providence Alaska Medical Center3020Post Anesthesia Care Unit"/>
    <m/>
    <x v="0"/>
    <s v="AK"/>
    <s v="AK"/>
    <n v="2947"/>
    <x v="0"/>
    <n v="3020"/>
    <s v="Post Anesthesia Care Unit (PACU)"/>
    <s v="Surgical Services"/>
    <s v="Post Anesthesia Care Unit"/>
    <s v="100 PACU Minutes"/>
    <n v="25294.6"/>
    <n v="17458.07"/>
    <n v="0.52939999999999998"/>
    <n v="2.33"/>
    <n v="3.5"/>
    <n v="0.9677"/>
    <n v="35"/>
    <n v="2.9"/>
    <n v="3.22"/>
    <n v="3.45"/>
    <n v="0.91259999999999997"/>
    <n v="32.21"/>
    <n v="267284.8499232959"/>
    <n v="5356.4098181021227"/>
    <n v="2.5681469706249298"/>
  </r>
  <r>
    <s v="3523Providence Everett Medical Center341131676300, Diagnostic Imaging"/>
    <m/>
    <x v="1"/>
    <s v="NWR"/>
    <s v="WA"/>
    <n v="3523"/>
    <x v="1"/>
    <n v="3411"/>
    <s v="Diagnostic Radiology Without Interventional Procedures"/>
    <s v="Imaging Services"/>
    <s v="31676300, Diagnostic Imaging"/>
    <s v="APC Relative Weight"/>
    <n v="82200.570000000007"/>
    <n v="87140.49"/>
    <n v="0.52939999999999998"/>
    <n v="0.57999999999999996"/>
    <n v="0.59"/>
    <n v="0.26669999999999999"/>
    <n v="35"/>
    <n v="0.57999999999999996"/>
    <n v="0.6"/>
    <n v="0.64"/>
    <n v="0.87790000000000001"/>
    <n v="28.01"/>
    <n v="-36864.790919479099"/>
    <n v="-1136"/>
    <n v="-0.544486718647477"/>
  </r>
  <r>
    <s v="3523Providence Everett Medical Center431031676200 EEG Neurodiagnostic Services"/>
    <m/>
    <x v="1"/>
    <s v="NWR"/>
    <s v="WA"/>
    <n v="3523"/>
    <x v="1"/>
    <n v="4310"/>
    <s v="Neurodiagnostic Laboratory (EEG)"/>
    <s v="Neurodiagnostic Services"/>
    <s v="31676200 EEG Neurodiagnostic Services"/>
    <s v="APC Relative Weight"/>
    <n v="3778.57"/>
    <n v="3883.04"/>
    <n v="0.73529999999999995"/>
    <n v="1.04"/>
    <n v="1.01"/>
    <n v="0.55879999999999996"/>
    <n v="35"/>
    <n v="0.64"/>
    <n v="0.78"/>
    <n v="0.89"/>
    <n v="0.90059999999999996"/>
    <n v="2.1"/>
    <n v="36477.210671098997"/>
    <n v="1017"/>
    <n v="0.48756326710258902"/>
  </r>
  <r>
    <s v="2687Providence Holy Cross Medical Center504072084650 Biomedical Engineering"/>
    <m/>
    <x v="2"/>
    <s v="CA"/>
    <s v="CA"/>
    <n v="2687"/>
    <x v="4"/>
    <n v="5040"/>
    <s v="Biomedical Engineering"/>
    <s v="Facility Services"/>
    <s v="72084650 Biomedical Engineering"/>
    <s v="100 Equipment and Devices Maintained"/>
    <n v="50.48"/>
    <n v="58"/>
    <n v="0.52939999999999998"/>
    <n v="207.53"/>
    <n v="177.48"/>
    <n v="0.66669999999999996"/>
    <n v="35"/>
    <n v="128.86000000000001"/>
    <n v="139.58000000000001"/>
    <n v="158.27000000000001"/>
    <n v="0.91239999999999999"/>
    <n v="5.42"/>
    <n v="92841.933685202399"/>
    <n v="2432"/>
    <n v="1.1658375509883701"/>
  </r>
  <r>
    <s v="3851Providence Holy Family Hospital500136584500, PLANT OPERATIONS"/>
    <m/>
    <x v="4"/>
    <s v="PHC"/>
    <s v="WA"/>
    <n v="3851"/>
    <x v="11"/>
    <n v="5001"/>
    <s v="Plant Operations / Plant Maintenance and Grounds"/>
    <s v="Facility Services"/>
    <s v="36584500, PLANT OPERATIONS"/>
    <s v="1000 Gross Square Feet Maintained"/>
    <n v="863.36"/>
    <n v="836.84"/>
    <n v="0.44119999999999998"/>
    <n v="24.8"/>
    <n v="26.47"/>
    <n v="0.21879999999999999"/>
    <n v="35"/>
    <n v="26.87"/>
    <n v="27.93"/>
    <n v="30.73"/>
    <n v="0.83209999999999995"/>
    <n v="12.8"/>
    <n v="-49619.766000471303"/>
    <n v="-1392"/>
    <n v="-0.66746958332392703"/>
  </r>
  <r>
    <s v="4282Providence Kodiak Hospital2210Multi-discipline Combined Clinic"/>
    <m/>
    <x v="0"/>
    <s v="AK"/>
    <s v="AK"/>
    <n v="4282"/>
    <x v="5"/>
    <n v="2210"/>
    <s v="Multi-discipline Combined Clinic"/>
    <s v="Ambulatory Care Clinics"/>
    <s v="Multi-discipline Combined Clinic"/>
    <s v="Patient Visits"/>
    <n v="8346"/>
    <n v="11020"/>
    <n v="0.76470000000000005"/>
    <n v="0.78"/>
    <n v="0.54"/>
    <n v="2.9399999999999999E-2"/>
    <n v="35"/>
    <n v="0.89"/>
    <n v="0.93"/>
    <n v="1.1000000000000001"/>
    <n v="0.87860000000000005"/>
    <n v="3.23"/>
    <n v="-476628.33129988902"/>
    <n v="-4928"/>
    <n v="-2.3626997320299798"/>
  </r>
  <r>
    <s v="3529Providence Milwaukie Hospital309955003099, SURG SVCS ADMIN (U,N)"/>
    <m/>
    <x v="3"/>
    <s v="OR"/>
    <s v="OR"/>
    <n v="3529"/>
    <x v="15"/>
    <n v="3099"/>
    <s v="Surgical Services Administration"/>
    <s v="Surgical Services"/>
    <s v="55003099, SURG SVCS ADMIN (U,N)"/>
    <s v="Cases Supported"/>
    <n v="2803"/>
    <n v="3551"/>
    <n v="0.51790000000000003"/>
    <n v="2.3199999999999998"/>
    <n v="2.0499999999999998"/>
    <n v="0.65400000000000003"/>
    <n v="35"/>
    <n v="1.22"/>
    <n v="1.29"/>
    <n v="1.57"/>
    <n v="0.81850000000000001"/>
    <n v="4.28"/>
    <n v="138937.225920995"/>
    <n v="3330"/>
    <n v="1.5966961256874701"/>
  </r>
  <r>
    <s v="3850Providence Mount Carmel Hospital335037075000, 75400 CLINICAL LABORATORY SERVICES"/>
    <m/>
    <x v="4"/>
    <s v="PHC"/>
    <s v="WA"/>
    <n v="3850"/>
    <x v="16"/>
    <n v="3350"/>
    <s v="Laboratory Services: Clinical Operations and Blood Bank Combined"/>
    <s v="Laboratory Services"/>
    <s v="37075000, 75400 CLINICAL LABORATORY SERVICES"/>
    <s v="100 Billed Tests"/>
    <n v="1200.3399999999999"/>
    <n v="1265.8"/>
    <n v="0.52939999999999998"/>
    <n v="30.61"/>
    <n v="29.29"/>
    <n v="0.91180000000000005"/>
    <n v="35"/>
    <n v="17.14"/>
    <n v="17.829999999999998"/>
    <n v="20.14"/>
    <n v="0.90100000000000002"/>
    <n v="19.78"/>
    <n v="388727.44645598799"/>
    <n v="16206"/>
    <n v="7.7700886311241399"/>
  </r>
  <r>
    <s v="3531Providence Medford Medical Center511259083300, 59083400 PT_NON PT FOOD SVC"/>
    <m/>
    <x v="3"/>
    <s v="OR"/>
    <s v="OR"/>
    <n v="3531"/>
    <x v="29"/>
    <n v="5112"/>
    <s v="Patient and Nonpatient Food Services"/>
    <s v="Food and Nutrition Services"/>
    <s v="59083300, 59083400 PT_NON PT FOOD SVC"/>
    <s v="ART: Total Meal Equivalents"/>
    <n v="337100.83"/>
    <n v="355157.98"/>
    <n v="0.5"/>
    <n v="0.14000000000000001"/>
    <n v="0.13"/>
    <n v="0.21879999999999999"/>
    <n v="35"/>
    <n v="0.13"/>
    <n v="0.14000000000000001"/>
    <n v="0.15"/>
    <n v="0.92100000000000004"/>
    <n v="24.84"/>
    <n v="-35932.442223533697"/>
    <n v="-2178"/>
    <n v="-1.04440232872656"/>
  </r>
  <r>
    <s v="3527Providence Portland Medical Center339952203399, LAB SVCS ADMIN AND SUPPORT (U,N)"/>
    <m/>
    <x v="3"/>
    <s v="OR"/>
    <s v="OR"/>
    <n v="3527"/>
    <x v="18"/>
    <n v="3399"/>
    <s v="Laboratory Services Administration"/>
    <s v="Laboratory Services"/>
    <s v="52203399, LAB SVCS ADMIN AND SUPPORT (U,N)"/>
    <s v="100 Billed Tests Supported"/>
    <n v="10209.56"/>
    <n v="9500.1200000000008"/>
    <n v="0.56820000000000004"/>
    <n v="2.34"/>
    <n v="2.19"/>
    <n v="0.72709999999999997"/>
    <n v="35"/>
    <n v="0.95"/>
    <n v="1"/>
    <n v="1.29"/>
    <n v="0.89429999999999998"/>
    <n v="11.19"/>
    <n v="454962.621913179"/>
    <n v="12716"/>
    <n v="6.0967614305881499"/>
  </r>
  <r>
    <s v="3855Providence St Joseph Medical Center Polson2210Multi-discipline Combined Clinic"/>
    <m/>
    <x v="4"/>
    <s v="WMR"/>
    <s v="MT"/>
    <n v="3855"/>
    <x v="30"/>
    <n v="2210"/>
    <s v="Multi-discipline Combined Clinic"/>
    <s v="Ambulatory Care Clinics"/>
    <s v="Multi-discipline Combined Clinic"/>
    <s v="Patient Visits"/>
    <n v="26522"/>
    <n v="25312"/>
    <n v="0.5"/>
    <n v="1.18"/>
    <n v="1.1000000000000001"/>
    <n v="0.38240000000000002"/>
    <n v="35"/>
    <n v="1.02"/>
    <n v="1.0900000000000001"/>
    <n v="1.1200000000000001"/>
    <n v="0.90639999999999998"/>
    <n v="14.72"/>
    <n v="5800.6571151750804"/>
    <n v="262"/>
    <n v="0.12576880832835399"/>
  </r>
  <r>
    <s v="3848Providence St Patrick Hospital &amp; Health Science Ce500146084500, 84501 FAC ENGINEERING"/>
    <m/>
    <x v="4"/>
    <s v="WMR"/>
    <s v="MT"/>
    <n v="3848"/>
    <x v="21"/>
    <n v="5001"/>
    <s v="Plant Operations / Plant Maintenance and Grounds"/>
    <s v="Facility Services"/>
    <s v="46084500, 84501 FAC ENGINEERING"/>
    <s v="1000 Gross Square Feet Maintained"/>
    <n v="1166.1099999999999"/>
    <n v="1166.1099999999999"/>
    <n v="0.70589999999999997"/>
    <n v="27.05"/>
    <n v="30.26"/>
    <n v="0.34379999999999999"/>
    <n v="35"/>
    <n v="29.73"/>
    <n v="30.34"/>
    <n v="34.06"/>
    <n v="0.89249999999999996"/>
    <n v="19.010000000000002"/>
    <n v="194.90092772605399"/>
    <n v="8"/>
    <n v="3.8115880192002298E-3"/>
  </r>
  <r>
    <s v="3931Swedish Issaquah463022577600 ENDOSCOPY"/>
    <m/>
    <x v="1"/>
    <s v="SHS"/>
    <s v="WA"/>
    <n v="3931"/>
    <x v="28"/>
    <n v="4630"/>
    <s v="Endoscopy (GI) Laboratory"/>
    <s v="Other Clinical Support Services"/>
    <s v="22577600 ENDOSCOPY"/>
    <s v="APC Relative Weight"/>
    <n v="57315.71"/>
    <n v="73067.13"/>
    <n v="0.55879999999999996"/>
    <n v="0.36"/>
    <n v="0.32"/>
    <n v="0.23530000000000001"/>
    <n v="35"/>
    <n v="0.33"/>
    <n v="0.35"/>
    <n v="0.4"/>
    <n v="0.88049999999999995"/>
    <n v="12.76"/>
    <n v="-113565.611377832"/>
    <n v="-2431"/>
    <n v="-1.16543889562241"/>
  </r>
  <r>
    <s v="2947Providence Alaska Medical Center4220Echo (U)"/>
    <m/>
    <x v="0"/>
    <s v="AK"/>
    <s v="AK"/>
    <n v="2947"/>
    <x v="0"/>
    <n v="4220"/>
    <s v="Combined Noninvasive Cardiology and Vascular Services"/>
    <s v="Cardiology and Vascular Services Series"/>
    <s v="Echo (U)"/>
    <s v="APC Relative Weight"/>
    <n v="38033.870000000003"/>
    <n v="39418.089999999997"/>
    <n v="0.5585"/>
    <n v="0.3"/>
    <n v="0.3"/>
    <n v="0.37119999999999997"/>
    <n v="36"/>
    <n v="0.25"/>
    <n v="0.28999999999999998"/>
    <n v="0.34"/>
    <n v="0.89470000000000005"/>
    <n v="6.4"/>
    <n v="30104.823460481399"/>
    <n v="572"/>
    <n v="0.27417908679904202"/>
  </r>
  <r>
    <s v="2947Providence Alaska Medical Center3460Nuclear Medicine"/>
    <m/>
    <x v="0"/>
    <s v="AK"/>
    <s v="AK"/>
    <n v="2947"/>
    <x v="0"/>
    <n v="3460"/>
    <s v="Nuclear Medicine"/>
    <s v="Imaging Services"/>
    <s v="Nuclear Medicine"/>
    <s v="APC Relative Weight"/>
    <n v="15144.05"/>
    <n v="13234.78"/>
    <n v="0.54290000000000005"/>
    <n v="0.37"/>
    <n v="0.41"/>
    <n v="0.86670000000000003"/>
    <n v="36"/>
    <n v="0.28000000000000003"/>
    <n v="0.28999999999999998"/>
    <n v="0.33"/>
    <n v="0.89910000000000001"/>
    <n v="2.93"/>
    <n v="91840.631750250104"/>
    <n v="1842"/>
    <n v="0.88329671992449799"/>
  </r>
  <r>
    <s v="2947Providence Alaska Medical Center3499N - Imaging Admin (U,N)"/>
    <m/>
    <x v="0"/>
    <s v="AK"/>
    <s v="AK"/>
    <n v="2947"/>
    <x v="0"/>
    <n v="3499"/>
    <s v="Imaging Services Administration"/>
    <s v="Imaging Services"/>
    <s v="N - Imaging Admin (U,N)"/>
    <s v="APC Relative Weight Supported"/>
    <n v="193343.65"/>
    <n v="190240.78"/>
    <n v="0.53439999999999999"/>
    <n v="0.18"/>
    <n v="0.13"/>
    <m/>
    <n v="36"/>
    <n v="0.06"/>
    <n v="0.06"/>
    <n v="7.0000000000000007E-2"/>
    <n v="0.89910000000000001"/>
    <n v="13.35"/>
    <n v="492149.79166222498"/>
    <n v="15149"/>
    <n v="7.2631159415316597"/>
  </r>
  <r>
    <s v="3523Providence Everett Medical Center426031676702, Ultrasound Echo"/>
    <m/>
    <x v="1"/>
    <s v="NWR"/>
    <s v="WA"/>
    <n v="3523"/>
    <x v="1"/>
    <n v="4260"/>
    <s v="Vascular Laboratory"/>
    <s v="Cardiology and Vascular Services Series"/>
    <s v="31676702, Ultrasound Echo"/>
    <s v="APC Relative Weight"/>
    <n v="50774.47"/>
    <n v="51884"/>
    <m/>
    <n v="0.24"/>
    <n v="0.25"/>
    <m/>
    <n v="36"/>
    <n v="0.55000000000000004"/>
    <n v="0.57999999999999996"/>
    <n v="0.64"/>
    <n v="0.89059999999999995"/>
    <n v="7.14"/>
    <n v="-752492.09113160498"/>
    <n v="-18897"/>
    <n v="-9.0604438143537305"/>
  </r>
  <r>
    <s v="2687Providence Holy Cross Medical Center522172083500 Laundry"/>
    <m/>
    <x v="2"/>
    <s v="CA"/>
    <s v="CA"/>
    <n v="2687"/>
    <x v="4"/>
    <n v="5221"/>
    <s v="Laundry and Linen Distribution Only"/>
    <s v="Environmental Services"/>
    <s v="72083500 Laundry"/>
    <s v="100 Lbs Clean Laundry Distributed"/>
    <n v="14169.26"/>
    <n v="19762.009999999998"/>
    <n v="0.57140000000000002"/>
    <n v="0.25"/>
    <n v="0.25"/>
    <n v="0.2286"/>
    <n v="36"/>
    <n v="0.26"/>
    <n v="0.28999999999999998"/>
    <n v="0.39"/>
    <n v="0.92859999999999998"/>
    <n v="2.58"/>
    <n v="-12627.481532157801"/>
    <n v="-791"/>
    <n v="-0.37902471204514399"/>
  </r>
  <r>
    <s v="3530Providence Newberg Hospital341157076300, DIAGNOSTIC IMAGING"/>
    <m/>
    <x v="3"/>
    <s v="OR"/>
    <s v="OR"/>
    <n v="3530"/>
    <x v="17"/>
    <n v="3411"/>
    <s v="Diagnostic Radiology Without Interventional Procedures"/>
    <s v="Imaging Services"/>
    <s v="57076300, DIAGNOSTIC IMAGING"/>
    <s v="APC Relative Weight"/>
    <n v="18801.04"/>
    <n v="21596.59"/>
    <n v="0.62860000000000005"/>
    <n v="0.91"/>
    <n v="0.8"/>
    <n v="0.625"/>
    <n v="36"/>
    <n v="0.63"/>
    <n v="0.65"/>
    <n v="0.74"/>
    <n v="0.89229999999999998"/>
    <n v="9.34"/>
    <n v="133692.91936746199"/>
    <n v="3748"/>
    <n v="1.79714418571797"/>
  </r>
  <r>
    <s v="3852Providence Sacred Heart Medical Center302034574270, PACU"/>
    <m/>
    <x v="4"/>
    <s v="PHC"/>
    <s v="WA"/>
    <n v="3852"/>
    <x v="9"/>
    <n v="3020"/>
    <s v="Post Anesthesia Care Unit (PACU)"/>
    <s v="Surgical Services"/>
    <s v="34574270, PACU"/>
    <s v="100 PACU Minutes"/>
    <n v="11565.6"/>
    <n v="13409.14"/>
    <n v="0.7429"/>
    <n v="3.74"/>
    <n v="2.81"/>
    <n v="0.2"/>
    <n v="36"/>
    <n v="3.12"/>
    <n v="3.38"/>
    <n v="3.49"/>
    <n v="0.88260000000000005"/>
    <n v="20.53"/>
    <n v="-423843.73737155501"/>
    <n v="-8532"/>
    <n v="-4.0907830406357899"/>
  </r>
  <r>
    <s v="3526Providence Seaside Hospital449051004490, PHARMACY SUPPORT SVCS (U,N)"/>
    <m/>
    <x v="3"/>
    <s v="OR"/>
    <s v="OR"/>
    <n v="3526"/>
    <x v="19"/>
    <n v="4490"/>
    <s v="Pharmacy Administration and Support"/>
    <s v="Pharmacy Services"/>
    <s v="51004490, PHARMACY SUPPORT SVCS (U,N)"/>
    <s v="CMI Weighted Adjusted Discharges"/>
    <n v="5324.97"/>
    <n v="5801.1"/>
    <m/>
    <n v="0.72"/>
    <n v="0.78"/>
    <m/>
    <n v="36"/>
    <n v="0.18"/>
    <n v="0.21"/>
    <n v="0.26"/>
    <n v="0.83530000000000004"/>
    <n v="2.61"/>
    <n v="128757.468418335"/>
    <n v="3985"/>
    <n v="1.9107454127107399"/>
  </r>
  <r>
    <s v="3755Providence Tarzana Medical Center128572574000 70190 LD NST Clinic"/>
    <m/>
    <x v="2"/>
    <s v="CA"/>
    <s v="CA"/>
    <n v="3755"/>
    <x v="3"/>
    <n v="1285"/>
    <s v="Labor/Delivery with Recovery"/>
    <s v="Nursing Services"/>
    <s v="72574000 70190 LD NST Clinic"/>
    <s v="Neonate Deliveries"/>
    <n v="2541"/>
    <n v="2451"/>
    <n v="0.57140000000000002"/>
    <n v="37.31"/>
    <n v="36.29"/>
    <n v="0.4118"/>
    <n v="36"/>
    <n v="34.25"/>
    <n v="35.090000000000003"/>
    <n v="37.21"/>
    <n v="0.85719999999999996"/>
    <n v="42.76"/>
    <n v="-557014.61487711803"/>
    <n v="-11149"/>
    <n v="-5.3452721495222404"/>
  </r>
  <r>
    <s v="3755Providence Tarzana Medical Center343072576600, MRI"/>
    <m/>
    <x v="2"/>
    <s v="CA"/>
    <s v="CA"/>
    <n v="3755"/>
    <x v="3"/>
    <n v="3430"/>
    <s v="Magnetic Resonance Imaging"/>
    <s v="Imaging Services"/>
    <s v="72576600, MRI"/>
    <s v="APC Relative Weight"/>
    <n v="16930.330000000002"/>
    <n v="19214.560000000001"/>
    <n v="0.54290000000000005"/>
    <n v="0.79"/>
    <n v="0.6"/>
    <n v="1"/>
    <n v="36"/>
    <n v="0.3"/>
    <n v="0.3"/>
    <n v="0.32"/>
    <n v="0.91149999999999998"/>
    <n v="6.12"/>
    <n v="240156.90243307501"/>
    <n v="6440"/>
    <n v="3.08790234554654"/>
  </r>
  <r>
    <s v="3927Swedish First Hill401021076412 SCI HIGHLINE"/>
    <m/>
    <x v="1"/>
    <s v="SHS"/>
    <s v="WA"/>
    <n v="3927"/>
    <x v="26"/>
    <n v="4010"/>
    <s v="Radiation Therapy (Oncology)"/>
    <s v="Radiation Therapy Services"/>
    <s v="21076412 SCI HIGHLINE"/>
    <s v="APC Relative Weight"/>
    <n v="36253.86"/>
    <n v="28919.72"/>
    <n v="0.51429999999999998"/>
    <n v="0.32"/>
    <n v="0.44"/>
    <n v="0.57579999999999998"/>
    <n v="36"/>
    <n v="0.35"/>
    <n v="0.39"/>
    <n v="0.43"/>
    <n v="0.89449999999999996"/>
    <n v="6.9"/>
    <n v="111681.159237903"/>
    <n v="1782"/>
    <n v="0.85457963331073505"/>
  </r>
  <r>
    <s v="3931Swedish Issaquah3099Surgical Services Administration (N)"/>
    <m/>
    <x v="1"/>
    <s v="SHS"/>
    <s v="WA"/>
    <n v="3931"/>
    <x v="28"/>
    <n v="3099"/>
    <s v="Surgical Services Administration"/>
    <s v="Surgical Services"/>
    <s v="Surgical Services Administration (N)"/>
    <s v="Cases Supported"/>
    <n v="4696"/>
    <n v="5739"/>
    <n v="0.45710000000000001"/>
    <n v="1.53"/>
    <n v="1.47"/>
    <n v="0.48480000000000001"/>
    <n v="36"/>
    <n v="1.04"/>
    <n v="1.26"/>
    <n v="1.49"/>
    <n v="0.91690000000000005"/>
    <n v="4.43"/>
    <n v="57273.655630962799"/>
    <n v="1353"/>
    <n v="0.64877120935583799"/>
  </r>
  <r>
    <s v="3523Providence Everett Medical Center121131661708, Close Observation A3"/>
    <m/>
    <x v="1"/>
    <s v="NWR"/>
    <s v="WA"/>
    <n v="3523"/>
    <x v="1"/>
    <n v="1211"/>
    <s v="General Medical Acute Care Unit"/>
    <s v="Nursing Services"/>
    <s v="31661708, Close Observation A3"/>
    <s v="Equivalent Patient Day"/>
    <n v="10031.91"/>
    <n v="10111"/>
    <n v="0.47220000000000001"/>
    <n v="10.37"/>
    <n v="11.05"/>
    <n v="0.68569999999999998"/>
    <n v="37"/>
    <n v="9.67"/>
    <n v="10.01"/>
    <n v="10.14"/>
    <n v="0.92120000000000002"/>
    <n v="58.33"/>
    <n v="371342.578458987"/>
    <n v="11790"/>
    <n v="5.6528321441432201"/>
  </r>
  <r>
    <s v="3528Providence Hood River Memorial Hospital441056077100, PHARMACY"/>
    <m/>
    <x v="3"/>
    <s v="OR"/>
    <s v="OR"/>
    <n v="3528"/>
    <x v="12"/>
    <n v="4410"/>
    <s v="Pharmacy Services"/>
    <s v="Pharmacy Services"/>
    <s v="56077100, PHARMACY"/>
    <s v="CMI Weighted Department Adjusted Discharges"/>
    <n v="11672.38"/>
    <n v="11734.19"/>
    <n v="0.63890000000000002"/>
    <n v="0.9"/>
    <n v="1.08"/>
    <m/>
    <n v="37"/>
    <n v="1.81"/>
    <n v="1.99"/>
    <n v="2.08"/>
    <n v="0.9224"/>
    <n v="6.63"/>
    <n v="-520824.26211079792"/>
    <n v="-11576.445034692108"/>
    <n v="-5.5503883754576924"/>
  </r>
  <r>
    <s v="3532Providence Little Company of Mary Hospital521176284400 05211 EVS"/>
    <m/>
    <x v="2"/>
    <s v="CA"/>
    <s v="CA"/>
    <n v="3532"/>
    <x v="13"/>
    <n v="5211"/>
    <s v="Environmental Services"/>
    <s v="Environmental Services"/>
    <s v="76284400 05211 EVS"/>
    <s v="1000 Net Sq Ft Cleaned"/>
    <n v="410.2"/>
    <n v="839.57"/>
    <n v="0.47220000000000001"/>
    <n v="309.64"/>
    <n v="143.81"/>
    <n v="5.5599999999999997E-2"/>
    <n v="37"/>
    <n v="166.93"/>
    <n v="175.04"/>
    <n v="185.01"/>
    <n v="0.92559999999999998"/>
    <n v="62.71"/>
    <n v="-411502.44828797301"/>
    <n v="-27977"/>
    <n v="-13.4135493005443"/>
  </r>
  <r>
    <s v="3527Providence Portland Medical Center481252277709, PROVIDENCE DOWNTOWN REHAB"/>
    <m/>
    <x v="3"/>
    <s v="OR"/>
    <s v="OR"/>
    <n v="3527"/>
    <x v="18"/>
    <n v="4812"/>
    <s v="Physical Therapy: Outpatient"/>
    <s v="Rehabilitation Services"/>
    <s v="52277709, PROVIDENCE DOWNTOWN REHAB"/>
    <s v="1000 Baseline Billed Time Units (BTUs)"/>
    <n v="242.75"/>
    <n v="356.43"/>
    <n v="0.55559999999999998"/>
    <n v="20.83"/>
    <n v="18.420000000000002"/>
    <n v="2.86E-2"/>
    <n v="37"/>
    <n v="20.99"/>
    <n v="22.43"/>
    <n v="23.14"/>
    <n v="0.91969999999999996"/>
    <n v="3.43"/>
    <n v="-54479.512130283802"/>
    <n v="-1539"/>
    <n v="-0.73778681637948496"/>
  </r>
  <r>
    <s v="3854Providence Saint Mary Medical Center401032576428, RADIATION ONCOLOGY"/>
    <m/>
    <x v="4"/>
    <s v="SER"/>
    <s v="WA"/>
    <n v="3854"/>
    <x v="8"/>
    <n v="4010"/>
    <s v="Radiation Therapy (Oncology)"/>
    <s v="Radiation Therapy Services"/>
    <s v="32576428, RADIATION ONCOLOGY"/>
    <s v="APC Relative Weight"/>
    <n v="47062.400000000001"/>
    <n v="36997.9"/>
    <n v="0.5"/>
    <n v="0.28000000000000003"/>
    <n v="0.32"/>
    <n v="0.25"/>
    <n v="37"/>
    <n v="0.32"/>
    <n v="0.36"/>
    <n v="0.4"/>
    <n v="0.89859999999999995"/>
    <n v="6.4"/>
    <n v="-65736.413310637305"/>
    <n v="-1474"/>
    <n v="-0.70659096785748798"/>
  </r>
  <r>
    <s v="3848Providence St Patrick Hospital &amp; Health Science Ce201046070100, 70101 EMERGENCY SERVICES"/>
    <m/>
    <x v="4"/>
    <s v="WMR"/>
    <s v="MT"/>
    <n v="3848"/>
    <x v="21"/>
    <n v="2010"/>
    <s v="Emergency Department"/>
    <s v="Emergency Services"/>
    <s v="46070100, 70101 EMERGENCY SERVICES"/>
    <s v="Patient Visits"/>
    <n v="29718"/>
    <n v="31155"/>
    <n v="0.16669999999999999"/>
    <n v="2.89"/>
    <n v="2.99"/>
    <n v="0.59460000000000002"/>
    <n v="37"/>
    <n v="2.65"/>
    <n v="2.77"/>
    <n v="2.92"/>
    <n v="0.9163"/>
    <n v="48.85"/>
    <n v="227475.69549958999"/>
    <n v="7704"/>
    <n v="3.6937366726210699"/>
  </r>
  <r>
    <s v="3523Providence Everett Medical Center411031677200, Respiratory Therapy"/>
    <m/>
    <x v="1"/>
    <s v="NWR"/>
    <s v="WA"/>
    <n v="3523"/>
    <x v="1"/>
    <n v="4110"/>
    <s v="Respiratory Care"/>
    <s v="Respiratory and Pulmonary Care Services"/>
    <s v="31677200, Respiratory Therapy"/>
    <s v="CMI Weighted Total Facility Discharges"/>
    <n v="48981.16"/>
    <n v="46318.15"/>
    <n v="0.97299999999999998"/>
    <n v="1.97"/>
    <n v="2.12"/>
    <n v="0.27779999999999999"/>
    <n v="38"/>
    <n v="2.12"/>
    <n v="2.33"/>
    <n v="2.73"/>
    <n v="0.88239999999999996"/>
    <n v="53.46"/>
    <n v="-399113.676397131"/>
    <n v="-10803"/>
    <n v="-5.1794360992313599"/>
  </r>
  <r>
    <s v="2687Providence Holy Cross Medical Center521172084400 Environmental (Housekeeping) Services"/>
    <m/>
    <x v="2"/>
    <s v="CA"/>
    <s v="CA"/>
    <n v="2687"/>
    <x v="4"/>
    <n v="5211"/>
    <s v="Environmental Services"/>
    <s v="Environmental Services"/>
    <s v="72084400 Environmental (Housekeeping) Services"/>
    <s v="1000 Net Sq Ft Cleaned"/>
    <n v="422.59"/>
    <n v="575.83799999999997"/>
    <m/>
    <n v="247.67"/>
    <n v="200.75090563665478"/>
    <n v="0.34"/>
    <n v="38"/>
    <n v="166.33"/>
    <n v="176.27"/>
    <n v="193.22"/>
    <n v="0.91310000000000002"/>
    <n v="38.97"/>
    <n v="257979.92247880858"/>
    <n v="15438.65484612858"/>
    <n v="7.4021454888663669"/>
  </r>
  <r>
    <s v="3527Providence Portland Medical Center303052274300, SHORT STAY SURGICAL UNIT"/>
    <m/>
    <x v="3"/>
    <s v="OR"/>
    <s v="OR"/>
    <n v="3527"/>
    <x v="18"/>
    <n v="3030"/>
    <s v="Surgery Pre Op and Post Recovery Only"/>
    <s v="Surgical Services"/>
    <s v="52274300, SHORT STAY SURGICAL UNIT"/>
    <s v="100 Patient Observation Minutes"/>
    <n v="29004"/>
    <n v="27454.44"/>
    <n v="0.72970000000000002"/>
    <n v="1.96"/>
    <n v="2.4456517780002072"/>
    <n v="0.94289999999999996"/>
    <n v="38"/>
    <n v="2.0099999999999998"/>
    <n v="2.14"/>
    <n v="2.5099999999999998"/>
    <n v="0.86670000000000003"/>
    <n v="37.25"/>
    <n v="484396.75199261593"/>
    <n v="9682.1257643936824"/>
    <n v="4.6421468880441497"/>
  </r>
  <r>
    <s v="2687Providence Holy Cross Medical Center3099Surgical Services Administration (U,N)"/>
    <m/>
    <x v="2"/>
    <s v="CA"/>
    <s v="CA"/>
    <n v="2687"/>
    <x v="4"/>
    <n v="3099"/>
    <s v="Surgical Services Administration"/>
    <s v="Surgical Services"/>
    <s v="Surgical Services Administration (U,N)"/>
    <s v="Cases Supported"/>
    <n v="6294"/>
    <n v="6747"/>
    <n v="0.54949999999999999"/>
    <n v="2.86"/>
    <n v="2.59"/>
    <n v="0.8569"/>
    <n v="38"/>
    <n v="1.22"/>
    <n v="1.4"/>
    <n v="1.6"/>
    <n v="0.88939999999999997"/>
    <n v="9.4499999999999993"/>
    <n v="220532.25902731001"/>
    <n v="9089"/>
    <n v="4.3579837658815803"/>
  </r>
  <r>
    <s v="3851Providence Holy Family Hospital422036575900, CARDIOLOGY SERVICES"/>
    <m/>
    <x v="4"/>
    <s v="PHC"/>
    <s v="WA"/>
    <n v="3851"/>
    <x v="11"/>
    <n v="4220"/>
    <s v="Combined Noninvasive Cardiology and Vascular Services"/>
    <s v="Cardiology and Vascular Services Series"/>
    <s v="36575900, CARDIOLOGY SERVICES"/>
    <s v="APC Relative Weight"/>
    <n v="18130.04"/>
    <n v="30365.29"/>
    <n v="0.35139999999999999"/>
    <n v="0.56999999999999995"/>
    <n v="0.34"/>
    <n v="0.54049999999999998"/>
    <n v="38"/>
    <n v="0.26"/>
    <n v="0.28000000000000003"/>
    <n v="0.34"/>
    <n v="0.90390000000000004"/>
    <n v="5.51"/>
    <n v="67703.022579000404"/>
    <n v="2086"/>
    <n v="1.00013816487676"/>
  </r>
  <r>
    <s v="3851Providence Holy Family Hospital511236583400, DIETARY"/>
    <m/>
    <x v="4"/>
    <s v="PHC"/>
    <s v="WA"/>
    <n v="3851"/>
    <x v="11"/>
    <n v="5112"/>
    <s v="Patient and Nonpatient Food Services"/>
    <s v="Food and Nutrition Services"/>
    <s v="36583400, DIETARY"/>
    <s v="ART: Total Meal Equivalents"/>
    <n v="569021.28"/>
    <n v="602920.21"/>
    <n v="0.48649999999999999"/>
    <n v="0.11"/>
    <n v="0.11"/>
    <n v="5.8799999999999998E-2"/>
    <n v="38"/>
    <n v="0.13"/>
    <n v="0.13"/>
    <n v="0.14000000000000001"/>
    <n v="0.873"/>
    <n v="36.58"/>
    <n v="-223441.49782801801"/>
    <n v="-13487"/>
    <n v="-6.4664269840320499"/>
  </r>
  <r>
    <s v="3532Providence Little Company of Mary Hospital342076276800 03420 CAT SCAN"/>
    <m/>
    <x v="2"/>
    <s v="CA"/>
    <s v="CA"/>
    <n v="3532"/>
    <x v="13"/>
    <n v="3420"/>
    <s v="Computerized Tomography"/>
    <s v="Imaging Services"/>
    <s v="76276800 03420 CAT SCAN"/>
    <s v="APC Relative Weight"/>
    <n v="87735.360000000001"/>
    <n v="97713.25"/>
    <n v="0.62160000000000004"/>
    <n v="0.24"/>
    <n v="0.23"/>
    <n v="0.36109999999999998"/>
    <n v="38"/>
    <n v="0.22"/>
    <n v="0.23"/>
    <n v="0.26"/>
    <n v="0.89639999999999997"/>
    <n v="12.07"/>
    <n v="3601.1290494063101"/>
    <n v="103"/>
    <n v="4.9359597430383297E-2"/>
  </r>
  <r>
    <s v="3848Providence St Patrick Hospital &amp; Health Science Ce342046076800, CT SCAN"/>
    <m/>
    <x v="4"/>
    <s v="WMR"/>
    <s v="MT"/>
    <n v="3848"/>
    <x v="21"/>
    <n v="3420"/>
    <s v="Computerized Tomography"/>
    <s v="Imaging Services"/>
    <s v="46076800, CT SCAN"/>
    <s v="APC Relative Weight"/>
    <n v="57792.46"/>
    <n v="60361.98"/>
    <n v="0.64859999999999995"/>
    <n v="0.34"/>
    <n v="0.3"/>
    <n v="0.56410000000000005"/>
    <n v="38"/>
    <n v="0.25"/>
    <n v="0.27"/>
    <n v="0.3"/>
    <n v="0.89829999999999999"/>
    <n v="9.85"/>
    <n v="69750.011133364605"/>
    <n v="2401"/>
    <n v="1.15130706527959"/>
  </r>
  <r>
    <s v="3755Providence Tarzana Medical Center345072576700, Ultrasound"/>
    <m/>
    <x v="2"/>
    <s v="CA"/>
    <s v="CA"/>
    <n v="3755"/>
    <x v="3"/>
    <n v="3450"/>
    <s v="Ultrasound"/>
    <s v="Imaging Services"/>
    <s v="72576700, Ultrasound"/>
    <s v="APC Relative Weight"/>
    <n v="18901.240000000002"/>
    <n v="20817.78"/>
    <n v="0.56759999999999999"/>
    <n v="0.41"/>
    <n v="0.39"/>
    <n v="0.18920000000000001"/>
    <n v="38"/>
    <n v="0.41"/>
    <n v="0.44"/>
    <n v="0.5"/>
    <n v="0.93410000000000004"/>
    <n v="4.1399999999999997"/>
    <n v="-72293.950147181095"/>
    <n v="-1171"/>
    <n v="-0.56155886426561896"/>
  </r>
  <r>
    <s v="3531Providence Medford Medical Center441059077100, PHARMACY"/>
    <m/>
    <x v="3"/>
    <s v="OR"/>
    <s v="OR"/>
    <n v="3531"/>
    <x v="29"/>
    <n v="4410"/>
    <s v="Pharmacy Services"/>
    <s v="Pharmacy Services"/>
    <s v="59077100, PHARMACY"/>
    <s v="CMI Weighted Department Adjusted Discharges"/>
    <n v="16197.86"/>
    <n v="17460.78"/>
    <n v="0.48649999999999999"/>
    <n v="1.89"/>
    <n v="2.0366787738004835"/>
    <n v="0.42859999999999998"/>
    <n v="38"/>
    <n v="1.96"/>
    <n v="2.0699999999999998"/>
    <n v="2.19"/>
    <n v="0.93110000000000004"/>
    <n v="19.010000000000002"/>
    <n v="-24257.375976801282"/>
    <n v="-624.86800558478319"/>
    <n v="-0.29959630128243908"/>
  </r>
  <r>
    <s v="2687Providence Holy Cross Medical Center121372061721, 2S MED SURG TELE"/>
    <m/>
    <x v="2"/>
    <s v="CA"/>
    <s v="CA"/>
    <n v="2687"/>
    <x v="4"/>
    <n v="1213"/>
    <s v="Med/Surg/Cardiac Acute Care Unit"/>
    <s v="Nursing Services"/>
    <s v="72061721, 2S MED SURG TELE"/>
    <s v="Equivalent Patient Day"/>
    <n v="8155"/>
    <n v="9321"/>
    <n v="0.52629999999999999"/>
    <n v="10.44"/>
    <n v="10.79"/>
    <n v="0.44740000000000002"/>
    <n v="39"/>
    <n v="10.45"/>
    <n v="10.56"/>
    <n v="10.99"/>
    <n v="0.90449999999999997"/>
    <n v="53.44"/>
    <n v="104830.547040151"/>
    <n v="2638"/>
    <n v="1.26457277786165"/>
  </r>
  <r>
    <s v="3528Providence Hood River Memorial Hospital301156074200, SURGICAL SERVICES"/>
    <m/>
    <x v="3"/>
    <s v="OR"/>
    <s v="OR"/>
    <n v="3528"/>
    <x v="12"/>
    <n v="3011"/>
    <s v="Operating Room"/>
    <s v="Surgical Services"/>
    <s v="56074200, SURGICAL SERVICES"/>
    <s v="100 Operating Room Minutes"/>
    <n v="1911"/>
    <n v="2251.1799999999998"/>
    <n v="0.47370000000000001"/>
    <n v="9.99"/>
    <n v="10.61"/>
    <n v="0.18920000000000001"/>
    <n v="39"/>
    <n v="10.82"/>
    <n v="11.67"/>
    <n v="12.41"/>
    <n v="0.90969999999999995"/>
    <n v="12.62"/>
    <n v="-112971.233952209"/>
    <n v="-2558"/>
    <n v="-1.2262140755491"/>
  </r>
  <r>
    <s v="3527Providence Portland Medical Center481252270823, CAMAS REHAB"/>
    <m/>
    <x v="3"/>
    <s v="OR"/>
    <s v="OR"/>
    <n v="3527"/>
    <x v="18"/>
    <n v="4812"/>
    <s v="Physical Therapy: Outpatient"/>
    <s v="Rehabilitation Services"/>
    <s v="52270823, CAMAS REHAB"/>
    <s v="1000 Baseline Billed Time Units (BTUs)"/>
    <n v="186.41"/>
    <n v="260.33999999999997"/>
    <n v="0.47370000000000001"/>
    <n v="17.37"/>
    <n v="20.16"/>
    <n v="0.2162"/>
    <n v="39"/>
    <n v="20.329999999999998"/>
    <n v="21.88"/>
    <n v="23.07"/>
    <n v="0.87470000000000003"/>
    <n v="2.88"/>
    <n v="-21639.508000599999"/>
    <n v="-505"/>
    <n v="-0.24231884663622499"/>
  </r>
  <r>
    <s v="4283Providence St. John's Health Center422073575900, SJHC CARDIOLOGY (U)"/>
    <m/>
    <x v="2"/>
    <s v="CA"/>
    <s v="CA"/>
    <n v="4283"/>
    <x v="23"/>
    <n v="4220"/>
    <s v="Combined Noninvasive Cardiology and Vascular Services"/>
    <s v="Cardiology and Vascular Services Series"/>
    <s v="73575900, SJHC CARDIOLOGY (U)"/>
    <s v="APC Relative Weight"/>
    <m/>
    <n v="46738.62"/>
    <n v="0.63200000000000001"/>
    <m/>
    <n v="0.28000000000000003"/>
    <n v="0.19209999999999999"/>
    <n v="39"/>
    <n v="0.3"/>
    <n v="0.33"/>
    <n v="0.35"/>
    <n v="0.93010000000000004"/>
    <n v="6.8"/>
    <n v="-128472.215955441"/>
    <n v="-2400"/>
    <n v="-1.1507544261457501"/>
  </r>
  <r>
    <s v="3931Swedish Issaquah661022586100 ADMINISTRATION"/>
    <m/>
    <x v="1"/>
    <s v="SHS"/>
    <s v="WA"/>
    <n v="3931"/>
    <x v="28"/>
    <n v="6610"/>
    <s v="Administration"/>
    <s v="Administration"/>
    <s v="22586100 ADMINISTRATION"/>
    <s v="100 Adjusted Discharges"/>
    <n v="119.67"/>
    <n v="131.88999999999999"/>
    <n v="0.47370000000000001"/>
    <n v="77.7"/>
    <n v="112.61"/>
    <n v="0.81079999999999997"/>
    <n v="39"/>
    <n v="66.62"/>
    <n v="72.78"/>
    <n v="81.2"/>
    <n v="0.92490000000000006"/>
    <n v="7.72"/>
    <n v="329747.92408215499"/>
    <n v="5723"/>
    <n v="2.7440352065470401"/>
  </r>
  <r>
    <s v="3851Providence Holy Family Hospital591036584200, SECURITY"/>
    <m/>
    <x v="4"/>
    <s v="PHC"/>
    <s v="WA"/>
    <n v="3851"/>
    <x v="11"/>
    <n v="5910"/>
    <s v="Security"/>
    <s v="Other Support Services"/>
    <s v="36584200, SECURITY"/>
    <s v="1000 Gross Square Feet Patrolled"/>
    <n v="1498.52"/>
    <n v="1498.52"/>
    <n v="0.46150000000000002"/>
    <n v="11.87"/>
    <n v="11.93"/>
    <n v="0.32350000000000001"/>
    <n v="40"/>
    <n v="10.93"/>
    <n v="12.87"/>
    <n v="15.71"/>
    <n v="0.8679"/>
    <n v="9.9"/>
    <n v="-33820.978127191098"/>
    <n v="-1573"/>
    <n v="-0.75416849956548004"/>
  </r>
  <r>
    <s v="3532Providence Little Company of Mary Hospital463076277600 04630 GI LAB"/>
    <m/>
    <x v="2"/>
    <s v="CA"/>
    <s v="CA"/>
    <n v="3532"/>
    <x v="13"/>
    <n v="4630"/>
    <s v="Endoscopy (GI) Laboratory"/>
    <s v="Other Clinical Support Services"/>
    <s v="76277600 04630 GI LAB"/>
    <s v="Total Procedures"/>
    <n v="4289"/>
    <n v="4606"/>
    <n v="0.51280000000000003"/>
    <m/>
    <n v="5.33"/>
    <n v="0.51280000000000003"/>
    <n v="40"/>
    <n v="4.21"/>
    <n v="4.91"/>
    <n v="5.33"/>
    <n v="0.87749999999999995"/>
    <n v="13.45"/>
    <n v="102632.81548200401"/>
    <n v="2280"/>
    <n v="1.09318742455579"/>
  </r>
  <r>
    <s v="3527Providence Portland Medical Center101052260100, ICU - 2F"/>
    <m/>
    <x v="3"/>
    <s v="OR"/>
    <s v="OR"/>
    <n v="3527"/>
    <x v="18"/>
    <n v="1010"/>
    <s v="Medical/Surgical Intensive Care Unit"/>
    <s v="Nursing Services"/>
    <s v="52260100, ICU - 2F"/>
    <s v="Equivalent Patient Day"/>
    <n v="4844.79"/>
    <n v="5456"/>
    <n v="0.51280000000000003"/>
    <n v="21.25"/>
    <n v="20.170000000000002"/>
    <n v="0.72970000000000002"/>
    <n v="40"/>
    <n v="17.440000000000001"/>
    <n v="17.97"/>
    <n v="18.78"/>
    <n v="0.90680000000000005"/>
    <n v="58.34"/>
    <n v="729726.82908261195"/>
    <n v="13559"/>
    <n v="6.50070505440888"/>
  </r>
  <r>
    <s v="3526Providence Seaside Hospital441151095505, PHS RETAIL PHARMACY"/>
    <m/>
    <x v="3"/>
    <s v="OR"/>
    <s v="OR"/>
    <n v="3526"/>
    <x v="19"/>
    <n v="4411"/>
    <s v="Pharmacy Retail/Prescription Services"/>
    <s v="Pharmacy Services"/>
    <s v="51095505, PHS RETAIL PHARMACY"/>
    <s v="Retail Prescriptions Processed"/>
    <n v="1925"/>
    <n v="18535"/>
    <n v="0.30769999999999997"/>
    <n v="1.39"/>
    <n v="0.37"/>
    <n v="0.94740000000000002"/>
    <n v="40"/>
    <n v="0.19"/>
    <n v="0.22"/>
    <n v="0.23"/>
    <n v="0.98370000000000002"/>
    <n v="3.38"/>
    <n v="116729.175550867"/>
    <n v="2904"/>
    <n v="1.3925291910536599"/>
  </r>
  <r>
    <s v="3848Providence St Patrick Hospital &amp; Health Science Ce341146076300, 76302 DIAGNOSTIC IMAGING / PROV CTR"/>
    <m/>
    <x v="4"/>
    <s v="WMR"/>
    <s v="MT"/>
    <n v="3848"/>
    <x v="21"/>
    <n v="3411"/>
    <s v="Diagnostic Radiology Without Interventional Procedures"/>
    <s v="Imaging Services"/>
    <s v="46076300, 76302 DIAGNOSTIC IMAGING / PROV CTR"/>
    <s v="APC Relative Weight"/>
    <n v="42189.01"/>
    <n v="43367.74"/>
    <n v="0.56410000000000005"/>
    <n v="0.81"/>
    <n v="0.7"/>
    <n v="0.52270000000000005"/>
    <n v="40"/>
    <n v="0.65"/>
    <n v="0.66"/>
    <n v="0.69"/>
    <n v="0.88539999999999996"/>
    <n v="16.59"/>
    <n v="62303.447621947802"/>
    <n v="2274"/>
    <n v="1.0904400819508"/>
  </r>
  <r>
    <s v="3848Providence St Patrick Hospital &amp; Health Science Ce441046077100, PHARMACY"/>
    <m/>
    <x v="4"/>
    <s v="WMR"/>
    <s v="MT"/>
    <n v="3848"/>
    <x v="21"/>
    <n v="4410"/>
    <s v="Pharmacy Services"/>
    <s v="Pharmacy Services"/>
    <s v="46077100, PHARMACY"/>
    <s v="CMI Weighted Department Adjusted Discharges"/>
    <n v="25931.96"/>
    <n v="28791.86"/>
    <n v="0.43590000000000001"/>
    <n v="2.64"/>
    <n v="2.56"/>
    <n v="0.89739999999999998"/>
    <n v="40"/>
    <n v="1.6"/>
    <n v="1.69"/>
    <n v="1.9"/>
    <n v="0.90229999999999999"/>
    <n v="39.270000000000003"/>
    <n v="1206398.56890371"/>
    <n v="27979"/>
    <n v="13.4144590805645"/>
  </r>
  <r>
    <s v="4283Providence St. John's Health Center504073584650, SJHC BIOMEDICAL ENGINEERING (U)"/>
    <m/>
    <x v="2"/>
    <s v="CA"/>
    <s v="CA"/>
    <n v="4283"/>
    <x v="23"/>
    <n v="5040"/>
    <s v="Biomedical Engineering"/>
    <s v="Facility Services"/>
    <s v="73584650, SJHC BIOMEDICAL ENGINEERING (U)"/>
    <s v="100 Equipment and Devices Maintained"/>
    <m/>
    <n v="35.5"/>
    <n v="0.51819999999999999"/>
    <m/>
    <n v="288.95"/>
    <n v="0.9405"/>
    <n v="40"/>
    <n v="126.2"/>
    <n v="132.96"/>
    <n v="158.27000000000001"/>
    <n v="0.95709999999999995"/>
    <n v="5.15"/>
    <n v="385723.25271818403"/>
    <n v="5810"/>
    <n v="2.78549518832178"/>
  </r>
  <r>
    <s v="3755Providence Tarzana Medical Center341172576300, RADIOLOGY"/>
    <m/>
    <x v="2"/>
    <s v="CA"/>
    <s v="CA"/>
    <n v="3755"/>
    <x v="3"/>
    <n v="3411"/>
    <s v="Diagnostic Radiology Without Interventional Procedures"/>
    <s v="Imaging Services"/>
    <s v="72576300, RADIOLOGY"/>
    <s v="APC Relative Weight"/>
    <n v="32987.769999999997"/>
    <n v="35217.279999999999"/>
    <n v="0.4103"/>
    <n v="1.02"/>
    <n v="0.74"/>
    <n v="0.61539999999999995"/>
    <n v="40"/>
    <n v="0.6"/>
    <n v="0.62"/>
    <n v="0.69"/>
    <n v="0.89080000000000004"/>
    <n v="14.03"/>
    <n v="234063.649850772"/>
    <n v="4751"/>
    <n v="2.2779007574382502"/>
  </r>
  <r>
    <s v="2947Providence Alaska Medical Center3420Cat Scanner"/>
    <m/>
    <x v="0"/>
    <s v="AK"/>
    <s v="AK"/>
    <n v="2947"/>
    <x v="0"/>
    <n v="3420"/>
    <s v="Computerized Tomography"/>
    <s v="Imaging Services"/>
    <s v="Cat Scanner"/>
    <s v="APC Relative Weight"/>
    <n v="64476.24"/>
    <n v="64366.45"/>
    <n v="0.55000000000000004"/>
    <n v="0.2"/>
    <n v="0.18"/>
    <n v="5.4100000000000002E-2"/>
    <n v="41"/>
    <n v="0.24"/>
    <n v="0.25"/>
    <n v="0.26"/>
    <n v="0.88980000000000004"/>
    <n v="6.4"/>
    <n v="-194298.526796636"/>
    <n v="-4736"/>
    <n v="-2.2707232209294501"/>
  </r>
  <r>
    <s v="3523Providence Everett Medical Center303031674270, Pre Op-Post Rec of PACU (U,N)"/>
    <m/>
    <x v="1"/>
    <s v="NWR"/>
    <s v="WA"/>
    <n v="3523"/>
    <x v="1"/>
    <n v="3030"/>
    <s v="Surgery Pre Op and Post Recovery Only"/>
    <s v="Surgical Services"/>
    <s v="31674270, Pre Op-Post Rec of PACU (U,N)"/>
    <s v="100 Patient Observation Minutes"/>
    <n v="23841.02"/>
    <n v="37931.42"/>
    <n v="0.99990000000000001"/>
    <n v="2.5099999999999998"/>
    <n v="1.58"/>
    <n v="4.0599999999999997E-2"/>
    <n v="41"/>
    <n v="2.14"/>
    <n v="2.2400000000000002"/>
    <n v="2.66"/>
    <n v="0.85929999999999995"/>
    <n v="33.520000000000003"/>
    <n v="-1332900.5257440601"/>
    <n v="-28966"/>
    <n v="-13.887872556229199"/>
  </r>
  <r>
    <s v="3523Providence Everett Medical Center301131674200 74208 Surgery And Recovery Services"/>
    <m/>
    <x v="1"/>
    <s v="NWR"/>
    <s v="WA"/>
    <n v="3523"/>
    <x v="1"/>
    <n v="3011"/>
    <s v="Operating Room"/>
    <s v="Surgical Services"/>
    <s v="31674200 74208 Surgery And Recovery Services"/>
    <s v="100 Operating Room Minutes"/>
    <n v="15689.63"/>
    <n v="16646.259999999998"/>
    <n v="0.9"/>
    <n v="10.31"/>
    <n v="9.84"/>
    <n v="0.1"/>
    <n v="41"/>
    <n v="10.55"/>
    <n v="10.94"/>
    <n v="11.52"/>
    <n v="0.88009999999999999"/>
    <n v="89.52"/>
    <n v="-839384.18019096798"/>
    <n v="-20208"/>
    <n v="-9.6887855960655305"/>
  </r>
  <r>
    <s v="2687Providence Holy Cross Medical Center128572074000 Labor &amp; Delivery"/>
    <m/>
    <x v="2"/>
    <s v="CA"/>
    <s v="CA"/>
    <n v="2687"/>
    <x v="4"/>
    <n v="1285"/>
    <s v="Labor/Delivery with Recovery"/>
    <s v="Nursing Services"/>
    <s v="72074000 Labor &amp; Delivery"/>
    <s v="Neonate Deliveries"/>
    <n v="3260"/>
    <n v="3347"/>
    <n v="0.57499999999999996"/>
    <n v="30.61"/>
    <n v="27.74"/>
    <n v="7.4999999999999997E-2"/>
    <n v="41"/>
    <n v="32.450000000000003"/>
    <n v="33.76"/>
    <n v="35.35"/>
    <n v="0.90439999999999998"/>
    <n v="44.64"/>
    <n v="-1101686.2925696594"/>
    <n v="-22278.792569659443"/>
    <n v="-10.681686038097254"/>
  </r>
  <r>
    <s v="3532Providence Little Company of Mary Hospital338076275201 03380 CONSOLIDATED PATHOLOGY"/>
    <m/>
    <x v="2"/>
    <s v="CA"/>
    <s v="CA"/>
    <n v="3532"/>
    <x v="13"/>
    <n v="3380"/>
    <s v="Laboratory Services: Anatomic Pathology"/>
    <s v="Laboratory Services"/>
    <s v="76275201 03380 CONSOLIDATED PATHOLOGY"/>
    <s v="100 Billed Tests"/>
    <n v="343.37"/>
    <n v="405.43"/>
    <n v="0.32500000000000001"/>
    <n v="70.709999999999994"/>
    <n v="44.26"/>
    <n v="0.81579999999999997"/>
    <n v="41"/>
    <n v="31.95"/>
    <n v="34.4"/>
    <n v="37.01"/>
    <n v="0.86809999999999998"/>
    <n v="9.94"/>
    <n v="130473.095297319"/>
    <n v="4666"/>
    <n v="2.2371271942986599"/>
  </r>
  <r>
    <s v="3852Providence Sacred Heart Medical Center127234565300, MOTHER BABY"/>
    <m/>
    <x v="4"/>
    <s v="PHC"/>
    <s v="WA"/>
    <n v="3852"/>
    <x v="9"/>
    <n v="1272"/>
    <s v="Mother/Baby Unit"/>
    <s v="Nursing Services"/>
    <s v="34565300, MOTHER BABY"/>
    <s v="Equivalent Patient Day"/>
    <n v="8462.25"/>
    <n v="9090"/>
    <n v="0.375"/>
    <n v="6.55"/>
    <n v="6.52"/>
    <n v="0.1351"/>
    <n v="41"/>
    <n v="7.2"/>
    <n v="7.46"/>
    <n v="7.65"/>
    <n v="0.8659"/>
    <n v="32.9"/>
    <n v="-425410.89496067498"/>
    <n v="-9694"/>
    <n v="-4.6476818998821203"/>
  </r>
  <r>
    <s v="3755Providence Tarzana Medical Center127272563800 65320 OB Nursery"/>
    <m/>
    <x v="2"/>
    <s v="CA"/>
    <s v="CA"/>
    <n v="3755"/>
    <x v="3"/>
    <n v="1272"/>
    <s v="Mother/Baby Unit"/>
    <s v="Nursing Services"/>
    <s v="72563800 65320 OB Nursery"/>
    <s v="Equivalent Patient Day"/>
    <n v="7088.34"/>
    <n v="11731"/>
    <n v="0.6"/>
    <n v="11.34"/>
    <n v="5.73"/>
    <n v="5.1299999999999998E-2"/>
    <n v="41"/>
    <n v="6.85"/>
    <n v="7.35"/>
    <n v="7.55"/>
    <n v="0.86209999999999998"/>
    <n v="37.479999999999997"/>
    <n v="-1038593.59315699"/>
    <n v="-21843"/>
    <n v="-10.4726803775247"/>
  </r>
  <r>
    <s v="3929Swedish Edmonds343023076600 MRI"/>
    <m/>
    <x v="1"/>
    <s v="SHS"/>
    <s v="WA"/>
    <n v="3929"/>
    <x v="31"/>
    <n v="3430"/>
    <s v="Magnetic Resonance Imaging"/>
    <s v="Imaging Services"/>
    <s v="23076600 MRI"/>
    <s v="APC Relative Weight"/>
    <n v="17398.37"/>
    <n v="17370.86"/>
    <n v="0.42499999999999999"/>
    <n v="0.34"/>
    <n v="0.35"/>
    <n v="0.57499999999999996"/>
    <n v="41"/>
    <n v="0.28000000000000003"/>
    <n v="0.3"/>
    <n v="0.32"/>
    <n v="0.88600000000000001"/>
    <n v="3.27"/>
    <n v="58398.8886972326"/>
    <n v="938"/>
    <n v="0.44994867987979198"/>
  </r>
  <r>
    <s v="3531Providence Medford Medical Center346059076500, NUCLEAR MEDICINE"/>
    <m/>
    <x v="3"/>
    <s v="OR"/>
    <s v="OR"/>
    <n v="3531"/>
    <x v="29"/>
    <n v="3460"/>
    <s v="Nuclear Medicine"/>
    <s v="Imaging Services"/>
    <s v="59076500, NUCLEAR MEDICINE"/>
    <s v="APC Relative Weight"/>
    <n v="15671.39"/>
    <n v="13798.49"/>
    <n v="0.35"/>
    <n v="0.25"/>
    <n v="0.28000000000000003"/>
    <n v="0.2162"/>
    <n v="41"/>
    <n v="0.28000000000000003"/>
    <n v="0.28999999999999998"/>
    <n v="0.34"/>
    <n v="0.86890000000000001"/>
    <n v="2.13"/>
    <n v="-6707.3496695780104"/>
    <n v="-163"/>
    <n v="-7.8045013379474795E-2"/>
  </r>
  <r>
    <s v="2947Providence Alaska Medical Center1390Mental Health Unit"/>
    <m/>
    <x v="0"/>
    <s v="AK"/>
    <s v="AK"/>
    <n v="2947"/>
    <x v="0"/>
    <n v="1390"/>
    <s v="Behavioral Health Unit"/>
    <s v="Nursing Services"/>
    <s v="Mental Health Unit"/>
    <s v="Patient Days"/>
    <n v="6256"/>
    <n v="3605"/>
    <n v="0.6341"/>
    <n v="11.14"/>
    <n v="10.701528432732317"/>
    <n v="0.58540000000000003"/>
    <n v="42"/>
    <n v="8.4700000000000006"/>
    <n v="8.6999999999999993"/>
    <n v="9.9700000000000006"/>
    <n v="0.89"/>
    <n v="20.84"/>
    <n v="338804.67741573061"/>
    <n v="8107.3146067415801"/>
    <n v="3.8870766342116498"/>
  </r>
  <r>
    <s v="2947Providence Alaska Medical Center1272Mother Baby Unit"/>
    <m/>
    <x v="0"/>
    <s v="AK"/>
    <s v="AK"/>
    <n v="2947"/>
    <x v="0"/>
    <n v="1272"/>
    <s v="Mother/Baby Unit"/>
    <s v="Nursing Services"/>
    <s v="Mother Baby Unit"/>
    <s v="Equivalent Patient Day"/>
    <n v="13846"/>
    <n v="10639"/>
    <n v="0.48780000000000001"/>
    <n v="9.09"/>
    <n v="10.67"/>
    <n v="0.94869999999999999"/>
    <n v="42"/>
    <n v="6.85"/>
    <n v="7.35"/>
    <n v="7.57"/>
    <n v="0.89639999999999997"/>
    <n v="60.89"/>
    <n v="1715387.53789118"/>
    <n v="39764"/>
    <n v="19.0651435590053"/>
  </r>
  <r>
    <s v="2687Providence Holy Cross Medical Center481272070760 Physical Therapy - Outpatient Only"/>
    <m/>
    <x v="2"/>
    <s v="CA"/>
    <s v="CA"/>
    <n v="2687"/>
    <x v="4"/>
    <n v="4812"/>
    <s v="Physical Therapy: Outpatient"/>
    <s v="Rehabilitation Services"/>
    <s v="72070760 Physical Therapy - Outpatient Only"/>
    <s v="1000 Baseline Billed Time Units (BTUs)"/>
    <n v="320.38"/>
    <n v="321.18"/>
    <n v="0.3659"/>
    <n v="27.14"/>
    <n v="25.53"/>
    <n v="0.6"/>
    <n v="42"/>
    <n v="21.52"/>
    <n v="22.76"/>
    <n v="24.29"/>
    <n v="0.85770000000000002"/>
    <n v="4.5999999999999996"/>
    <n v="44648.4989853101"/>
    <n v="1071"/>
    <n v="0.513669395805608"/>
  </r>
  <r>
    <s v="3851Providence Holy Family Hospital411036577200, RESPIRATORY THERAPY"/>
    <m/>
    <x v="4"/>
    <s v="PHC"/>
    <s v="WA"/>
    <n v="3851"/>
    <x v="11"/>
    <n v="4110"/>
    <s v="Respiratory Care"/>
    <s v="Respiratory and Pulmonary Care Services"/>
    <s v="36577200, RESPIRATORY THERAPY"/>
    <s v="CMI Weighted Total Facility Discharges"/>
    <n v="90849.22"/>
    <n v="175623.22"/>
    <n v="9.7600000000000006E-2"/>
    <n v="4.34"/>
    <n v="0.3319473358932834"/>
    <n v="0.90480000000000005"/>
    <n v="42"/>
    <n v="0.27"/>
    <n v="0.33"/>
    <n v="0.35"/>
    <n v="0.87719999999999998"/>
    <n v="31.95"/>
    <n v="13169.940916552845"/>
    <n v="389.8739170086692"/>
    <n v="0.18692713094340951"/>
  </r>
  <r>
    <s v="3851Providence Holy Family Hospital302036574270, RECOVERY ROOM SERVICES"/>
    <m/>
    <x v="4"/>
    <s v="PHC"/>
    <s v="WA"/>
    <n v="3851"/>
    <x v="11"/>
    <n v="3020"/>
    <s v="Post Anesthesia Care Unit (PACU)"/>
    <s v="Surgical Services"/>
    <s v="36574270, RECOVERY ROOM SERVICES"/>
    <s v="100 PACU Minutes"/>
    <n v="3860.25"/>
    <n v="8620.16"/>
    <n v="0.58540000000000003"/>
    <n v="3.35"/>
    <n v="1.57"/>
    <m/>
    <n v="42"/>
    <n v="2.67"/>
    <n v="2.93"/>
    <n v="3.18"/>
    <n v="0.87770000000000004"/>
    <n v="7.41"/>
    <n v="-704876.36817111506"/>
    <n v="-13321"/>
    <n v="-6.3870109114300702"/>
  </r>
  <r>
    <s v="3532Providence Little Company of Mary Hospital509976284501 05099 SERVICE CENTER"/>
    <m/>
    <x v="2"/>
    <s v="CA"/>
    <s v="CA"/>
    <n v="3532"/>
    <x v="13"/>
    <n v="5099"/>
    <s v="Facility Services Administration"/>
    <s v="Facility Services"/>
    <s v="76284501 05099 SERVICE CENTER"/>
    <s v="1000 Gross Square Feet Maintained"/>
    <n v="596"/>
    <n v="839.57"/>
    <n v="0.56100000000000005"/>
    <n v="22.11"/>
    <n v="8.32"/>
    <n v="0.9"/>
    <n v="42"/>
    <n v="2.1"/>
    <n v="2.71"/>
    <n v="3.53"/>
    <n v="0.8639"/>
    <n v="3.89"/>
    <n v="125992.367104593"/>
    <n v="5480"/>
    <n v="2.6272688693244901"/>
  </r>
  <r>
    <s v="3848Providence St Patrick Hospital &amp; Health Science Ce345046076700, ULTRASOUND"/>
    <m/>
    <x v="4"/>
    <s v="WMR"/>
    <s v="MT"/>
    <n v="3848"/>
    <x v="21"/>
    <n v="3450"/>
    <s v="Ultrasound"/>
    <s v="Imaging Services"/>
    <s v="46076700, ULTRASOUND"/>
    <s v="APC Relative Weight"/>
    <n v="24305.96"/>
    <n v="24335.279999999999"/>
    <n v="0.56100000000000005"/>
    <n v="0.44"/>
    <n v="0.5"/>
    <n v="0.57140000000000002"/>
    <n v="42"/>
    <n v="0.42"/>
    <n v="0.46"/>
    <n v="0.5"/>
    <n v="0.87870000000000004"/>
    <n v="6.69"/>
    <n v="50389.044924501199"/>
    <n v="1214"/>
    <n v="0.58196226108649496"/>
  </r>
  <r>
    <s v="3848Providence St Patrick Hospital &amp; Health Science Ce346046076500, 76501 NUCLEAR MEDICINE / PET"/>
    <m/>
    <x v="4"/>
    <s v="WMR"/>
    <s v="MT"/>
    <n v="3848"/>
    <x v="21"/>
    <n v="3460"/>
    <s v="Nuclear Medicine"/>
    <s v="Imaging Services"/>
    <s v="46076500, 76501 NUCLEAR MEDICINE / PET"/>
    <s v="APC Relative Weight"/>
    <n v="10210.69"/>
    <n v="14973.92"/>
    <n v="0.3659"/>
    <n v="0.66"/>
    <n v="0.46"/>
    <n v="0.85370000000000001"/>
    <n v="42"/>
    <n v="0.23"/>
    <n v="0.25"/>
    <n v="0.3"/>
    <n v="0.88919999999999999"/>
    <n v="3.73"/>
    <n v="121750.922882616"/>
    <n v="3570"/>
    <n v="1.71152106224872"/>
  </r>
  <r>
    <s v="3848Providence St Patrick Hospital &amp; Health Science Ce301146074200, OPERATING ROOM"/>
    <m/>
    <x v="4"/>
    <s v="WMR"/>
    <s v="MT"/>
    <n v="3848"/>
    <x v="21"/>
    <n v="3011"/>
    <s v="Operating Room"/>
    <s v="Surgical Services"/>
    <s v="46074200, OPERATING ROOM"/>
    <s v="100 Operating Room Minutes"/>
    <n v="7057.79"/>
    <n v="7814.09"/>
    <n v="0.70730000000000004"/>
    <n v="13.1"/>
    <n v="13.16"/>
    <n v="0.64290000000000003"/>
    <n v="42"/>
    <n v="10.23"/>
    <n v="11.16"/>
    <n v="11.77"/>
    <n v="0.89129999999999998"/>
    <n v="55.46"/>
    <n v="626753.67928270902"/>
    <n v="17832"/>
    <n v="8.5498462994641304"/>
  </r>
  <r>
    <s v="3755Providence Tarzana Medical Center346072576500, NUCLEAR MEDICINE"/>
    <m/>
    <x v="2"/>
    <s v="CA"/>
    <s v="CA"/>
    <n v="3755"/>
    <x v="3"/>
    <n v="3460"/>
    <s v="Nuclear Medicine"/>
    <s v="Imaging Services"/>
    <s v="72576500, NUCLEAR MEDICINE"/>
    <s v="APC Relative Weight"/>
    <n v="15342.33"/>
    <n v="16591.240000000002"/>
    <n v="0.56100000000000005"/>
    <n v="0.39"/>
    <n v="0.43"/>
    <n v="0.77500000000000002"/>
    <n v="42"/>
    <n v="0.24"/>
    <n v="0.28000000000000003"/>
    <n v="0.31"/>
    <n v="0.92059999999999997"/>
    <n v="3.72"/>
    <n v="174895.16775595001"/>
    <n v="2713"/>
    <n v="1.3005644075751199"/>
  </r>
  <r>
    <s v="3523Providence Everett Medical Center345031676701 Vascular Ultrasound"/>
    <m/>
    <x v="1"/>
    <s v="NWR"/>
    <s v="WA"/>
    <n v="3523"/>
    <x v="1"/>
    <n v="3450"/>
    <s v="Ultrasound"/>
    <s v="Imaging Services"/>
    <s v="31676701 Vascular Ultrasound"/>
    <s v="APC Relative Weight"/>
    <n v="25106.15"/>
    <n v="24902.92"/>
    <n v="0.66669999999999996"/>
    <n v="0.6"/>
    <n v="0.59"/>
    <n v="0.85709999999999997"/>
    <n v="43"/>
    <n v="0.42"/>
    <n v="0.45"/>
    <n v="0.48"/>
    <n v="0.89270000000000005"/>
    <n v="7.95"/>
    <n v="167471.23665538599"/>
    <n v="4028"/>
    <n v="1.93126237835445"/>
  </r>
  <r>
    <s v="3529Providence Milwaukie Hospital302055074270, PACU"/>
    <m/>
    <x v="3"/>
    <s v="OR"/>
    <s v="OR"/>
    <n v="3529"/>
    <x v="15"/>
    <n v="3020"/>
    <s v="Post Anesthesia Care Unit (PACU)"/>
    <s v="Surgical Services"/>
    <s v="55074270, PACU"/>
    <s v="100 PACU Minutes"/>
    <n v="1651.2"/>
    <n v="3253.49"/>
    <n v="0.47620000000000001"/>
    <n v="4.43"/>
    <n v="2.14"/>
    <n v="2.3800000000000002E-2"/>
    <n v="43"/>
    <n v="3.62"/>
    <n v="3.79"/>
    <n v="4.07"/>
    <n v="0.82310000000000005"/>
    <n v="4.07"/>
    <n v="-423651.55913746799"/>
    <n v="-6492"/>
    <n v="-3.11264237465894"/>
  </r>
  <r>
    <s v="3529Providence Milwaukie Hospital201055070100, 55070101 EMERGENCY SERVICES"/>
    <m/>
    <x v="3"/>
    <s v="OR"/>
    <s v="OR"/>
    <n v="3529"/>
    <x v="15"/>
    <n v="2010"/>
    <s v="Emergency Department"/>
    <s v="Emergency Services"/>
    <s v="55070100, 55070101 EMERGENCY SERVICES"/>
    <s v="Patient Visits"/>
    <n v="33912"/>
    <n v="34410"/>
    <n v="0.47620000000000001"/>
    <n v="2.2400000000000002"/>
    <n v="2.38"/>
    <n v="0.31709999999999999"/>
    <n v="43"/>
    <n v="2.2999999999999998"/>
    <n v="2.42"/>
    <n v="2.54"/>
    <n v="0.90049999999999997"/>
    <n v="43.75"/>
    <n v="-57132.347325196999"/>
    <n v="-1224"/>
    <n v="-0.58681383478629101"/>
  </r>
  <r>
    <s v="3852Providence Sacred Heart Medical Center346034576500, NUCLEAR MEDICINE"/>
    <m/>
    <x v="4"/>
    <s v="PHC"/>
    <s v="WA"/>
    <n v="3852"/>
    <x v="9"/>
    <n v="3460"/>
    <s v="Nuclear Medicine"/>
    <s v="Imaging Services"/>
    <s v="34576500, NUCLEAR MEDICINE"/>
    <s v="APC Relative Weight"/>
    <n v="29875.39"/>
    <n v="31219.27"/>
    <n v="0.52380000000000004"/>
    <n v="0.22"/>
    <n v="0.21"/>
    <n v="0.33329999999999999"/>
    <n v="43"/>
    <n v="0.2"/>
    <n v="0.21"/>
    <n v="0.22"/>
    <n v="0.87470000000000003"/>
    <n v="3.57"/>
    <n v="-2636.3717044647201"/>
    <n v="-49"/>
    <n v="-2.3611056719183399E-2"/>
  </r>
  <r>
    <s v="3533Providence San Pedro Peninsula Hospital661077286100 SPH ADMINISTRATION"/>
    <m/>
    <x v="2"/>
    <s v="CA"/>
    <s v="CA"/>
    <n v="3533"/>
    <x v="14"/>
    <n v="6610"/>
    <s v="Administration"/>
    <s v="Administration"/>
    <s v="77286100 SPH ADMINISTRATION"/>
    <s v="100 Adjusted Discharges"/>
    <n v="89.22"/>
    <n v="99.32"/>
    <n v="0.57140000000000002"/>
    <n v="111.84"/>
    <n v="83.46"/>
    <n v="0.34150000000000003"/>
    <n v="43"/>
    <n v="70.27"/>
    <n v="83.86"/>
    <n v="97.66"/>
    <n v="0.9274"/>
    <n v="4.3"/>
    <n v="-1747.3637265473612"/>
    <n v="-42.838041837395473"/>
    <n v="-2.0538927859900982E-2"/>
  </r>
  <r>
    <s v="3755Providence Tarzana Medical Center201072570100, Emergency Room - ER"/>
    <m/>
    <x v="2"/>
    <s v="CA"/>
    <s v="CA"/>
    <n v="3755"/>
    <x v="3"/>
    <n v="2010"/>
    <s v="Emergency Department"/>
    <s v="Emergency Services"/>
    <s v="72570100, Emergency Room - ER"/>
    <s v="Patient Visits"/>
    <n v="49573"/>
    <n v="45010"/>
    <n v="0.61899999999999999"/>
    <n v="2.02"/>
    <n v="2.11"/>
    <n v="9.7600000000000006E-2"/>
    <n v="43"/>
    <n v="2.42"/>
    <n v="2.61"/>
    <n v="2.79"/>
    <n v="0.89749999999999996"/>
    <n v="50.93"/>
    <n v="-1210198.3185846501"/>
    <n v="-24668"/>
    <n v="-11.827151330128"/>
  </r>
  <r>
    <s v="3755Providence Tarzana Medical Center582572587520 87540 QUALITY ASSURANCE / RISK MGMT"/>
    <m/>
    <x v="2"/>
    <s v="CA"/>
    <s v="CA"/>
    <n v="3755"/>
    <x v="3"/>
    <n v="5825"/>
    <s v="Quality Management"/>
    <s v="Clinical Resource Management Services"/>
    <s v="72587520 87540 QUALITY ASSURANCE / RISK MGMT"/>
    <s v="Total Admissions And Registrations"/>
    <n v="104907"/>
    <n v="97344"/>
    <n v="0.40479999999999999"/>
    <n v="0.21"/>
    <n v="0.21"/>
    <n v="0.97560000000000002"/>
    <n v="43"/>
    <n v="0.06"/>
    <n v="7.0000000000000007E-2"/>
    <n v="0.09"/>
    <n v="0.87670000000000003"/>
    <n v="11.2"/>
    <n v="733832.48724096303"/>
    <n v="15587"/>
    <n v="7.4734720718960501"/>
  </r>
  <r>
    <s v="3849Providence Willamette Falls Medical Center301153574200, SURGICAL SERVICES"/>
    <m/>
    <x v="3"/>
    <s v="OR"/>
    <s v="OR"/>
    <n v="3849"/>
    <x v="7"/>
    <n v="3011"/>
    <s v="Operating Room"/>
    <s v="Surgical Services"/>
    <s v="53574200, SURGICAL SERVICES"/>
    <s v="100 Operating Room Minutes"/>
    <n v="3699.6"/>
    <n v="7600.04"/>
    <n v="0.54759999999999998"/>
    <n v="12.35"/>
    <n v="6.19"/>
    <m/>
    <n v="43"/>
    <n v="10.62"/>
    <n v="10.75"/>
    <n v="11.61"/>
    <n v="0.87009999999999998"/>
    <n v="26"/>
    <n v="-1579800.0939918901"/>
    <n v="-39670"/>
    <n v="-19.019776279118801"/>
  </r>
  <r>
    <s v="3527Providence Portland Medical Center112252260340, CARDIOLOGY - 2G"/>
    <m/>
    <x v="3"/>
    <s v="OR"/>
    <s v="OR"/>
    <n v="3527"/>
    <x v="18"/>
    <n v="1122"/>
    <s v="Cardiac Intermediate Care Unit"/>
    <s v="Nursing Services"/>
    <s v="52260340, CARDIOLOGY - 2G"/>
    <s v="Equivalent Patient Day"/>
    <n v="6780.25"/>
    <n v="7177"/>
    <n v="0.6512"/>
    <n v="10.54"/>
    <n v="11.2"/>
    <n v="0.35709999999999997"/>
    <n v="44"/>
    <n v="10.71"/>
    <n v="11.2"/>
    <n v="11.5"/>
    <n v="0.88539999999999996"/>
    <n v="43.64"/>
    <n v="10403.421445479"/>
    <n v="233"/>
    <n v="0.111910074149442"/>
  </r>
  <r>
    <s v="3854Providence Saint Mary Medical Center201032570100, 70102 EMERGENCY SERVICES"/>
    <m/>
    <x v="4"/>
    <s v="SER"/>
    <s v="WA"/>
    <n v="3854"/>
    <x v="8"/>
    <n v="2010"/>
    <s v="Emergency Department"/>
    <s v="Emergency Services"/>
    <s v="32570100, 70102 EMERGENCY SERVICES"/>
    <s v="Patient Visits"/>
    <n v="18897"/>
    <n v="20824"/>
    <n v="0.39529999999999998"/>
    <n v="2.48"/>
    <n v="2.4300000000000002"/>
    <n v="0.2195"/>
    <n v="44"/>
    <n v="2.48"/>
    <n v="2.6"/>
    <n v="2.77"/>
    <n v="0.91400000000000003"/>
    <n v="26.67"/>
    <n v="-132112.47347065699"/>
    <n v="-3611"/>
    <n v="-1.7313815447883201"/>
  </r>
  <r>
    <s v="3533Providence San Pedro Peninsula Hospital441077283900 SPH PHARMACY"/>
    <m/>
    <x v="2"/>
    <s v="CA"/>
    <s v="CA"/>
    <n v="3533"/>
    <x v="14"/>
    <n v="4410"/>
    <s v="Pharmacy Services"/>
    <s v="Pharmacy Services"/>
    <s v="77283900 SPH PHARMACY"/>
    <s v="CMI Weighted Department Adjusted Patient Days"/>
    <n v="89727.06"/>
    <n v="103972.11"/>
    <n v="0.58140000000000003"/>
    <n v="0.35"/>
    <n v="0.32"/>
    <n v="2.4400000000000002E-2"/>
    <n v="44"/>
    <n v="0.4"/>
    <n v="0.44"/>
    <n v="0.47"/>
    <n v="0.92479999999999996"/>
    <n v="17.22"/>
    <n v="-599419.61901445396"/>
    <n v="-13552"/>
    <n v="-6.4975525696234699"/>
  </r>
  <r>
    <s v="3533Providence San Pedro Peninsula Hospital592505925, Patient Escort (Transport) Service Normalization (U,N)"/>
    <m/>
    <x v="2"/>
    <s v="CA"/>
    <s v="CA"/>
    <n v="3533"/>
    <x v="14"/>
    <n v="5925"/>
    <s v="Patient Escort (Transport) Service"/>
    <s v="Other Support Services"/>
    <s v="05925, Patient Escort (Transport) Service Normalization (U,N)"/>
    <s v="100 Patient Transports Performed"/>
    <n v="0"/>
    <n v="347.73"/>
    <n v="0.56789999999999996"/>
    <m/>
    <n v="25.31"/>
    <n v="1.2E-2"/>
    <n v="44"/>
    <n v="45.46"/>
    <n v="46.95"/>
    <n v="54.04"/>
    <n v="0.90939999999999999"/>
    <n v="4.6500000000000004"/>
    <n v="-204067.11436869"/>
    <n v="-8254"/>
    <n v="-3.9573797909142399"/>
  </r>
  <r>
    <s v="3535Providence St Vincent Medical Center127753060700, NICU"/>
    <m/>
    <x v="3"/>
    <s v="OR"/>
    <s v="OR"/>
    <n v="3535"/>
    <x v="22"/>
    <n v="1277"/>
    <s v="Neonatal Intensive Care Unit (NICU)"/>
    <s v="Nursing Services"/>
    <s v="53060700, NICU"/>
    <s v="Patient Days (Neonate)"/>
    <n v="13084"/>
    <n v="8895"/>
    <n v="0.62790000000000001"/>
    <n v="11.79"/>
    <n v="12.9"/>
    <n v="0.39529999999999998"/>
    <n v="44"/>
    <n v="12.46"/>
    <n v="12.8"/>
    <n v="13.22"/>
    <n v="0.86380000000000001"/>
    <n v="63.84"/>
    <n v="69789.857691716403"/>
    <n v="1343"/>
    <n v="0.643812170601329"/>
  </r>
  <r>
    <s v="3523Providence Everett Medical Center347031676309 Diagnostic Imaging Millcreek"/>
    <m/>
    <x v="1"/>
    <s v="NWR"/>
    <s v="WA"/>
    <n v="3523"/>
    <x v="1"/>
    <n v="3470"/>
    <s v="Outpatient Imaging"/>
    <s v="Imaging Services"/>
    <s v="31676309 Diagnostic Imaging Millcreek"/>
    <s v="APC Relative Weight"/>
    <n v="9777.3700000000008"/>
    <n v="13699.9"/>
    <n v="0.52270000000000005"/>
    <n v="0.78"/>
    <n v="0.67"/>
    <n v="0.57140000000000002"/>
    <n v="45"/>
    <n v="0.52"/>
    <n v="0.53"/>
    <n v="0.63"/>
    <n v="0.89559999999999995"/>
    <n v="4.92"/>
    <n v="68586.609738693194"/>
    <n v="2154"/>
    <n v="1.0328854361061699"/>
  </r>
  <r>
    <s v="3532Providence Little Company of Mary Hospital661076286100 06610 ADMINISTRATION (85104)"/>
    <m/>
    <x v="2"/>
    <s v="CA"/>
    <s v="CA"/>
    <n v="3532"/>
    <x v="13"/>
    <n v="6610"/>
    <s v="Administration"/>
    <s v="Administration"/>
    <s v="76286100 06610 ADMINISTRATION (85104)"/>
    <s v="100 Adjusted Discharges"/>
    <n v="296.38"/>
    <n v="336.54"/>
    <n v="0.61360000000000003"/>
    <n v="51.17"/>
    <n v="44.91"/>
    <n v="0.2195"/>
    <n v="45"/>
    <n v="47.24"/>
    <n v="56.56"/>
    <n v="65.709999999999994"/>
    <n v="0.91639999999999999"/>
    <n v="7.93"/>
    <n v="-461515.782836347"/>
    <n v="-4232"/>
    <n v="-2.0288495055823499"/>
  </r>
  <r>
    <s v="3852Providence Sacred Heart Medical Center112234560340, CARDIAC ADVANCED CARE UNIT"/>
    <m/>
    <x v="4"/>
    <s v="PHC"/>
    <s v="WA"/>
    <n v="3852"/>
    <x v="9"/>
    <n v="1122"/>
    <s v="Cardiac Intermediate Care Unit"/>
    <s v="Nursing Services"/>
    <s v="34560340, CARDIAC ADVANCED CARE UNIT"/>
    <s v="Equivalent Patient Day"/>
    <n v="10830.35"/>
    <n v="11095"/>
    <n v="0.63639999999999997"/>
    <n v="10.79"/>
    <n v="11.43"/>
    <n v="0.63039999999999996"/>
    <n v="45"/>
    <n v="10.050000000000001"/>
    <n v="10.91"/>
    <n v="11.27"/>
    <n v="0.88270000000000004"/>
    <n v="69.09"/>
    <n v="267649.55205264501"/>
    <n v="6969"/>
    <n v="3.3413122380842002"/>
  </r>
  <r>
    <s v="4283Providence St. John's Health Center3350Clinical Operations and Blood Bank Combined"/>
    <m/>
    <x v="2"/>
    <s v="CA"/>
    <s v="CA"/>
    <n v="4283"/>
    <x v="23"/>
    <n v="3350"/>
    <s v="Laboratory Services: Clinical Operations and Blood Bank Combined"/>
    <s v="Laboratory Services"/>
    <s v="Clinical Operations and Blood Bank Combined"/>
    <s v="100 Billed Tests"/>
    <m/>
    <n v="2185.42"/>
    <n v="0.59089999999999998"/>
    <m/>
    <n v="13.11"/>
    <n v="0.70450000000000002"/>
    <n v="45"/>
    <n v="10.49"/>
    <n v="11.08"/>
    <n v="12.65"/>
    <n v="0.88039999999999996"/>
    <n v="62.48"/>
    <n v="228522.10121535661"/>
    <n v="5039.0761017719205"/>
    <n v="9.6905309649460012"/>
  </r>
  <r>
    <s v="3755Providence Tarzana Medical Center3499Imaging Services Administration (U,N)"/>
    <m/>
    <x v="2"/>
    <s v="CA"/>
    <s v="CA"/>
    <n v="3755"/>
    <x v="3"/>
    <n v="3499"/>
    <s v="Imaging Services Administration"/>
    <s v="Imaging Services"/>
    <s v="Imaging Services Administration (U,N)"/>
    <s v="APC Relative Weight Supported"/>
    <n v="180433.67"/>
    <n v="192000"/>
    <n v="0.56840000000000002"/>
    <n v="0"/>
    <n v="0.03"/>
    <n v="1.6199999999999999E-2"/>
    <n v="45"/>
    <n v="0.06"/>
    <n v="0.06"/>
    <n v="7.0000000000000007E-2"/>
    <n v="0.88500000000000001"/>
    <n v="2.96"/>
    <n v="-206296.14045039401"/>
    <n v="-6843"/>
    <n v="-3.2810457652310401"/>
  </r>
  <r>
    <s v="3929Swedish Edmonds301123074200 SURGERY"/>
    <m/>
    <x v="1"/>
    <s v="SHS"/>
    <s v="WA"/>
    <n v="3929"/>
    <x v="31"/>
    <n v="3011"/>
    <s v="Operating Room"/>
    <s v="Surgical Services"/>
    <s v="23074200 SURGERY"/>
    <s v="100 Operating Room Minutes"/>
    <n v="4631.99"/>
    <n v="4578.33"/>
    <n v="0.38640000000000002"/>
    <n v="11.74"/>
    <n v="12.77"/>
    <n v="0.57779999999999998"/>
    <n v="45"/>
    <n v="10.7"/>
    <n v="10.93"/>
    <n v="12.01"/>
    <n v="0.90710000000000002"/>
    <n v="31"/>
    <n v="403811.42987130798"/>
    <n v="9491"/>
    <n v="4.5503306827943497"/>
  </r>
  <r>
    <s v="3531Providence Medford Medical Center481259077715, CENTRAL POINT PHYSICAL THERAPY"/>
    <m/>
    <x v="3"/>
    <s v="OR"/>
    <s v="OR"/>
    <n v="3531"/>
    <x v="29"/>
    <n v="4812"/>
    <s v="Physical Therapy: Outpatient"/>
    <s v="Rehabilitation Services"/>
    <s v="59077715, CENTRAL POINT PHYSICAL THERAPY"/>
    <s v="1000 Baseline Billed Time Units (BTUs)"/>
    <n v="478.41"/>
    <n v="517.98"/>
    <n v="0.56820000000000004"/>
    <n v="21.37"/>
    <n v="19.600000000000001"/>
    <n v="0.186"/>
    <n v="45"/>
    <n v="20.8"/>
    <n v="22.25"/>
    <n v="23.38"/>
    <n v="0.88849999999999996"/>
    <n v="5.49"/>
    <n v="-55660.681936990302"/>
    <n v="-1521"/>
    <n v="-0.72918868763846301"/>
  </r>
  <r>
    <s v="3532Providence Little Company of Mary Hospital201076270100 02010 EMERGENCY DEPT (U)"/>
    <m/>
    <x v="2"/>
    <s v="CA"/>
    <s v="CA"/>
    <n v="3532"/>
    <x v="13"/>
    <n v="2010"/>
    <s v="Emergency Department"/>
    <s v="Emergency Services"/>
    <s v="76270100 02010 EMERGENCY DEPT (U)"/>
    <s v="Patient Visits"/>
    <n v="72509"/>
    <n v="76400"/>
    <n v="0.56720000000000004"/>
    <n v="2.92"/>
    <n v="2.764253010471204"/>
    <n v="0.39"/>
    <n v="46"/>
    <n v="2.67"/>
    <n v="2.76"/>
    <n v="2.95"/>
    <n v="0.92869999999999997"/>
    <n v="110.91"/>
    <n v="16961.996769678044"/>
    <n v="349.87617099170888"/>
    <n v="0.16774999807820343"/>
  </r>
  <r>
    <s v="3533Providence San Pedro Peninsula Hospital307103071, Central Sterile Services - Reprocessing Only Normalization (U,N)"/>
    <m/>
    <x v="2"/>
    <s v="CA"/>
    <s v="CA"/>
    <n v="3533"/>
    <x v="14"/>
    <n v="3071"/>
    <s v="Central Sterile Services - Reprocessing Only"/>
    <s v="Surgical Services"/>
    <s v="03071, Central Sterile Services - Reprocessing Only Normalization (U,N)"/>
    <s v="100 Items Processed"/>
    <n v="0"/>
    <n v="13.53"/>
    <m/>
    <m/>
    <n v="271.41000000000003"/>
    <m/>
    <n v="46"/>
    <n v="18.82"/>
    <n v="19.84"/>
    <n v="21.86"/>
    <n v="0.88370000000000004"/>
    <n v="2"/>
    <n v="77928.234827148597"/>
    <n v="3868"/>
    <n v="1.8543592964304101"/>
  </r>
  <r>
    <s v="3755Providence Tarzana Medical Center303072574300, DAY CARE AMBULATORY SURG (SDS)"/>
    <m/>
    <x v="2"/>
    <s v="CA"/>
    <s v="CA"/>
    <n v="3755"/>
    <x v="3"/>
    <n v="3030"/>
    <s v="Surgery Pre Op and Post Recovery Only"/>
    <s v="Surgical Services"/>
    <s v="72574300, DAY CARE AMBULATORY SURG (SDS)"/>
    <s v="100 Patient Observation Minutes"/>
    <n v="1928.55"/>
    <n v="9097.01"/>
    <n v="0.5333"/>
    <n v="27.21"/>
    <n v="0.8387986822043727"/>
    <n v="0"/>
    <n v="46"/>
    <n v="2.4700000000000002"/>
    <n v="2.9"/>
    <n v="3.25"/>
    <n v="0.89439999999999997"/>
    <n v="4.0999999999999996"/>
    <n v="-804203.37526833639"/>
    <n v="-20964.634391771022"/>
    <n v="-10.051605883766133"/>
  </r>
  <r>
    <s v="4283Providence St. John's Health Center345073576710, SJHC ULTRASONOGRAPHY (U)"/>
    <m/>
    <x v="2"/>
    <s v="CA"/>
    <s v="CA"/>
    <n v="4283"/>
    <x v="23"/>
    <n v="3450"/>
    <s v="Ultrasound"/>
    <s v="Imaging Services"/>
    <s v="73576710, SJHC ULTRASONOGRAPHY (U)"/>
    <s v="APC Relative Weight"/>
    <m/>
    <n v="11029.94"/>
    <n v="0.42270000000000002"/>
    <m/>
    <n v="0.4"/>
    <n v="7.5800000000000006E-2"/>
    <n v="46"/>
    <n v="0.46"/>
    <n v="0.5"/>
    <n v="0.54"/>
    <n v="0.86899999999999999"/>
    <n v="2.44"/>
    <n v="-93545.9271547955"/>
    <n v="-1257"/>
    <n v="-0.60278689236415195"/>
  </r>
  <r>
    <s v="3755Providence Tarzana Medical Center302072574270, RECOVERY PACU"/>
    <m/>
    <x v="2"/>
    <s v="CA"/>
    <s v="CA"/>
    <n v="3755"/>
    <x v="3"/>
    <n v="3020"/>
    <s v="Post Anesthesia Care Unit (PACU)"/>
    <s v="Surgical Services"/>
    <s v="72574270, RECOVERY PACU"/>
    <s v="100 PACU Minutes"/>
    <n v="4985.34"/>
    <n v="6904.93"/>
    <n v="0.57779999999999998"/>
    <n v="2.4900000000000002"/>
    <n v="4.05"/>
    <n v="0.71109999999999995"/>
    <n v="46"/>
    <n v="2.8"/>
    <n v="3.08"/>
    <n v="3.45"/>
    <n v="0.89670000000000005"/>
    <n v="15"/>
    <n v="485994.69895811297"/>
    <n v="7568"/>
    <n v="3.6286772605711"/>
  </r>
  <r>
    <s v="3531Providence Medford Medical Center481259077702, OP PHYSICAL THERAPY-ORTHO"/>
    <m/>
    <x v="3"/>
    <s v="OR"/>
    <s v="OR"/>
    <n v="3531"/>
    <x v="29"/>
    <n v="4812"/>
    <s v="Physical Therapy: Outpatient"/>
    <s v="Rehabilitation Services"/>
    <s v="59077702, OP PHYSICAL THERAPY-ORTHO"/>
    <s v="1000 Baseline Billed Time Units (BTUs)"/>
    <n v="360.19"/>
    <n v="478.59"/>
    <n v="0.6"/>
    <n v="28.52"/>
    <n v="25.85"/>
    <n v="0.72089999999999999"/>
    <n v="46"/>
    <n v="22"/>
    <n v="22.41"/>
    <n v="23.45"/>
    <n v="0.87270000000000003"/>
    <n v="6.82"/>
    <n v="66288.186186660794"/>
    <n v="1935"/>
    <n v="0.92764832133851505"/>
  </r>
  <r>
    <s v="3851Providence Holy Family Hospital127036563800, FAMILY MATERNITY CENTER (U)"/>
    <m/>
    <x v="4"/>
    <s v="PHC"/>
    <s v="WA"/>
    <n v="3851"/>
    <x v="11"/>
    <n v="1270"/>
    <s v="Labor/Delivery/Recovery/Postpartum/Nursery"/>
    <s v="Nursing Services"/>
    <s v="36563800, FAMILY MATERNITY CENTER (U)"/>
    <s v="Neonate Deliveries"/>
    <n v="1235"/>
    <n v="1316"/>
    <n v="0.68079999999999996"/>
    <n v="53.51"/>
    <n v="54.98"/>
    <n v="1.9400000000000001E-2"/>
    <n v="47"/>
    <n v="62.13"/>
    <n v="64.3"/>
    <n v="66.91"/>
    <n v="0.87680000000000002"/>
    <n v="39.67"/>
    <n v="-602817.24648439395"/>
    <n v="-13769"/>
    <n v="-6.6015960508278697"/>
  </r>
  <r>
    <s v="4282Providence Kodiak Hospital482518977900, OCCUPATIONAL THERAPY"/>
    <m/>
    <x v="0"/>
    <s v="AK"/>
    <s v="AK"/>
    <n v="4282"/>
    <x v="5"/>
    <n v="4825"/>
    <s v="Occupational Therapy: Inpatient and Outpatient"/>
    <s v="Rehabilitation Services"/>
    <s v="18977900, OCCUPATIONAL THERAPY"/>
    <s v="1000 Baseline Billed Time Units (BTUs)"/>
    <n v="142.65"/>
    <n v="155.84"/>
    <n v="0.5"/>
    <n v="35.549999999999997"/>
    <n v="38.4"/>
    <n v="0.91110000000000002"/>
    <n v="47"/>
    <n v="23.02"/>
    <n v="24.31"/>
    <n v="26.42"/>
    <n v="0.89849999999999997"/>
    <n v="3.2"/>
    <n v="121511.906687543"/>
    <n v="2458"/>
    <n v="1.1784058331438301"/>
  </r>
  <r>
    <s v="3755Providence Tarzana Medical Center481172577700, PHYSICAL THERAPY"/>
    <m/>
    <x v="2"/>
    <s v="CA"/>
    <s v="CA"/>
    <n v="3755"/>
    <x v="3"/>
    <n v="4811"/>
    <s v="Physical Therapy: Inpatient"/>
    <s v="Rehabilitation Services"/>
    <s v="72577700, PHYSICAL THERAPY"/>
    <s v="1000 Baseline Billed Time Units (BTUs)"/>
    <n v="1501.63"/>
    <n v="1072.78"/>
    <n v="0.69569999999999999"/>
    <n v="17.11"/>
    <n v="22"/>
    <n v="2.2200000000000001E-2"/>
    <n v="47"/>
    <n v="25.92"/>
    <n v="26.54"/>
    <n v="27.55"/>
    <n v="0.85199999999999998"/>
    <n v="13.32"/>
    <n v="-244118.73603784799"/>
    <n v="-5636"/>
    <n v="-2.7021263011416199"/>
  </r>
  <r>
    <s v="2687Providence Holy Cross Medical Center112272060150, 3S STEPDOWN / PROGRESSIVE CARE"/>
    <m/>
    <x v="2"/>
    <s v="CA"/>
    <s v="CA"/>
    <n v="2687"/>
    <x v="4"/>
    <n v="1122"/>
    <s v="Cardiac Intermediate Care Unit"/>
    <s v="Nursing Services"/>
    <s v="72060150, 3S STEPDOWN / PROGRESSIVE CARE"/>
    <s v="Equivalent Patient Day"/>
    <n v="5564"/>
    <n v="6866"/>
    <n v="0.44679999999999997"/>
    <n v="15.11"/>
    <n v="14.83"/>
    <n v="0.9556"/>
    <n v="48"/>
    <n v="10.85"/>
    <n v="11.24"/>
    <n v="11.56"/>
    <n v="0.91820000000000002"/>
    <n v="53.32"/>
    <n v="1169011.5186636699"/>
    <n v="27161"/>
    <n v="13.022233066112101"/>
  </r>
  <r>
    <s v="3852Providence Sacred Heart Medical Center112234560341, CARDIAC CARE"/>
    <m/>
    <x v="4"/>
    <s v="PHC"/>
    <s v="WA"/>
    <n v="3852"/>
    <x v="9"/>
    <n v="1122"/>
    <s v="Cardiac Intermediate Care Unit"/>
    <s v="Nursing Services"/>
    <s v="34560341, CARDIAC CARE"/>
    <s v="Equivalent Patient Day"/>
    <n v="9883.68"/>
    <n v="10205"/>
    <n v="0.59570000000000001"/>
    <n v="10.53"/>
    <n v="10.76"/>
    <n v="0.26669999999999999"/>
    <n v="48"/>
    <n v="10.74"/>
    <n v="10.99"/>
    <n v="11.29"/>
    <n v="0.86970000000000003"/>
    <n v="60.71"/>
    <n v="-96404.914738366497"/>
    <n v="-2333"/>
    <n v="-1.1185967947586399"/>
  </r>
  <r>
    <s v="4283Providence St. John's Health Center661073586100, SJHC ADMINISTRATION (U)"/>
    <m/>
    <x v="2"/>
    <s v="CA"/>
    <s v="CA"/>
    <n v="4283"/>
    <x v="23"/>
    <n v="6610"/>
    <s v="Administration"/>
    <s v="Administration"/>
    <s v="73586100, SJHC ADMINISTRATION (U)"/>
    <s v="100 Adjusted Discharges"/>
    <m/>
    <n v="173.17"/>
    <n v="0.52669999999999995"/>
    <n v="14473.96"/>
    <n v="83.582375700179014"/>
    <n v="0.91959999999999997"/>
    <n v="48"/>
    <n v="61.62"/>
    <n v="65.61"/>
    <n v="73.22"/>
    <n v="0.91020000000000001"/>
    <n v="10.94"/>
    <n v="300114.79988024605"/>
    <n v="3419.3323445396609"/>
    <n v="1.6394171474994779"/>
  </r>
  <r>
    <s v="4283Providence St. John's Health Center128573574000, 65300 SJHC LABOR AND DELIVERY (U)"/>
    <m/>
    <x v="2"/>
    <s v="CA"/>
    <s v="CA"/>
    <n v="4283"/>
    <x v="23"/>
    <n v="1285"/>
    <s v="Labor/Delivery with Recovery"/>
    <s v="Nursing Services"/>
    <s v="73574000, 65300 SJHC LABOR AND DELIVERY (U)"/>
    <s v="Neonate Deliveries"/>
    <n v="524"/>
    <n v="520"/>
    <n v="0.43049999999999999"/>
    <m/>
    <n v="44.42"/>
    <n v="0.89949999999999997"/>
    <n v="48"/>
    <n v="36.81"/>
    <n v="38.619999999999997"/>
    <n v="41.27"/>
    <n v="0.88849999999999996"/>
    <n v="49.99"/>
    <n v="239514.86775464285"/>
    <n v="3394.4850872256638"/>
    <n v="6.2860834948623401"/>
  </r>
  <r>
    <s v="2687Providence Holy Cross Medical Center301172074200 PHCMC SURGERY"/>
    <m/>
    <x v="2"/>
    <s v="CA"/>
    <s v="CA"/>
    <n v="2687"/>
    <x v="4"/>
    <n v="3011"/>
    <s v="Operating Room"/>
    <s v="Surgical Services"/>
    <s v="72074200 PHCMC SURGERY"/>
    <s v="100 Operating Room Minutes"/>
    <n v="7942.71"/>
    <n v="8027.72"/>
    <n v="0.5625"/>
    <n v="10.14"/>
    <n v="11.37"/>
    <n v="0.42549999999999999"/>
    <n v="49"/>
    <n v="10.65"/>
    <n v="10.98"/>
    <n v="11.77"/>
    <n v="0.90090000000000003"/>
    <n v="48.7"/>
    <n v="164399.12260536899"/>
    <n v="3733"/>
    <n v="1.78992489027969"/>
  </r>
  <r>
    <s v="3851Providence Holy Family Hospital441036577100, PHARMACY"/>
    <m/>
    <x v="4"/>
    <s v="PHC"/>
    <s v="WA"/>
    <n v="3851"/>
    <x v="11"/>
    <n v="4410"/>
    <s v="Pharmacy Services"/>
    <s v="Pharmacy Services"/>
    <s v="36577100, PHARMACY"/>
    <s v="CMI Weighted Department Adjusted Discharges"/>
    <n v="22974.799999999999"/>
    <n v="25177.45"/>
    <n v="0.47920000000000001"/>
    <n v="1.56"/>
    <n v="1.57"/>
    <n v="0.15559999999999999"/>
    <n v="49"/>
    <n v="1.66"/>
    <n v="1.77"/>
    <n v="1.98"/>
    <n v="0.87539999999999996"/>
    <n v="21.7"/>
    <n v="-258519.297445278"/>
    <n v="-5647"/>
    <n v="-2.7076869868427198"/>
  </r>
  <r>
    <s v="3523Providence Everett Medical Center111031661702 Med Renal A5"/>
    <m/>
    <x v="1"/>
    <s v="NWR"/>
    <s v="WA"/>
    <n v="3523"/>
    <x v="1"/>
    <n v="1110"/>
    <s v="Medical/Surgical Intermediate Care Unit"/>
    <s v="Nursing Services"/>
    <s v="31661702 Med Renal A5"/>
    <s v="Equivalent Patient Day"/>
    <n v="9096.6200000000008"/>
    <n v="9516"/>
    <n v="0.55100000000000005"/>
    <n v="11.23"/>
    <n v="11.15"/>
    <n v="0.3478"/>
    <n v="50"/>
    <n v="10.82"/>
    <n v="11.15"/>
    <n v="11.48"/>
    <n v="0.90849999999999997"/>
    <n v="56.15"/>
    <n v="10961.9718638994"/>
    <n v="322"/>
    <n v="0.15457722844679"/>
  </r>
  <r>
    <s v="3523Providence Everett Medical Center111031661703, Nuero/Med/Tele 8N&amp;S"/>
    <m/>
    <x v="1"/>
    <s v="NWR"/>
    <s v="WA"/>
    <n v="3523"/>
    <x v="1"/>
    <n v="1110"/>
    <s v="Medical/Surgical Intermediate Care Unit"/>
    <s v="Nursing Services"/>
    <s v="31661703, Nuero/Med/Tele 8N&amp;S"/>
    <s v="Equivalent Patient Day"/>
    <n v="20513.16"/>
    <n v="18791"/>
    <n v="1"/>
    <n v="11.46"/>
    <n v="11.83"/>
    <n v="0.6522"/>
    <n v="50"/>
    <n v="10.82"/>
    <n v="11.1"/>
    <n v="11.38"/>
    <n v="0.91910000000000003"/>
    <n v="116.31"/>
    <n v="556241.20888490102"/>
    <n v="15648"/>
    <n v="7.5026422599050697"/>
  </r>
  <r>
    <s v="3526Providence Seaside Hospital345051076700, ULTRASOUND"/>
    <m/>
    <x v="3"/>
    <s v="OR"/>
    <s v="OR"/>
    <n v="3526"/>
    <x v="19"/>
    <n v="3450"/>
    <s v="Ultrasound"/>
    <s v="Imaging Services"/>
    <s v="51076700, ULTRASOUND"/>
    <s v="APC Relative Weight"/>
    <n v="5179.3"/>
    <n v="5268.98"/>
    <n v="0.44900000000000001"/>
    <n v="1.02"/>
    <n v="0.88"/>
    <n v="0.95920000000000005"/>
    <n v="50"/>
    <n v="0.47"/>
    <n v="0.49"/>
    <n v="0.56000000000000005"/>
    <n v="0.9627"/>
    <n v="2.2999999999999998"/>
    <n v="95756.445044182707"/>
    <n v="2115"/>
    <n v="1.0141810642592699"/>
  </r>
  <r>
    <s v="4283Providence St. John's Health Center441073577100, SJHC PHARMACY"/>
    <m/>
    <x v="2"/>
    <s v="CA"/>
    <s v="CA"/>
    <n v="4283"/>
    <x v="23"/>
    <n v="4410"/>
    <s v="Pharmacy Services"/>
    <s v="Pharmacy Services"/>
    <s v="73577100, SJHC PHARMACY"/>
    <s v="CMI Weighted Department Adjusted Discharges"/>
    <s v=" "/>
    <n v="25307.8"/>
    <n v="0.52539999999999998"/>
    <s v=" "/>
    <n v="2.4815637866586586"/>
    <n v="0.90700000000000003"/>
    <n v="50"/>
    <n v="1.77"/>
    <n v="1.89"/>
    <n v="2.06"/>
    <n v="0.91600000000000004"/>
    <n v="37.04"/>
    <n v="916902.93209607014"/>
    <n v="16344.080786026205"/>
    <n v="7.8362567895796165"/>
  </r>
  <r>
    <s v="3531Providence Medford Medical Center422059075910, 59075600, EKG &amp; ECHO"/>
    <m/>
    <x v="3"/>
    <s v="OR"/>
    <s v="OR"/>
    <n v="3531"/>
    <x v="29"/>
    <n v="4220"/>
    <s v="Combined Noninvasive Cardiology and Vascular Services"/>
    <s v="Cardiology and Vascular Services Series"/>
    <s v="59075910, 59075600, EKG &amp; ECHO"/>
    <s v="APC Relative Weight"/>
    <n v="32826.379999999997"/>
    <n v="53918.06"/>
    <n v="0.40820000000000001"/>
    <n v="0.34"/>
    <n v="0.21"/>
    <n v="0.10199999999999999"/>
    <n v="50"/>
    <n v="0.26"/>
    <n v="0.28999999999999998"/>
    <n v="0.33"/>
    <n v="0.87290000000000001"/>
    <n v="6.09"/>
    <n v="-192040.85018904801"/>
    <n v="-5211"/>
    <n v="-2.49847233263942"/>
  </r>
  <r>
    <s v="3527Providence Portland Medical Center128552274000, 52274003 MATERNITY SERVICES - 3K"/>
    <m/>
    <x v="3"/>
    <s v="OR"/>
    <s v="OR"/>
    <n v="3527"/>
    <x v="18"/>
    <n v="1285"/>
    <s v="Labor/Delivery with Recovery"/>
    <s v="Nursing Services"/>
    <s v="52274000, 52274003 MATERNITY SERVICES - 3K"/>
    <s v="Neonate Deliveries"/>
    <n v="2579"/>
    <n v="2752"/>
    <n v="0.52"/>
    <n v="39.54"/>
    <n v="38.979999999999997"/>
    <n v="0.64"/>
    <n v="51"/>
    <n v="32.72"/>
    <n v="34.14"/>
    <n v="35.93"/>
    <n v="0.87390000000000001"/>
    <n v="51.57"/>
    <n v="2499.8957899666002"/>
    <n v="49"/>
    <n v="2.3596878724347899E-2"/>
  </r>
  <r>
    <s v="3533Providence San Pedro Peninsula Hospital500177284100 500 600 Grounds Plant Ops Plant Maint"/>
    <m/>
    <x v="2"/>
    <s v="CA"/>
    <s v="CA"/>
    <n v="3533"/>
    <x v="14"/>
    <n v="5001"/>
    <s v="Plant Operations / Plant Maintenance and Grounds"/>
    <s v="Facility Services"/>
    <s v="77284100 500 600 Grounds Plant Ops Plant Maint"/>
    <s v="1000 Gross Square Feet Maintained"/>
    <m/>
    <n v="1237.71"/>
    <n v="0.54"/>
    <m/>
    <n v="25.54"/>
    <n v="0.1522"/>
    <n v="51"/>
    <n v="26.95"/>
    <n v="28.26"/>
    <n v="30.53"/>
    <n v="0.91200000000000003"/>
    <n v="16.670000000000002"/>
    <n v="-100827.86905465899"/>
    <n v="-3584"/>
    <n v="-1.71841844086171"/>
  </r>
  <r>
    <s v="3533Providence San Pedro Peninsula Hospital449004490, Pharmacy Administration and Support Normalizations (U,N)"/>
    <m/>
    <x v="2"/>
    <s v="CA"/>
    <s v="CA"/>
    <n v="3533"/>
    <x v="14"/>
    <n v="4490"/>
    <s v="Pharmacy Administration and Support"/>
    <s v="Pharmacy Services"/>
    <s v="04490, Pharmacy Administration and Support Normalizations (U,N)"/>
    <s v="CMI Weighted Adjusted Discharges"/>
    <n v="10917.79"/>
    <n v="12993.44"/>
    <n v="5.0000000000000001E-3"/>
    <n v="0.25"/>
    <n v="0.38"/>
    <n v="0.80430000000000001"/>
    <n v="51"/>
    <n v="0.2"/>
    <n v="0.23"/>
    <n v="0.3"/>
    <n v="0.90369999999999995"/>
    <n v="2.66"/>
    <n v="156576.91888901184"/>
    <n v="2156.7068717494744"/>
    <n v="1.034044623747171"/>
  </r>
  <r>
    <s v="3535Providence St Vincent Medical Center464053076410, OUTPATIENT TRANSFUSION"/>
    <m/>
    <x v="3"/>
    <s v="OR"/>
    <s v="OR"/>
    <n v="3535"/>
    <x v="22"/>
    <n v="4640"/>
    <s v="Hematology Oncology Infusion Therapy (Hema/Onc)"/>
    <s v="Other Clinical Support Services"/>
    <s v="53076410, OUTPATIENT TRANSFUSION"/>
    <s v="Infusions"/>
    <n v="7386"/>
    <n v="7560"/>
    <n v="0.62"/>
    <n v="1.88"/>
    <n v="1.49"/>
    <n v="0.1739"/>
    <n v="51"/>
    <n v="1.57"/>
    <n v="1.7"/>
    <n v="1.88"/>
    <n v="0.87119999999999997"/>
    <n v="6.12"/>
    <n v="-83955.661002273002"/>
    <n v="-1988"/>
    <n v="-0.95295685654815199"/>
  </r>
  <r>
    <s v="4283Providence St. John's Health Center346073576500, SJHC NUCLEAR MEDICINE (U)"/>
    <m/>
    <x v="2"/>
    <s v="CA"/>
    <s v="CA"/>
    <n v="4283"/>
    <x v="23"/>
    <n v="3460"/>
    <s v="Nuclear Medicine"/>
    <s v="Imaging Services"/>
    <s v="73576500, SJHC NUCLEAR MEDICINE (U)"/>
    <s v="APC Relative Weight"/>
    <m/>
    <n v="13790.71"/>
    <n v="0.4178"/>
    <m/>
    <n v="0.33"/>
    <n v="0.46899999999999997"/>
    <n v="51"/>
    <n v="0.28000000000000003"/>
    <n v="0.28999999999999998"/>
    <n v="0.34"/>
    <n v="0.91669999999999996"/>
    <n v="2.35"/>
    <n v="34024.6289691579"/>
    <n v="539"/>
    <n v="0.25827035563415501"/>
  </r>
  <r>
    <s v="3931Swedish Issaquah342022576800 CT SCANNING"/>
    <m/>
    <x v="1"/>
    <s v="SHS"/>
    <s v="WA"/>
    <n v="3931"/>
    <x v="28"/>
    <n v="3420"/>
    <s v="Computerized Tomography"/>
    <s v="Imaging Services"/>
    <s v="22576800 CT SCANNING"/>
    <s v="APC Relative Weight"/>
    <n v="36261.64"/>
    <n v="39262.870000000003"/>
    <n v="0.6"/>
    <n v="0.56999999999999995"/>
    <n v="0.59"/>
    <m/>
    <n v="51"/>
    <n v="0.24"/>
    <n v="0.26"/>
    <n v="0.28000000000000003"/>
    <n v="0.88949999999999996"/>
    <n v="12.48"/>
    <n v="666112.02494165301"/>
    <n v="14553"/>
    <n v="6.9775311014646899"/>
  </r>
  <r>
    <s v="3852Providence Sacred Heart Medical Center111034561702, NEPHROLOGY"/>
    <m/>
    <x v="4"/>
    <s v="PHC"/>
    <s v="WA"/>
    <n v="3852"/>
    <x v="9"/>
    <n v="1110"/>
    <s v="Medical/Surgical Intermediate Care Unit"/>
    <s v="Nursing Services"/>
    <s v="34561702, NEPHROLOGY"/>
    <s v="Equivalent Patient Day"/>
    <n v="8483.25"/>
    <n v="9456"/>
    <n v="0.47060000000000002"/>
    <n v="9.81"/>
    <n v="10.39"/>
    <n v="0.1429"/>
    <n v="52"/>
    <n v="10.88"/>
    <n v="11.1"/>
    <n v="11.35"/>
    <n v="0.90049999999999997"/>
    <n v="52.47"/>
    <n v="-263172.89456133102"/>
    <n v="-7123"/>
    <n v="-3.4149522289708298"/>
  </r>
  <r>
    <s v="3526Providence Seaside Hospital464051076410, OUTPATIENT TRANSFUSION"/>
    <m/>
    <x v="3"/>
    <s v="OR"/>
    <s v="OR"/>
    <n v="3526"/>
    <x v="19"/>
    <n v="4640"/>
    <s v="Hematology Oncology Infusion Therapy (Hema/Onc)"/>
    <s v="Other Clinical Support Services"/>
    <s v="51076410, OUTPATIENT TRANSFUSION"/>
    <s v="Infusions"/>
    <n v="1616"/>
    <n v="1860"/>
    <n v="0.56859999999999999"/>
    <n v="3.04"/>
    <n v="2.4"/>
    <n v="0.47060000000000002"/>
    <n v="52"/>
    <n v="2"/>
    <n v="2.2000000000000002"/>
    <n v="2.4500000000000002"/>
    <n v="0.88429999999999997"/>
    <n v="2.4300000000000002"/>
    <n v="20066.311528998998"/>
    <n v="441"/>
    <n v="0.21137368980614599"/>
  </r>
  <r>
    <s v="3523Providence Everett Medical Center121131661707, Medical A6"/>
    <m/>
    <x v="1"/>
    <s v="NWR"/>
    <s v="WA"/>
    <n v="3523"/>
    <x v="1"/>
    <n v="1211"/>
    <s v="General Medical Acute Care Unit"/>
    <s v="Nursing Services"/>
    <s v="31661707, Medical A6"/>
    <s v="Equivalent Patient Day"/>
    <n v="10373.89"/>
    <n v="11325"/>
    <n v="0.65380000000000005"/>
    <n v="10.25"/>
    <n v="10.06"/>
    <n v="0.3725"/>
    <n v="53"/>
    <n v="9.67"/>
    <n v="10.050000000000001"/>
    <n v="10.199999999999999"/>
    <n v="0.91790000000000005"/>
    <n v="59.66"/>
    <n v="14448.724263850199"/>
    <n v="437"/>
    <n v="0.20928783383826799"/>
  </r>
  <r>
    <s v="3532Providence Little Company of Mary Hospital651076287100 06510 MEDICAL STAFF"/>
    <m/>
    <x v="2"/>
    <s v="CA"/>
    <s v="CA"/>
    <n v="3532"/>
    <x v="13"/>
    <n v="6510"/>
    <s v="Medical Staff Services"/>
    <s v="Medical Staff Services"/>
    <s v="76287100 06510 MEDICAL STAFF"/>
    <s v="Physicians On Active Medical Staff"/>
    <n v="441"/>
    <n v="140"/>
    <m/>
    <n v="28.6"/>
    <n v="97.79"/>
    <n v="1.6000000000000001E-3"/>
    <n v="53"/>
    <n v="35.18"/>
    <n v="37.729999999999997"/>
    <n v="52.03"/>
    <n v="0.91720000000000002"/>
    <n v="7.18"/>
    <n v="360211.709431995"/>
    <n v="9216"/>
    <n v="4.4187930764641798"/>
  </r>
  <r>
    <s v="3854Providence Saint Mary Medical Center342032576800, CT SCAN"/>
    <m/>
    <x v="4"/>
    <s v="SER"/>
    <s v="WA"/>
    <n v="3854"/>
    <x v="8"/>
    <n v="3420"/>
    <s v="Computerized Tomography"/>
    <s v="Imaging Services"/>
    <s v="32576800, CT SCAN"/>
    <s v="APC Relative Weight"/>
    <n v="27332.36"/>
    <n v="29374.1"/>
    <n v="0.51919999999999999"/>
    <n v="0.35"/>
    <n v="0.35"/>
    <n v="0.79169999999999996"/>
    <n v="53"/>
    <n v="0.27"/>
    <n v="0.27"/>
    <n v="0.31"/>
    <n v="0.90629999999999999"/>
    <n v="5.52"/>
    <n v="106813.35889028999"/>
    <n v="2762"/>
    <n v="1.32429918603529"/>
  </r>
  <r>
    <s v="3523Providence Everett Medical Center423031675700, Cardiovascular Lab"/>
    <m/>
    <x v="1"/>
    <s v="NWR"/>
    <s v="WA"/>
    <n v="3523"/>
    <x v="1"/>
    <n v="4230"/>
    <s v="Combined Invasive Cardiology and Vascular Services"/>
    <s v="Cardiology and Vascular Services Series"/>
    <s v="31675700, Cardiovascular Lab"/>
    <s v="Procedure Minutes"/>
    <n v="253320"/>
    <n v="244136"/>
    <n v="0.88680000000000003"/>
    <n v="0.16"/>
    <n v="0.2"/>
    <n v="0.45100000000000001"/>
    <n v="54"/>
    <n v="0.15"/>
    <n v="0.16"/>
    <n v="0.21"/>
    <n v="0.91100000000000003"/>
    <n v="25.18"/>
    <n v="519197.38160055398"/>
    <n v="9640"/>
    <n v="4.6219655626860998"/>
  </r>
  <r>
    <s v="4283Providence St. John's Health Center301173574200, SJHC SURGERY"/>
    <m/>
    <x v="2"/>
    <s v="CA"/>
    <s v="CA"/>
    <n v="4283"/>
    <x v="23"/>
    <n v="3011"/>
    <s v="Operating Room"/>
    <s v="Surgical Services"/>
    <s v="73574200, SJHC SURGERY"/>
    <s v="100 Operating Room Minutes"/>
    <n v="3146.85"/>
    <n v="3237.15"/>
    <n v="0.56599999999999995"/>
    <n v="10.16"/>
    <n v="9.66"/>
    <n v="0.16"/>
    <n v="54"/>
    <n v="10.16"/>
    <n v="10.55"/>
    <n v="11.36"/>
    <n v="0.8901"/>
    <n v="67.53"/>
    <n v="-36279.611634294903"/>
    <n v="-3156.816531260537"/>
    <n v="-6.0542101572815596"/>
  </r>
  <r>
    <s v="3755Providence Tarzana Medical Center623072587400, INSERVICE EDUCATION"/>
    <m/>
    <x v="2"/>
    <s v="CA"/>
    <s v="CA"/>
    <n v="3755"/>
    <x v="3"/>
    <n v="6230"/>
    <s v="Staff Education Combined"/>
    <s v="Educational Services"/>
    <s v="72587400, INSERVICE EDUCATION"/>
    <s v="Adjusted Discharges"/>
    <n v="17618.29"/>
    <n v="19617.5"/>
    <n v="0.67920000000000003"/>
    <n v="0.45"/>
    <n v="0.21"/>
    <n v="0.04"/>
    <n v="54"/>
    <n v="0.33"/>
    <n v="0.37"/>
    <n v="0.41"/>
    <n v="0.89510000000000001"/>
    <n v="2.21"/>
    <n v="-131559.11285438499"/>
    <n v="-3500"/>
    <n v="-1.67796178061218"/>
  </r>
  <r>
    <s v="4282Providence Kodiak Hospital2299Ambulatory Services Administration (U,N)"/>
    <m/>
    <x v="0"/>
    <s v="AK"/>
    <s v="AK"/>
    <n v="4282"/>
    <x v="5"/>
    <n v="2299"/>
    <s v="Ambulatory Services Administration"/>
    <s v="Ambulatory Care Clinics"/>
    <s v="Ambulatory Services Administration (U,N)"/>
    <s v="Patient Visits Supported"/>
    <n v="8346"/>
    <n v="11020"/>
    <n v="0.59760000000000002"/>
    <n v="0.5"/>
    <n v="0.39"/>
    <n v="0.57410000000000005"/>
    <n v="55"/>
    <n v="0.25"/>
    <n v="0.28999999999999998"/>
    <n v="0.32"/>
    <n v="0.84219999999999995"/>
    <n v="2.46"/>
    <n v="30978.659328562499"/>
    <n v="1336"/>
    <n v="0.64066567142015896"/>
  </r>
  <r>
    <s v="3532Providence Little Company of Mary Hospital343076276600 03430 MRI"/>
    <m/>
    <x v="2"/>
    <s v="CA"/>
    <s v="CA"/>
    <n v="3532"/>
    <x v="13"/>
    <n v="3430"/>
    <s v="Magnetic Resonance Imaging"/>
    <s v="Imaging Services"/>
    <s v="76276600 03430 MRI"/>
    <s v="APC Relative Weight"/>
    <n v="30332"/>
    <n v="33174"/>
    <n v="0.57410000000000005"/>
    <n v="0.22"/>
    <n v="0.25"/>
    <n v="0.16669999999999999"/>
    <n v="55"/>
    <n v="0.28000000000000003"/>
    <n v="0.3"/>
    <n v="0.3"/>
    <n v="0.87970000000000004"/>
    <n v="4.5"/>
    <n v="-102018.03938735501"/>
    <n v="-1928"/>
    <n v="-0.92416212590704205"/>
  </r>
  <r>
    <s v="3530Providence Newberg Hospital422057075910, 57075600 EKG &amp; ECHO"/>
    <m/>
    <x v="3"/>
    <s v="OR"/>
    <s v="OR"/>
    <n v="3530"/>
    <x v="17"/>
    <n v="4220"/>
    <s v="Combined Noninvasive Cardiology and Vascular Services"/>
    <s v="Cardiology and Vascular Services Series"/>
    <s v="57075910, 57075600 EKG &amp; ECHO"/>
    <s v="APC Relative Weight"/>
    <n v="17444.259999999998"/>
    <n v="31644.65"/>
    <n v="0.35189999999999999"/>
    <n v="0.27"/>
    <n v="0.19"/>
    <n v="0.1111"/>
    <n v="55"/>
    <n v="0.26"/>
    <n v="0.28000000000000003"/>
    <n v="0.33"/>
    <n v="0.92779999999999996"/>
    <n v="3.07"/>
    <n v="-138411.02354550801"/>
    <n v="-3147"/>
    <n v="-1.50880468611111"/>
  </r>
  <r>
    <s v="4283Providence St. John's Health Center349973576350, SJHC RADIOLOGY ADMIN (U)"/>
    <m/>
    <x v="2"/>
    <s v="CA"/>
    <s v="CA"/>
    <n v="4283"/>
    <x v="23"/>
    <n v="3499"/>
    <s v="Imaging Services Administration"/>
    <s v="Imaging Services"/>
    <s v="73576350, SJHC RADIOLOGY ADMIN (U)"/>
    <s v="APC Relative Weight Supported"/>
    <m/>
    <n v="155211.23000000001"/>
    <n v="0.68230000000000002"/>
    <m/>
    <n v="0.19"/>
    <n v="0.99360000000000004"/>
    <n v="55"/>
    <n v="0.06"/>
    <n v="0.06"/>
    <n v="7.0000000000000007E-2"/>
    <n v="0.86990000000000001"/>
    <n v="16.59"/>
    <n v="784636.21525742696"/>
    <n v="23896"/>
    <n v="11.457213275882999"/>
  </r>
  <r>
    <s v="3928Swedish Cherry Hill411022077200 RESPIRATORY THERAPY"/>
    <m/>
    <x v="1"/>
    <s v="SHS"/>
    <s v="WA"/>
    <n v="3928"/>
    <x v="25"/>
    <n v="4110"/>
    <s v="Respiratory Care"/>
    <s v="Respiratory and Pulmonary Care Services"/>
    <s v="22077200 RESPIRATORY THERAPY"/>
    <s v="CMI Weighted Total Facility Discharges"/>
    <n v="22473.54"/>
    <n v="24379.64"/>
    <n v="0.68520000000000003"/>
    <n v="1.64"/>
    <n v="1.71"/>
    <n v="3.7699999999999997E-2"/>
    <n v="55"/>
    <n v="2.31"/>
    <n v="2.5099999999999998"/>
    <n v="2.74"/>
    <n v="0.89749999999999996"/>
    <n v="22.36"/>
    <n v="-853429.51906260499"/>
    <n v="-21545"/>
    <n v="-10.329984258105601"/>
  </r>
  <r>
    <s v="3851Providence Holy Family Hospital121236561720, SURGICAL ACUTE"/>
    <m/>
    <x v="4"/>
    <s v="PHC"/>
    <s v="WA"/>
    <n v="3851"/>
    <x v="11"/>
    <n v="1212"/>
    <s v="General Surgical Acute Care Unit"/>
    <s v="Nursing Services"/>
    <s v="36561720, SURGICAL ACUTE"/>
    <s v="Equivalent Patient Day"/>
    <n v="9006.86"/>
    <n v="9037"/>
    <n v="0.4909"/>
    <n v="8.86"/>
    <n v="9.86"/>
    <n v="0.22639999999999999"/>
    <n v="56"/>
    <n v="9.92"/>
    <n v="10.4"/>
    <n v="10.87"/>
    <n v="0.85829999999999995"/>
    <n v="49.92"/>
    <n v="-183323.53792949801"/>
    <n v="-5383"/>
    <n v="-2.58089027141994"/>
  </r>
  <r>
    <s v="4283Providence St. John's Health Center343073576600, SJHC MAGN RESONANCE IMAGING (U)"/>
    <m/>
    <x v="2"/>
    <s v="CA"/>
    <s v="CA"/>
    <n v="4283"/>
    <x v="23"/>
    <n v="3430"/>
    <s v="Magnetic Resonance Imaging"/>
    <s v="Imaging Services"/>
    <s v="73576600, SJHC MAGN RESONANCE IMAGING (U)"/>
    <s v="APC Relative Weight"/>
    <m/>
    <n v="19471.669999999998"/>
    <n v="0.52849999999999997"/>
    <m/>
    <n v="0.39"/>
    <n v="0.75860000000000005"/>
    <n v="56"/>
    <n v="0.28999999999999998"/>
    <n v="0.3"/>
    <n v="0.32"/>
    <n v="0.86899999999999999"/>
    <n v="4.25"/>
    <n v="117769.250178202"/>
    <n v="2142"/>
    <n v="1.02705541924397"/>
  </r>
  <r>
    <s v="3929Swedish Edmonds411023077200 RESPIRATORY THERAPY"/>
    <m/>
    <x v="1"/>
    <s v="SHS"/>
    <s v="WA"/>
    <n v="3929"/>
    <x v="31"/>
    <n v="4110"/>
    <s v="Respiratory Care"/>
    <s v="Respiratory and Pulmonary Care Services"/>
    <s v="23077200 RESPIRATORY THERAPY"/>
    <s v="CMI Weighted Total Facility Discharges"/>
    <n v="12854.62"/>
    <n v="15540.26"/>
    <n v="0.63639999999999997"/>
    <n v="1.87"/>
    <n v="1.48"/>
    <n v="3.5099999999999999E-2"/>
    <n v="56"/>
    <n v="2.2200000000000002"/>
    <n v="2.62"/>
    <n v="2.95"/>
    <n v="0.89100000000000001"/>
    <n v="12.41"/>
    <n v="-794284.00141917402"/>
    <n v="-19813"/>
    <n v="-9.4993769141554907"/>
  </r>
  <r>
    <s v="3854Providence Saint Mary Medical Center301132574200, 74210 OPERATING ROOM"/>
    <m/>
    <x v="4"/>
    <s v="SER"/>
    <s v="WA"/>
    <n v="3854"/>
    <x v="8"/>
    <n v="3011"/>
    <s v="Operating Room"/>
    <s v="Surgical Services"/>
    <s v="32574200, 74210 OPERATING ROOM"/>
    <s v="100 Operating Room Minutes"/>
    <n v="4388.3999999999996"/>
    <n v="4403.0600000000004"/>
    <n v="0.57140000000000002"/>
    <n v="10.6"/>
    <n v="12.22"/>
    <n v="0.53569999999999995"/>
    <n v="57"/>
    <n v="10.49"/>
    <n v="10.74"/>
    <n v="11.53"/>
    <n v="0.90190000000000003"/>
    <n v="28.68"/>
    <n v="254304.185176122"/>
    <n v="7385"/>
    <n v="3.5409618590699701"/>
  </r>
  <r>
    <s v="3523Providence Everett Medical Center661031686100 Administration"/>
    <m/>
    <x v="1"/>
    <s v="NWR"/>
    <s v="WA"/>
    <n v="3523"/>
    <x v="1"/>
    <n v="6610"/>
    <s v="Administration"/>
    <s v="Administration"/>
    <s v="31686100 Administration"/>
    <s v="100 Adjusted Discharges"/>
    <n v="509.83"/>
    <n v="469.99"/>
    <m/>
    <n v="65.63"/>
    <n v="76.56"/>
    <n v="0.56699999999999995"/>
    <n v="58"/>
    <n v="57.29"/>
    <n v="62.03"/>
    <n v="73.739999999999995"/>
    <n v="0.89670000000000005"/>
    <n v="19.29"/>
    <n v="647771.95846933499"/>
    <n v="7721"/>
    <n v="3.7019644419837299"/>
  </r>
  <r>
    <s v="3852Providence Sacred Heart Medical Center301134574200, SURGICAL SERVICES"/>
    <m/>
    <x v="4"/>
    <s v="PHC"/>
    <s v="WA"/>
    <n v="3852"/>
    <x v="9"/>
    <n v="3011"/>
    <s v="Operating Room"/>
    <s v="Surgical Services"/>
    <s v="34574200, SURGICAL SERVICES"/>
    <s v="100 Operating Room Minutes"/>
    <n v="23094.44"/>
    <n v="24161.99"/>
    <n v="1"/>
    <n v="11.63"/>
    <n v="11.48"/>
    <n v="0.42109999999999997"/>
    <n v="58"/>
    <n v="10.69"/>
    <n v="11.14"/>
    <n v="11.56"/>
    <n v="0.85940000000000005"/>
    <n v="155.13"/>
    <n v="343362.28935536405"/>
    <n v="9559.0837793809587"/>
    <n v="4.5831537514412233"/>
  </r>
  <r>
    <s v="3535Providence St Vincent Medical Center481253070821, WILSONVILLE REHAB"/>
    <m/>
    <x v="3"/>
    <s v="OR"/>
    <s v="OR"/>
    <n v="3535"/>
    <x v="22"/>
    <n v="4812"/>
    <s v="Physical Therapy: Outpatient"/>
    <s v="Rehabilitation Services"/>
    <s v="53070821, WILSONVILLE REHAB"/>
    <s v="1000 Baseline Billed Time Units (BTUs)"/>
    <n v="238.3"/>
    <n v="294.77"/>
    <n v="0.57889999999999997"/>
    <n v="18.62"/>
    <n v="16.91"/>
    <n v="0"/>
    <n v="58"/>
    <n v="20.25"/>
    <n v="21.98"/>
    <n v="22.97"/>
    <n v="0.89549999999999996"/>
    <n v="2.68"/>
    <n v="-57441.290516019602"/>
    <n v="-1645"/>
    <n v="-0.78891404061803305"/>
  </r>
  <r>
    <s v="3854Providence Saint Mary Medical Center489932577701, PT OT ADMIN"/>
    <m/>
    <x v="4"/>
    <s v="SER"/>
    <s v="WA"/>
    <n v="3854"/>
    <x v="8"/>
    <n v="4899"/>
    <s v="Rehabilitation Services Administration"/>
    <s v="Rehabilitation Services"/>
    <s v="32577701, PT OT ADMIN"/>
    <s v="1000 Baseline Billed Time Units (BTUs) Supported"/>
    <n v="1851.31"/>
    <n v="2471.0300000000002"/>
    <n v="0.53449999999999998"/>
    <n v="10.15"/>
    <n v="6.49"/>
    <n v="0.8448"/>
    <n v="59"/>
    <n v="2.38"/>
    <n v="2.95"/>
    <n v="3.8"/>
    <n v="0.89610000000000001"/>
    <n v="8.61"/>
    <n v="259437.00002318199"/>
    <n v="9823"/>
    <n v="4.7097565553612801"/>
  </r>
  <r>
    <s v="3532Providence Little Company of Mary Hospital301176274200 03011 SURGERY"/>
    <m/>
    <x v="2"/>
    <s v="CA"/>
    <s v="CA"/>
    <n v="3532"/>
    <x v="13"/>
    <n v="3011"/>
    <s v="Operating Room"/>
    <s v="Surgical Services"/>
    <s v="76274200 03011 SURGERY"/>
    <s v="100 Operating Room Minutes"/>
    <n v="9447.84"/>
    <n v="9650.7099999999991"/>
    <n v="0.33900000000000002"/>
    <n v="9.67"/>
    <n v="11.97"/>
    <n v="0.80700000000000005"/>
    <n v="60"/>
    <n v="10.57"/>
    <n v="11"/>
    <n v="11.82"/>
    <n v="0.88629999999999998"/>
    <n v="62.66"/>
    <n v="433437.26361591998"/>
    <n v="10914"/>
    <n v="5.2325727711421903"/>
  </r>
  <r>
    <s v="3854Providence Saint Mary Medical Center441032577100, PHARMACY"/>
    <m/>
    <x v="4"/>
    <s v="SER"/>
    <s v="WA"/>
    <n v="3854"/>
    <x v="8"/>
    <n v="4410"/>
    <s v="Pharmacy Services"/>
    <s v="Pharmacy Services"/>
    <s v="32577100, PHARMACY"/>
    <s v="CMI Weighted Department Adjusted Discharges"/>
    <n v="36412.11"/>
    <n v="38892.370000000003"/>
    <n v="0.67800000000000005"/>
    <n v="0.9"/>
    <n v="0.96"/>
    <m/>
    <n v="60"/>
    <n v="1.72"/>
    <n v="1.89"/>
    <n v="2.0299999999999998"/>
    <n v="0.91139999999999999"/>
    <n v="19.75"/>
    <n v="-1598893.04878788"/>
    <n v="-39460"/>
    <n v="-18.9192142610787"/>
  </r>
  <r>
    <s v="3854Providence Saint Mary Medical Center449004490, Pharmacy Administration and Support"/>
    <m/>
    <x v="4"/>
    <s v="SER"/>
    <s v="WA"/>
    <n v="3854"/>
    <x v="8"/>
    <n v="4490"/>
    <s v="Pharmacy Administration and Support"/>
    <s v="Pharmacy Services"/>
    <s v="04490, Pharmacy Administration and Support"/>
    <s v="CMI Weighted Adjusted Discharges"/>
    <n v="18193.72"/>
    <n v="18114.78"/>
    <n v="0.33900000000000002"/>
    <n v="0.59"/>
    <n v="0.6"/>
    <n v="1"/>
    <n v="60"/>
    <n v="0.19"/>
    <n v="0.23"/>
    <n v="0.3"/>
    <n v="0.9345"/>
    <n v="5.64"/>
    <n v="297496.04808208399"/>
    <n v="7305"/>
    <n v="3.5023836964867598"/>
  </r>
  <r>
    <s v="3523Providence Everett Medical Center441031677100, Pharmacy"/>
    <m/>
    <x v="1"/>
    <s v="NWR"/>
    <s v="WA"/>
    <n v="3523"/>
    <x v="1"/>
    <n v="4410"/>
    <s v="Pharmacy Services"/>
    <s v="Pharmacy Services"/>
    <s v="31677100, Pharmacy"/>
    <s v="CMI Weighted Department Adjusted Discharges"/>
    <n v="66380.240000000005"/>
    <n v="62955.07"/>
    <n v="0.75"/>
    <n v="1.53"/>
    <n v="1.72"/>
    <n v="0.3448"/>
    <n v="61"/>
    <n v="1.61"/>
    <n v="1.72"/>
    <n v="1.94"/>
    <n v="0.88980000000000004"/>
    <n v="58.39"/>
    <n v="3948.4208789988202"/>
    <n v="91"/>
    <n v="4.3485739997073801E-2"/>
  </r>
  <r>
    <s v="3523Providence Everett Medical Center101331660300, CCU CSSU 6S 7S"/>
    <m/>
    <x v="1"/>
    <s v="NWR"/>
    <s v="WA"/>
    <n v="3523"/>
    <x v="1"/>
    <n v="1013"/>
    <s v="Med/Surg/Cardiac Intensive Care Unit"/>
    <s v="Nursing Services"/>
    <s v="31660300, CCU CSSU 6S 7S"/>
    <s v="Equivalent Patient Day"/>
    <n v="13324.9"/>
    <n v="12941"/>
    <n v="1"/>
    <n v="16.989999999999998"/>
    <n v="17.2"/>
    <n v="0.1148"/>
    <n v="62"/>
    <n v="17.98"/>
    <n v="18.54"/>
    <n v="19.309999999999999"/>
    <n v="0.85740000000000005"/>
    <n v="124.84"/>
    <n v="-931294.36910095904"/>
    <n v="-19451"/>
    <n v="-9.3259304001962597"/>
  </r>
  <r>
    <s v="3532Providence Little Company of Mary Hospital302076274270 03020 RECOVERY ROOM"/>
    <m/>
    <x v="2"/>
    <s v="CA"/>
    <s v="CA"/>
    <n v="3532"/>
    <x v="13"/>
    <n v="3020"/>
    <s v="Post Anesthesia Care Unit (PACU)"/>
    <s v="Surgical Services"/>
    <s v="76274270 03020 RECOVERY ROOM"/>
    <s v="100 PACU Minutes"/>
    <n v="8972.7000000000007"/>
    <n v="7733.25"/>
    <n v="0.55559999999999998"/>
    <n v="2.77"/>
    <n v="3.19"/>
    <n v="0.4355"/>
    <n v="64"/>
    <n v="2.81"/>
    <n v="3.04"/>
    <n v="3.4"/>
    <n v="0.85940000000000005"/>
    <n v="13.82"/>
    <n v="78699.920526272399"/>
    <n v="1469"/>
    <n v="0.70439153507930796"/>
  </r>
  <r>
    <s v="3533Providence San Pedro Peninsula Hospital345077276700 SPH ULTRASOUND"/>
    <m/>
    <x v="2"/>
    <s v="CA"/>
    <s v="CA"/>
    <n v="3533"/>
    <x v="14"/>
    <n v="3450"/>
    <s v="Ultrasound"/>
    <s v="Imaging Services"/>
    <s v="77276700 SPH ULTRASOUND"/>
    <s v="APC Relative Weight"/>
    <n v="15688.1"/>
    <n v="16814.61"/>
    <n v="0.60319999999999996"/>
    <n v="0.38"/>
    <n v="0.35"/>
    <n v="4.9200000000000001E-2"/>
    <n v="64"/>
    <n v="0.48"/>
    <n v="0.49"/>
    <n v="0.53"/>
    <n v="0.84289999999999998"/>
    <n v="3.32"/>
    <n v="-131890.56239151701"/>
    <n v="-2850"/>
    <n v="-1.3665686573645901"/>
  </r>
  <r>
    <s v="4283Providence St. John's Health Center342073576800, SJHC CT SCAN (U)"/>
    <m/>
    <x v="2"/>
    <s v="CA"/>
    <s v="CA"/>
    <n v="4283"/>
    <x v="23"/>
    <n v="3420"/>
    <s v="Computerized Tomography"/>
    <s v="Imaging Services"/>
    <s v="73576800, SJHC CT SCAN (U)"/>
    <s v="APC Relative Weight"/>
    <m/>
    <n v="40744.86"/>
    <n v="0.56389999999999996"/>
    <m/>
    <n v="0.23"/>
    <n v="0.17580000000000001"/>
    <n v="64"/>
    <n v="0.25"/>
    <n v="0.26"/>
    <n v="0.28000000000000003"/>
    <n v="0.89"/>
    <n v="5.13"/>
    <n v="-57955.626277814197"/>
    <n v="-1203"/>
    <n v="-0.57695344919631997"/>
  </r>
  <r>
    <s v="3854Providence Saint Mary Medical Center591032584200, SECURITY"/>
    <m/>
    <x v="4"/>
    <s v="SER"/>
    <s v="WA"/>
    <n v="3854"/>
    <x v="8"/>
    <n v="5910"/>
    <s v="Security"/>
    <s v="Other Support Services"/>
    <s v="32584200, SECURITY"/>
    <s v="1000 Gross Square Feet Patrolled"/>
    <n v="1331.71"/>
    <n v="1331.71"/>
    <n v="0.41539999999999999"/>
    <n v="6.21"/>
    <n v="6.47"/>
    <n v="6.9000000000000006E-2"/>
    <n v="66"/>
    <n v="11.64"/>
    <n v="14.05"/>
    <n v="15.92"/>
    <n v="0.93579999999999997"/>
    <n v="4.42"/>
    <n v="-258217.871596093"/>
    <n v="-10775"/>
    <n v="-5.1663019251079696"/>
  </r>
  <r>
    <s v="3531Providence Medford Medical Center121059061700, MEDICAL_SURGICAL"/>
    <m/>
    <x v="3"/>
    <s v="OR"/>
    <s v="OR"/>
    <n v="3531"/>
    <x v="29"/>
    <n v="1210"/>
    <s v="Medical/Surgical Acute Care Unit"/>
    <s v="Nursing Services"/>
    <s v="59061700, MEDICAL_SURGICAL"/>
    <s v="Equivalent Patient Day"/>
    <n v="10075.08"/>
    <n v="10191"/>
    <n v="0.68420000000000003"/>
    <n v="11.4"/>
    <n v="11"/>
    <n v="0.62160000000000004"/>
    <n v="67"/>
    <n v="10.99"/>
    <n v="11.2"/>
    <n v="11.42"/>
    <n v="0.9103"/>
    <n v="59.2"/>
    <n v="-78030.616280346876"/>
    <n v="-2239.042074041517"/>
    <n v="-1.0735206760519334"/>
  </r>
  <r>
    <s v="3531Providence Medford Medical Center112259061701, MEDICAL TELEMETRY"/>
    <m/>
    <x v="3"/>
    <s v="OR"/>
    <s v="OR"/>
    <n v="3531"/>
    <x v="29"/>
    <n v="1122"/>
    <s v="Cardiac Intermediate Care Unit"/>
    <s v="Nursing Services"/>
    <s v="59061701, MEDICAL TELEMETRY"/>
    <s v="Equivalent Patient Day"/>
    <n v="7906.42"/>
    <n v="8977"/>
    <n v="0.56059999999999999"/>
    <n v="11.92"/>
    <n v="11.6"/>
    <n v="0.53129999999999999"/>
    <n v="67"/>
    <n v="10.99"/>
    <n v="11.2"/>
    <n v="11.42"/>
    <n v="0.92630000000000001"/>
    <n v="54.02"/>
    <n v="144116.19524569"/>
    <n v="4128"/>
    <n v="1.97898688410919"/>
  </r>
  <r>
    <s v="3854Providence Saint Mary Medical Center302032574270, PACU"/>
    <m/>
    <x v="4"/>
    <s v="SER"/>
    <s v="WA"/>
    <n v="3854"/>
    <x v="8"/>
    <n v="3020"/>
    <s v="Post Anesthesia Care Unit (PACU)"/>
    <s v="Surgical Services"/>
    <s v="32574270, PACU"/>
    <s v="100 PACU Minutes"/>
    <n v="2493.6"/>
    <n v="4569.45"/>
    <n v="0.50719999999999998"/>
    <n v="14.01"/>
    <n v="8.4"/>
    <m/>
    <n v="70"/>
    <n v="3.05"/>
    <n v="3.26"/>
    <n v="3.73"/>
    <n v="0.89629999999999999"/>
    <n v="20.58"/>
    <n v="1182824.4470567701"/>
    <n v="26304"/>
    <n v="12.611505228023701"/>
  </r>
  <r>
    <s v="3532Providence Little Company of Mary Hospital500176284500 600 Plant Ops Plant Maint"/>
    <m/>
    <x v="2"/>
    <s v="CA"/>
    <s v="CA"/>
    <n v="3532"/>
    <x v="13"/>
    <n v="5001"/>
    <s v="Plant Operations / Plant Maintenance and Grounds"/>
    <s v="Facility Services"/>
    <s v="76284500 600 Plant Ops Plant Maint"/>
    <s v="1000 Gross Square Feet Maintained"/>
    <m/>
    <n v="839.57"/>
    <n v="0.54930000000000001"/>
    <m/>
    <n v="39.83"/>
    <n v="0.65669999999999995"/>
    <n v="72"/>
    <n v="28.51"/>
    <n v="30.35"/>
    <n v="34.21"/>
    <n v="0.90069999999999995"/>
    <n v="17.850000000000001"/>
    <n v="243528.30286588299"/>
    <n v="8940"/>
    <n v="4.2861304831609397"/>
  </r>
  <r>
    <s v="3854Providence Saint Mary Medical Center343032576608, MRI"/>
    <m/>
    <x v="4"/>
    <s v="SER"/>
    <s v="WA"/>
    <n v="3854"/>
    <x v="8"/>
    <n v="3430"/>
    <s v="Magnetic Resonance Imaging"/>
    <s v="Imaging Services"/>
    <s v="32576608, MRI"/>
    <s v="APC Relative Weight"/>
    <n v="20403.650000000001"/>
    <n v="20002.099999999999"/>
    <n v="0.64790000000000003"/>
    <n v="0.25"/>
    <n v="0.24"/>
    <n v="5.7099999999999998E-2"/>
    <n v="72"/>
    <n v="0.28999999999999998"/>
    <n v="0.3"/>
    <n v="0.33"/>
    <n v="0.88519999999999999"/>
    <n v="2.59"/>
    <n v="-74345.754901307897"/>
    <n v="-1377"/>
    <n v="-0.66015147907205596"/>
  </r>
  <r>
    <s v="3850Providence Mount Carmel Hospital449004490, Pharmacy Administration and Support (U,N)"/>
    <m/>
    <x v="4"/>
    <s v="PHC"/>
    <s v="WA"/>
    <n v="3850"/>
    <x v="16"/>
    <n v="4490"/>
    <s v="Pharmacy Administration and Support"/>
    <s v="Pharmacy Services"/>
    <s v="04490, Pharmacy Administration and Support (U,N)"/>
    <s v="CMI Weighted Adjusted Discharges"/>
    <n v="5214.6499999999996"/>
    <n v="5544.01"/>
    <m/>
    <n v="0.72"/>
    <n v="0.71"/>
    <m/>
    <n v="75"/>
    <n v="0.18"/>
    <n v="0.21"/>
    <n v="0.28000000000000003"/>
    <n v="0.89590000000000003"/>
    <n v="2.12"/>
    <n v="161426.85372037801"/>
    <n v="3122"/>
    <n v="1.4969370572326399"/>
  </r>
  <r>
    <s v="3854Providence Saint Mary Medical Center486132577800, SPEECH THERAPY"/>
    <m/>
    <x v="4"/>
    <s v="SER"/>
    <s v="WA"/>
    <n v="3854"/>
    <x v="8"/>
    <n v="4861"/>
    <s v="Speech Language Pathology: Inpatient and Outpatient"/>
    <s v="Rehabilitation Services"/>
    <s v="32577800, SPEECH THERAPY"/>
    <s v="1000 Baseline Billed Time Units (BTUs)"/>
    <n v="161.69"/>
    <n v="244.89"/>
    <n v="0.55259999999999998"/>
    <n v="26.19"/>
    <n v="23.26"/>
    <n v="0.20269999999999999"/>
    <n v="77"/>
    <n v="23.55"/>
    <n v="25.78"/>
    <n v="28.09"/>
    <n v="0.94840000000000002"/>
    <n v="2.89"/>
    <n v="-24798.8692922351"/>
    <n v="-629"/>
    <n v="-0.30161558997869198"/>
  </r>
  <r>
    <s v="3533Providence San Pedro Peninsula Hospital201070100 EMERGENCY DEPT"/>
    <m/>
    <x v="2"/>
    <s v="CA"/>
    <s v="CA"/>
    <n v="3533"/>
    <x v="14"/>
    <n v="2010"/>
    <s v="Emergency Department"/>
    <s v="Emergency Services"/>
    <s v="70100 EMERGENCY DEPT"/>
    <s v="Patient Visits"/>
    <n v="39493"/>
    <n v="41360"/>
    <n v="0.51900000000000002"/>
    <n v="2.0499999999999998"/>
    <n v="1.94"/>
    <n v="2.5999999999999999E-2"/>
    <n v="80"/>
    <n v="2.36"/>
    <n v="2.5099999999999998"/>
    <n v="2.74"/>
    <n v="0.90739999999999998"/>
    <n v="42.55"/>
    <n v="-1233060.3835133347"/>
    <n v="-25981.044743222388"/>
    <n v="-12.456750608055996"/>
  </r>
  <r>
    <s v="3851Providence Holy Family Hospital201036570100, 70101 EMERGENCY"/>
    <m/>
    <x v="4"/>
    <s v="PHC"/>
    <s v="WA"/>
    <n v="3851"/>
    <x v="11"/>
    <n v="2010"/>
    <s v="Emergency Department"/>
    <s v="Emergency Services"/>
    <s v="36570100, 70101 EMERGENCY"/>
    <s v="Patient Visits"/>
    <n v="62324"/>
    <n v="64447"/>
    <n v="0.58750000000000002"/>
    <n v="2.38"/>
    <n v="2.38"/>
    <n v="0.10390000000000001"/>
    <n v="81"/>
    <n v="2.56"/>
    <n v="2.72"/>
    <n v="2.82"/>
    <n v="0.88639999999999997"/>
    <n v="83.35"/>
    <n v="-817564.56554757699"/>
    <n v="-23919"/>
    <n v="-11.4678320691233"/>
  </r>
  <r>
    <s v="4283Providence St. John's Health Center341173576300, SJHC DIAGNOSTIC RADIOLOGY (U)"/>
    <m/>
    <x v="2"/>
    <s v="CA"/>
    <s v="CA"/>
    <n v="4283"/>
    <x v="23"/>
    <n v="3411"/>
    <s v="Diagnostic Radiology Without Interventional Procedures"/>
    <s v="Imaging Services"/>
    <s v="73576300, SJHC DIAGNOSTIC RADIOLOGY (U)"/>
    <s v="APC Relative Weight"/>
    <m/>
    <n v="49570.98"/>
    <n v="0.4698"/>
    <m/>
    <n v="0.89"/>
    <n v="0.86240000000000006"/>
    <n v="81"/>
    <n v="0.57999999999999996"/>
    <n v="0.63"/>
    <n v="0.69"/>
    <n v="0.90590000000000004"/>
    <n v="23.5"/>
    <n v="734741.72348585504"/>
    <n v="14540"/>
    <n v="6.9714044214356203"/>
  </r>
  <r>
    <s v="3854Providence Saint Mary Medical Center341132576305, DIAGNOSTIC IMAGING"/>
    <m/>
    <x v="4"/>
    <s v="SER"/>
    <s v="WA"/>
    <n v="3854"/>
    <x v="8"/>
    <n v="3411"/>
    <s v="Diagnostic Radiology Without Interventional Procedures"/>
    <s v="Imaging Services"/>
    <s v="32576305, DIAGNOSTIC IMAGING"/>
    <s v="APC Relative Weight"/>
    <n v="54514.55"/>
    <n v="62314.44"/>
    <n v="0.67069999999999996"/>
    <n v="0.85"/>
    <n v="0.88"/>
    <n v="0.83330000000000004"/>
    <n v="83"/>
    <n v="0.57999999999999996"/>
    <n v="0.61"/>
    <n v="0.66"/>
    <n v="0.90720000000000001"/>
    <n v="29.08"/>
    <n v="583845.24508881802"/>
    <n v="18752"/>
    <n v="8.9907534475756101"/>
  </r>
  <r>
    <s v="3851Providence Holy Family Hospital301136574200, SURGICAL SERVICES"/>
    <m/>
    <x v="4"/>
    <s v="PHC"/>
    <s v="WA"/>
    <n v="3851"/>
    <x v="11"/>
    <n v="3011"/>
    <s v="Operating Room"/>
    <s v="Surgical Services"/>
    <s v="36574200, SURGICAL SERVICES"/>
    <s v="100 Operating Room Minutes"/>
    <n v="6214.74"/>
    <n v="7105.15"/>
    <n v="0.47920000000000001"/>
    <n v="11.65"/>
    <n v="10.96"/>
    <n v="0.31180000000000002"/>
    <n v="97"/>
    <n v="10.67"/>
    <n v="11.15"/>
    <n v="11.85"/>
    <n v="0.87649999999999995"/>
    <n v="42.73"/>
    <n v="-45543.426151355197"/>
    <n v="-1263"/>
    <n v="-0.60555438124401895"/>
  </r>
  <r>
    <s v="3529Providence Milwaukie Hospital121055061700, MEDICAL_SURGICAL"/>
    <m/>
    <x v="3"/>
    <s v="OR"/>
    <s v="OR"/>
    <n v="3529"/>
    <x v="15"/>
    <n v="1210"/>
    <s v="Medical/Surgical Acute Care Unit"/>
    <s v="Nursing Services"/>
    <s v="55061700, MEDICAL_SURGICAL"/>
    <s v="Equivalent Patient Day"/>
    <n v="8366.5"/>
    <n v="8878.42"/>
    <n v="0.51819999999999999"/>
    <n v="10.6"/>
    <n v="10.39"/>
    <n v="0.6"/>
    <n v="111"/>
    <n v="9.61"/>
    <n v="9.92"/>
    <n v="10.17"/>
    <n v="0.89870000000000005"/>
    <n v="49.35"/>
    <n v="208602.630138173"/>
    <n v="4928"/>
    <n v="2.3626691711908498"/>
  </r>
  <r>
    <s v="3523Providence Everett Medical Center346031676500, Nuclear Medicine"/>
    <m/>
    <x v="1"/>
    <s v="NWR"/>
    <s v="WA"/>
    <n v="3523"/>
    <x v="1"/>
    <n v="3460"/>
    <s v="Nuclear Medicine"/>
    <s v="Imaging Services"/>
    <s v="31676500, Nuclear Medicine"/>
    <s v="APC Relative Weight"/>
    <n v="57904.5"/>
    <n v="56447.88"/>
    <n v="0.96919999999999995"/>
    <n v="0.23"/>
    <n v="0.25"/>
    <n v="0.5736"/>
    <n v="131"/>
    <n v="0.2"/>
    <n v="0.22"/>
    <n v="0.24"/>
    <n v="0.90129999999999999"/>
    <n v="7.46"/>
    <n v="82017.997876200694"/>
    <n v="1781"/>
    <n v="0.85383974949248598"/>
  </r>
  <r>
    <s v="3523Providence Everett Medical Center121031661704, Surgical 10S"/>
    <m/>
    <x v="1"/>
    <s v="NWR"/>
    <s v="WA"/>
    <n v="3523"/>
    <x v="1"/>
    <n v="1210"/>
    <s v="Medical/Surgical Acute Care Unit"/>
    <s v="Nursing Services"/>
    <s v="31661704, Surgical 10S"/>
    <s v="Equivalent Patient Day"/>
    <n v="9791.18"/>
    <n v="10154"/>
    <n v="0.68669999999999998"/>
    <n v="10.33"/>
    <n v="10.17"/>
    <n v="0.47549999999999998"/>
    <n v="151"/>
    <n v="9.6"/>
    <n v="9.9700000000000006"/>
    <n v="10.27"/>
    <n v="0.88180000000000003"/>
    <n v="56.3"/>
    <n v="97771.518149743599"/>
    <n v="2620"/>
    <n v="1.25594986404357"/>
  </r>
  <r>
    <s v="3854Providence Saint Mary Medical Center522132583500, LAUNDRY AND LINEN"/>
    <m/>
    <x v="4"/>
    <s v="SER"/>
    <s v="WA"/>
    <n v="3854"/>
    <x v="8"/>
    <n v="5221"/>
    <s v="Laundry and Linen Distribution Only"/>
    <s v="Environmental Services"/>
    <s v="32583500, LAUNDRY AND LINEN"/>
    <s v="100 Lbs Clean Laundry Distributed"/>
    <n v="5814.31"/>
    <n v="6350.72"/>
    <n v="0.1118"/>
    <n v="0.68"/>
    <n v="0.67"/>
    <n v="0.78059999999999996"/>
    <n v="162"/>
    <n v="0.33"/>
    <n v="0.38"/>
    <n v="0.45"/>
    <n v="0.88"/>
    <n v="2.31"/>
    <n v="29312.7254998969"/>
    <n v="2076"/>
    <n v="0.99516260074010499"/>
  </r>
  <r>
    <s v="3755Providence Tarzana Medical Center511272583300, 83400 CAFETERIA / DIETARY"/>
    <m/>
    <x v="2"/>
    <s v="CA"/>
    <s v="CA"/>
    <n v="3755"/>
    <x v="3"/>
    <n v="5112"/>
    <s v="Patient and Nonpatient Food Services"/>
    <s v="Food and Nutrition Services"/>
    <s v="72583300, 83400 CAFETERIA / DIETARY"/>
    <s v="ART: Total Meal Equivalents"/>
    <n v="1221806.04"/>
    <n v="1038130.19"/>
    <m/>
    <n v="0.06"/>
    <n v="1.48"/>
    <m/>
    <n v="178"/>
    <n v="0.13"/>
    <n v="0.13"/>
    <n v="0.15"/>
    <n v="0.91359999999999997"/>
    <n v="37.26"/>
    <n v="-1387243.5343179901"/>
    <n v="-70007"/>
    <n v="-33.5651073190663"/>
  </r>
  <r>
    <s v="4282Providence Kodiak Hospital4110RESPIRATORY THERAPY (U)"/>
    <m/>
    <x v="0"/>
    <s v="AK"/>
    <s v="AK"/>
    <n v="4282"/>
    <x v="5"/>
    <n v="4110"/>
    <s v="Respiratory Care"/>
    <s v="Respiratory and Pulmonary Care Services"/>
    <s v="RESPIRATORY THERAPY (U)"/>
    <s v="CMI Weighted Total Facility Discharges"/>
    <n v="819.44"/>
    <n v="671.53"/>
    <n v="1.52E-2"/>
    <n v="6.52"/>
    <n v="9.69"/>
    <n v="0.97070000000000001"/>
    <n v="218"/>
    <n v="2.5"/>
    <n v="2.78"/>
    <n v="3.14"/>
    <n v="0.85819999999999996"/>
    <n v="3.65"/>
    <n v="249906.78836310899"/>
    <n v="5438"/>
    <n v="2.60703468973904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F40" firstHeaderRow="0" firstDataRow="1" firstDataCol="2"/>
  <pivotFields count="27">
    <pivotField compact="0" outline="0" showAll="0"/>
    <pivotField compact="0" outline="0" multipleItemSelectionAllowed="1" showAll="0"/>
    <pivotField axis="axisRow" compact="0" outline="0" showAll="0">
      <items count="6">
        <item x="0"/>
        <item x="2"/>
        <item x="4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35">
        <item x="0"/>
        <item x="4"/>
        <item x="11"/>
        <item x="5"/>
        <item x="13"/>
        <item x="16"/>
        <item x="9"/>
        <item x="8"/>
        <item x="14"/>
        <item x="6"/>
        <item x="30"/>
        <item x="20"/>
        <item x="21"/>
        <item x="25"/>
        <item x="2"/>
        <item x="23"/>
        <item x="3"/>
        <item x="24"/>
        <item x="31"/>
        <item x="26"/>
        <item h="1" x="27"/>
        <item x="28"/>
        <item h="1" x="33"/>
        <item h="1" x="32"/>
        <item x="12"/>
        <item x="29"/>
        <item x="15"/>
        <item x="17"/>
        <item x="18"/>
        <item x="19"/>
        <item x="22"/>
        <item x="7"/>
        <item x="1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numFmtId="4" outline="0" showAll="0" defaultSubtotal="0"/>
    <pivotField compact="0" outline="0" showAll="0" defaultSubtotal="0"/>
    <pivotField compact="0" outline="0" showAll="0" defaultSubtotal="0"/>
    <pivotField compact="0" numFmtId="4" outline="0" showAll="0" defaultSubtotal="0"/>
    <pivotField compact="0" outline="0" showAll="0" defaultSubtotal="0"/>
    <pivotField compact="0" numFmtId="4" outline="0" showAll="0"/>
    <pivotField compact="0" outline="0" showAll="0" defaultSubtotal="0"/>
    <pivotField compact="0" outline="0" showAll="0" defaultSubtotal="0"/>
    <pivotField compact="0" outline="0" showAll="0" defaultSubtotal="0"/>
    <pivotField compact="0" numFmtId="10" outline="0" showAll="0" defaultSubtotal="0"/>
    <pivotField dataField="1"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2"/>
    <field x="6"/>
  </rowFields>
  <rowItems count="37">
    <i>
      <x/>
      <x/>
    </i>
    <i r="1">
      <x v="3"/>
    </i>
    <i t="default">
      <x/>
    </i>
    <i>
      <x v="1"/>
      <x v="1"/>
    </i>
    <i r="1">
      <x v="4"/>
    </i>
    <i r="1">
      <x v="8"/>
    </i>
    <i r="1">
      <x v="9"/>
    </i>
    <i r="1">
      <x v="15"/>
    </i>
    <i r="1">
      <x v="16"/>
    </i>
    <i t="default">
      <x v="1"/>
    </i>
    <i>
      <x v="2"/>
      <x v="2"/>
    </i>
    <i r="1">
      <x v="5"/>
    </i>
    <i r="1">
      <x v="6"/>
    </i>
    <i r="1">
      <x v="7"/>
    </i>
    <i r="1">
      <x v="10"/>
    </i>
    <i r="1">
      <x v="11"/>
    </i>
    <i r="1">
      <x v="12"/>
    </i>
    <i t="default">
      <x v="2"/>
    </i>
    <i>
      <x v="3"/>
      <x v="13"/>
    </i>
    <i r="1">
      <x v="14"/>
    </i>
    <i r="1">
      <x v="17"/>
    </i>
    <i r="1">
      <x v="18"/>
    </i>
    <i r="1">
      <x v="19"/>
    </i>
    <i r="1">
      <x v="21"/>
    </i>
    <i r="1">
      <x v="32"/>
    </i>
    <i r="1">
      <x v="33"/>
    </i>
    <i t="default">
      <x v="3"/>
    </i>
    <i>
      <x v="4"/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t="default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Paid Benchmarked FTEs" fld="23" baseField="6" baseItem="0" numFmtId="3"/>
    <dataField name="Sum of Opportunity $" fld="24" baseField="6" baseItem="15" numFmtId="165"/>
    <dataField name="Sum of Opportunity Hours" fld="25" baseField="6" baseItem="15" numFmtId="3"/>
    <dataField name="Sum of Paid FTE Opportunity" fld="26" baseField="6" baseItem="15" numFmtId="3"/>
  </dataFields>
  <formats count="36">
    <format dxfId="3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outline="0" collapsedLevelsAreSubtotals="1" fieldPosition="0">
        <references count="1">
          <reference field="2" count="1" selected="0" defaultSubtotal="1">
            <x v="4"/>
          </reference>
        </references>
      </pivotArea>
    </format>
    <format dxfId="26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25">
      <pivotArea outline="0" collapsedLevelsAreSubtotals="1" fieldPosition="0">
        <references count="1">
          <reference field="2" count="1" selected="0" defaultSubtotal="1">
            <x v="4"/>
          </reference>
        </references>
      </pivotArea>
    </format>
    <format dxfId="24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23">
      <pivotArea outline="0" collapsedLevelsAreSubtotals="1" fieldPosition="0">
        <references count="1">
          <reference field="2" count="1" selected="0" defaultSubtotal="1">
            <x v="3"/>
          </reference>
        </references>
      </pivotArea>
    </format>
    <format dxfId="22">
      <pivotArea dataOnly="0" labelOnly="1" outline="0" offset="IV256" fieldPosition="0">
        <references count="1">
          <reference field="2" count="1" defaultSubtotal="1">
            <x v="3"/>
          </reference>
        </references>
      </pivotArea>
    </format>
    <format dxfId="21">
      <pivotArea outline="0" collapsedLevelsAreSubtotals="1" fieldPosition="0">
        <references count="1">
          <reference field="2" count="1" selected="0" defaultSubtotal="1">
            <x v="3"/>
          </reference>
        </references>
      </pivotArea>
    </format>
    <format dxfId="20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19">
      <pivotArea outline="0" collapsedLevelsAreSubtotals="1" fieldPosition="0">
        <references count="1">
          <reference field="2" count="1" selected="0" defaultSubtotal="1">
            <x v="2"/>
          </reference>
        </references>
      </pivotArea>
    </format>
    <format dxfId="18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17">
      <pivotArea outline="0" collapsedLevelsAreSubtotals="1" fieldPosition="0">
        <references count="1">
          <reference field="2" count="1" selected="0" defaultSubtotal="1">
            <x v="2"/>
          </reference>
        </references>
      </pivotArea>
    </format>
    <format dxfId="16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15">
      <pivotArea outline="0" collapsedLevelsAreSubtotals="1" fieldPosition="0">
        <references count="1">
          <reference field="2" count="1" selected="0" defaultSubtotal="1">
            <x v="1"/>
          </reference>
        </references>
      </pivotArea>
    </format>
    <format dxfId="14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3">
      <pivotArea outline="0" collapsedLevelsAreSubtotals="1" fieldPosition="0">
        <references count="1">
          <reference field="2" count="1" selected="0" defaultSubtotal="1">
            <x v="1"/>
          </reference>
        </references>
      </pivotArea>
    </format>
    <format dxfId="12">
      <pivotArea dataOnly="0" labelOnly="1" outline="0" offset="IV256" fieldPosition="0">
        <references count="1">
          <reference field="2" count="1" defaultSubtotal="1">
            <x v="1"/>
          </reference>
        </references>
      </pivotArea>
    </format>
    <format dxfId="11">
      <pivotArea outline="0" collapsedLevelsAreSubtotals="1" fieldPosition="0">
        <references count="1">
          <reference field="2" count="1" selected="0" defaultSubtotal="1">
            <x v="0"/>
          </reference>
        </references>
      </pivotArea>
    </format>
    <format dxfId="10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9">
      <pivotArea outline="0" collapsedLevelsAreSubtotals="1" fieldPosition="0">
        <references count="1">
          <reference field="2" count="1" selected="0" defaultSubtotal="1">
            <x v="0"/>
          </reference>
        </references>
      </pivotArea>
    </format>
    <format dxfId="8">
      <pivotArea dataOnly="0" labelOnly="1" outline="0" offset="IV256" fieldPosition="0">
        <references count="1">
          <reference field="2" count="1" defaultSubtotal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TE@%2035%2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43"/>
  <sheetViews>
    <sheetView tabSelected="1" zoomScale="85" zoomScaleNormal="85" workbookViewId="0">
      <selection sqref="A1:H40"/>
    </sheetView>
  </sheetViews>
  <sheetFormatPr defaultRowHeight="15" x14ac:dyDescent="0.25"/>
  <cols>
    <col min="1" max="1" width="14" bestFit="1" customWidth="1"/>
    <col min="2" max="2" width="48.42578125" customWidth="1"/>
    <col min="3" max="3" width="16.28515625" customWidth="1"/>
    <col min="4" max="4" width="19.28515625" bestFit="1" customWidth="1"/>
    <col min="5" max="5" width="18.7109375" customWidth="1"/>
    <col min="6" max="6" width="15" bestFit="1" customWidth="1"/>
    <col min="7" max="7" width="14.28515625" customWidth="1"/>
    <col min="8" max="8" width="13.140625" customWidth="1"/>
    <col min="9" max="9" width="9.5703125" style="23" bestFit="1" customWidth="1"/>
    <col min="10" max="10" width="10.5703125" bestFit="1" customWidth="1"/>
  </cols>
  <sheetData>
    <row r="3" spans="1:9" s="90" customFormat="1" ht="63" x14ac:dyDescent="0.25">
      <c r="A3" s="118" t="s">
        <v>0</v>
      </c>
      <c r="B3" s="118" t="s">
        <v>4</v>
      </c>
      <c r="C3" s="119" t="s">
        <v>808</v>
      </c>
      <c r="D3" s="119" t="s">
        <v>824</v>
      </c>
      <c r="E3" s="119" t="s">
        <v>823</v>
      </c>
      <c r="F3" s="119" t="s">
        <v>822</v>
      </c>
      <c r="G3" s="119" t="s">
        <v>1747</v>
      </c>
      <c r="H3" s="119" t="s">
        <v>1748</v>
      </c>
      <c r="I3" s="91"/>
    </row>
    <row r="4" spans="1:9" x14ac:dyDescent="0.25">
      <c r="A4" t="s">
        <v>828</v>
      </c>
      <c r="B4" t="s">
        <v>829</v>
      </c>
      <c r="C4" s="2">
        <v>2008.9</v>
      </c>
      <c r="D4" s="3">
        <v>12658966.421397179</v>
      </c>
      <c r="E4" s="2">
        <v>295676.57575734676</v>
      </c>
      <c r="F4" s="2">
        <v>141.76209990843722</v>
      </c>
      <c r="G4" s="2">
        <f>+'Copy Values'!G2</f>
        <v>1867.1379000915629</v>
      </c>
      <c r="H4" s="109">
        <f>+'Copy Values'!I2</f>
        <v>0.42592481514165892</v>
      </c>
    </row>
    <row r="5" spans="1:9" x14ac:dyDescent="0.25">
      <c r="B5" t="s">
        <v>907</v>
      </c>
      <c r="C5" s="2">
        <v>156.89000000000001</v>
      </c>
      <c r="D5" s="3">
        <v>3146907.5063639102</v>
      </c>
      <c r="E5" s="2">
        <v>90134</v>
      </c>
      <c r="F5" s="2">
        <v>43.215116967946422</v>
      </c>
      <c r="G5" s="2">
        <f>+'Copy Values'!G3</f>
        <v>113.6748830320536</v>
      </c>
      <c r="H5" s="109">
        <f>+'Copy Values'!I3</f>
        <v>0.730164164811683</v>
      </c>
    </row>
    <row r="6" spans="1:9" x14ac:dyDescent="0.25">
      <c r="A6" t="s">
        <v>1247</v>
      </c>
      <c r="B6" s="114"/>
      <c r="C6" s="115">
        <v>2165.79</v>
      </c>
      <c r="D6" s="116">
        <v>15805873.927761089</v>
      </c>
      <c r="E6" s="115">
        <v>385810.57575734676</v>
      </c>
      <c r="F6" s="115">
        <v>184.97721687638364</v>
      </c>
      <c r="G6" s="115">
        <f>+'Copy Values'!G4</f>
        <v>1980.8127831236163</v>
      </c>
      <c r="H6" s="117">
        <f>+'Copy Values'!I4</f>
        <v>0.44338450279217517</v>
      </c>
    </row>
    <row r="7" spans="1:9" x14ac:dyDescent="0.25">
      <c r="A7" t="s">
        <v>924</v>
      </c>
      <c r="B7" t="s">
        <v>925</v>
      </c>
      <c r="C7" s="2">
        <v>1432.0600000000002</v>
      </c>
      <c r="D7" s="3">
        <v>2750028.56629495</v>
      </c>
      <c r="E7" s="2">
        <v>57447.542063971341</v>
      </c>
      <c r="F7" s="2">
        <v>27.544065814421753</v>
      </c>
      <c r="G7" s="2">
        <f>+'Copy Values'!G5</f>
        <v>1404.5159341855783</v>
      </c>
      <c r="H7" s="109">
        <f>+'Copy Values'!I5</f>
        <v>0.36961107392519077</v>
      </c>
    </row>
    <row r="8" spans="1:9" x14ac:dyDescent="0.25">
      <c r="B8" t="s">
        <v>977</v>
      </c>
      <c r="C8" s="2">
        <v>1435.8200000000011</v>
      </c>
      <c r="D8" s="3">
        <v>4249339.6936783791</v>
      </c>
      <c r="E8" s="2">
        <v>95486.15462544655</v>
      </c>
      <c r="F8" s="2">
        <v>45.780312764297378</v>
      </c>
      <c r="G8" s="2">
        <f>+'Copy Values'!G6</f>
        <v>1390.0396872357037</v>
      </c>
      <c r="H8" s="109">
        <f>+'Copy Values'!I6</f>
        <v>0.38293453646301145</v>
      </c>
    </row>
    <row r="9" spans="1:9" x14ac:dyDescent="0.25">
      <c r="B9" t="s">
        <v>1037</v>
      </c>
      <c r="C9" s="2">
        <v>620.64999999999986</v>
      </c>
      <c r="D9" s="3">
        <v>-1433693.8721023258</v>
      </c>
      <c r="E9" s="2">
        <v>-21178.365470401579</v>
      </c>
      <c r="F9" s="2">
        <v>-10.154276041002207</v>
      </c>
      <c r="G9" s="2">
        <f>+'Copy Values'!G7</f>
        <v>630.80427604100203</v>
      </c>
      <c r="H9" s="109">
        <f>+'Copy Values'!I7</f>
        <v>0.33390265185782886</v>
      </c>
    </row>
    <row r="10" spans="1:9" x14ac:dyDescent="0.25">
      <c r="B10" t="s">
        <v>1084</v>
      </c>
      <c r="C10" s="2">
        <v>1497.71</v>
      </c>
      <c r="D10" s="3">
        <v>1501061.9616215657</v>
      </c>
      <c r="E10" s="2">
        <v>32493.940071453275</v>
      </c>
      <c r="F10" s="2">
        <v>15.579920981532643</v>
      </c>
      <c r="G10" s="2">
        <f>+'Copy Values'!G8</f>
        <v>1482.1300790184673</v>
      </c>
      <c r="H10" s="109">
        <f>+'Copy Values'!I8</f>
        <v>0.36051184454191115</v>
      </c>
    </row>
    <row r="11" spans="1:9" x14ac:dyDescent="0.25">
      <c r="B11" t="s">
        <v>1148</v>
      </c>
      <c r="C11" s="2">
        <v>966.39000000000021</v>
      </c>
      <c r="D11" s="3">
        <v>6038060.4664671263</v>
      </c>
      <c r="E11" s="2">
        <v>146395.68283860572</v>
      </c>
      <c r="F11" s="2">
        <v>93.683794676957888</v>
      </c>
      <c r="G11" s="2">
        <f>+'Copy Values'!G9</f>
        <v>872.70620532304235</v>
      </c>
      <c r="H11" s="109">
        <f>+'Copy Values'!I9</f>
        <v>0.45734860610081229</v>
      </c>
    </row>
    <row r="12" spans="1:9" x14ac:dyDescent="0.25">
      <c r="B12" t="s">
        <v>1193</v>
      </c>
      <c r="C12" s="2">
        <v>885.1</v>
      </c>
      <c r="D12" s="3">
        <v>-2996422.1995007317</v>
      </c>
      <c r="E12" s="2">
        <v>-102261.87170098527</v>
      </c>
      <c r="F12" s="2">
        <v>-49.030431112759238</v>
      </c>
      <c r="G12" s="2">
        <f>+'Copy Values'!G10</f>
        <v>934.13043111275931</v>
      </c>
      <c r="H12" s="109">
        <f>+'Copy Values'!I10</f>
        <v>0.29751222154881196</v>
      </c>
    </row>
    <row r="13" spans="1:9" x14ac:dyDescent="0.25">
      <c r="A13" t="s">
        <v>1248</v>
      </c>
      <c r="B13" s="114"/>
      <c r="C13" s="115">
        <v>6837.7300000000014</v>
      </c>
      <c r="D13" s="116">
        <v>10108374.616458964</v>
      </c>
      <c r="E13" s="115">
        <v>208383.08242809001</v>
      </c>
      <c r="F13" s="115">
        <v>123.40338708344822</v>
      </c>
      <c r="G13" s="115">
        <f>+'Copy Values'!G11</f>
        <v>6714.3266129165531</v>
      </c>
      <c r="H13" s="117">
        <f>+'Copy Values'!I11</f>
        <v>0.36837911591105105</v>
      </c>
    </row>
    <row r="14" spans="1:9" x14ac:dyDescent="0.25">
      <c r="A14" t="s">
        <v>297</v>
      </c>
      <c r="B14" t="s">
        <v>363</v>
      </c>
      <c r="C14" s="2">
        <v>678.31999999999994</v>
      </c>
      <c r="D14" s="3">
        <v>-3016554.6736541195</v>
      </c>
      <c r="E14" s="2">
        <v>-90834.126082991337</v>
      </c>
      <c r="F14" s="2">
        <v>-43.552068726286258</v>
      </c>
      <c r="G14" s="2">
        <f>+'Copy Values'!G12</f>
        <v>721.87206872628622</v>
      </c>
      <c r="H14" s="109">
        <f>+'Copy Values'!I12</f>
        <v>0.28966788491604595</v>
      </c>
    </row>
    <row r="15" spans="1:9" x14ac:dyDescent="0.25">
      <c r="B15" t="s">
        <v>350</v>
      </c>
      <c r="C15" s="2">
        <v>91.92</v>
      </c>
      <c r="D15" s="3">
        <v>-467770.34748005611</v>
      </c>
      <c r="E15" s="2">
        <v>-5167</v>
      </c>
      <c r="F15" s="2">
        <v>-2.4767460677614688</v>
      </c>
      <c r="G15" s="2">
        <f>+'Copy Values'!G13</f>
        <v>94.39674606776147</v>
      </c>
      <c r="H15" s="109">
        <f>+'Copy Values'!I13</f>
        <v>0.32376237877962899</v>
      </c>
    </row>
    <row r="16" spans="1:9" x14ac:dyDescent="0.25">
      <c r="B16" t="s">
        <v>397</v>
      </c>
      <c r="C16" s="2">
        <v>2676.7400000000007</v>
      </c>
      <c r="D16" s="3">
        <v>6052964.0885800021</v>
      </c>
      <c r="E16" s="2">
        <v>152401.4443184991</v>
      </c>
      <c r="F16" s="2">
        <v>73.070407825324452</v>
      </c>
      <c r="G16" s="2">
        <f>+'Copy Values'!G14</f>
        <v>2603.6695921746764</v>
      </c>
      <c r="H16" s="109">
        <f>+'Copy Values'!I14</f>
        <v>0.37806439344106385</v>
      </c>
    </row>
    <row r="17" spans="1:8" x14ac:dyDescent="0.25">
      <c r="B17" t="s">
        <v>471</v>
      </c>
      <c r="C17" s="2">
        <v>489.2399999999999</v>
      </c>
      <c r="D17" s="3">
        <v>2698744.5087671387</v>
      </c>
      <c r="E17" s="2">
        <v>85540</v>
      </c>
      <c r="F17" s="2">
        <v>41.012147913111782</v>
      </c>
      <c r="G17" s="2">
        <f>+'Copy Values'!G15</f>
        <v>448.22785208688811</v>
      </c>
      <c r="H17" s="109">
        <f>+'Copy Values'!I15</f>
        <v>0.44149843706089387</v>
      </c>
    </row>
    <row r="18" spans="1:8" x14ac:dyDescent="0.25">
      <c r="B18" t="s">
        <v>508</v>
      </c>
      <c r="C18" s="2">
        <v>94.21</v>
      </c>
      <c r="D18" s="3">
        <v>1480000.3859442475</v>
      </c>
      <c r="E18" s="2">
        <v>39321</v>
      </c>
      <c r="F18" s="2">
        <v>18.852517349329815</v>
      </c>
      <c r="G18" s="2">
        <f>+'Copy Values'!G16</f>
        <v>75.357482650670178</v>
      </c>
      <c r="H18" s="109">
        <f>+'Copy Values'!I16</f>
        <v>0.60017445761455712</v>
      </c>
    </row>
    <row r="19" spans="1:8" x14ac:dyDescent="0.25">
      <c r="B19" t="s">
        <v>460</v>
      </c>
      <c r="C19" s="2">
        <v>51.82</v>
      </c>
      <c r="D19" s="3">
        <v>-241486.68630655907</v>
      </c>
      <c r="E19" s="2">
        <v>-7107</v>
      </c>
      <c r="F19" s="2">
        <v>-3.4077538233579712</v>
      </c>
      <c r="G19" s="2">
        <f>+'Copy Values'!G17</f>
        <v>55.227753823357972</v>
      </c>
      <c r="H19" s="109">
        <f>+'Copy Values'!I17</f>
        <v>0.2882963530572431</v>
      </c>
    </row>
    <row r="20" spans="1:8" x14ac:dyDescent="0.25">
      <c r="B20" t="s">
        <v>300</v>
      </c>
      <c r="C20" s="2">
        <v>910.45000000000016</v>
      </c>
      <c r="D20" s="3">
        <v>4972397.8702384746</v>
      </c>
      <c r="E20" s="2">
        <v>89554.055614479817</v>
      </c>
      <c r="F20" s="2">
        <v>42.9376198170945</v>
      </c>
      <c r="G20" s="2">
        <f>+'Copy Values'!G18</f>
        <v>867.51238018290564</v>
      </c>
      <c r="H20" s="109">
        <f>+'Copy Values'!I18</f>
        <v>0.3994951090012589</v>
      </c>
    </row>
    <row r="21" spans="1:8" x14ac:dyDescent="0.25">
      <c r="A21" s="114" t="s">
        <v>825</v>
      </c>
      <c r="B21" s="114"/>
      <c r="C21" s="115">
        <v>4992.7000000000007</v>
      </c>
      <c r="D21" s="116">
        <v>11478295.146089127</v>
      </c>
      <c r="E21" s="115">
        <v>263708.37384998758</v>
      </c>
      <c r="F21" s="115">
        <v>126.43612428745486</v>
      </c>
      <c r="G21" s="115">
        <f>+'Copy Values'!G19</f>
        <v>4866.263875712546</v>
      </c>
      <c r="H21" s="117">
        <f>+'Copy Values'!I19</f>
        <v>0.37598217596018491</v>
      </c>
    </row>
    <row r="22" spans="1:8" x14ac:dyDescent="0.25">
      <c r="A22" t="s">
        <v>185</v>
      </c>
      <c r="B22" t="s">
        <v>617</v>
      </c>
      <c r="C22" s="2">
        <v>1060.8100000000002</v>
      </c>
      <c r="D22" s="3">
        <v>5723166.4213653449</v>
      </c>
      <c r="E22" s="2">
        <v>112432</v>
      </c>
      <c r="F22" s="2">
        <v>53.905416931639394</v>
      </c>
      <c r="G22" s="2">
        <f>+'Copy Values'!G20</f>
        <v>1006.9045830683608</v>
      </c>
      <c r="H22" s="109">
        <f>+'Copy Values'!I20</f>
        <v>0.40353577472790153</v>
      </c>
    </row>
    <row r="23" spans="1:8" x14ac:dyDescent="0.25">
      <c r="B23" t="s">
        <v>201</v>
      </c>
      <c r="C23" s="2">
        <v>1614.2099999999989</v>
      </c>
      <c r="D23" s="3">
        <v>-2770268.8474106258</v>
      </c>
      <c r="E23" s="2">
        <v>-66743</v>
      </c>
      <c r="F23" s="2">
        <v>-32.000589437324223</v>
      </c>
      <c r="G23" s="2">
        <f>+'Copy Values'!G21</f>
        <v>1646.2105894373231</v>
      </c>
      <c r="H23" s="109">
        <f>+'Copy Values'!I21</f>
        <v>0.33056105965867821</v>
      </c>
    </row>
    <row r="24" spans="1:8" x14ac:dyDescent="0.25">
      <c r="B24" t="s">
        <v>720</v>
      </c>
      <c r="C24" s="2">
        <v>307.45999999999998</v>
      </c>
      <c r="D24" s="3">
        <v>-1244337.6783526617</v>
      </c>
      <c r="E24" s="2">
        <v>-15166</v>
      </c>
      <c r="F24" s="2">
        <v>-7.2715121460407959</v>
      </c>
      <c r="G24" s="2">
        <f>+'Copy Values'!G22</f>
        <v>314.73151214604076</v>
      </c>
      <c r="H24" s="109">
        <f>+'Copy Values'!I22</f>
        <v>0.32689614205943668</v>
      </c>
    </row>
    <row r="25" spans="1:8" x14ac:dyDescent="0.25">
      <c r="B25" t="s">
        <v>669</v>
      </c>
      <c r="C25" s="2">
        <v>856.8</v>
      </c>
      <c r="D25" s="3">
        <v>2687997.4049200695</v>
      </c>
      <c r="E25" s="2">
        <v>81758</v>
      </c>
      <c r="F25" s="2">
        <v>39.197777098771198</v>
      </c>
      <c r="G25" s="2">
        <f>+'Copy Values'!G23</f>
        <v>817.60222290122874</v>
      </c>
      <c r="H25" s="109">
        <f>+'Copy Values'!I23</f>
        <v>0.39794235632050928</v>
      </c>
    </row>
    <row r="26" spans="1:8" x14ac:dyDescent="0.25">
      <c r="B26" t="s">
        <v>522</v>
      </c>
      <c r="C26" s="2">
        <v>2829.9999999999995</v>
      </c>
      <c r="D26" s="3">
        <v>26357838.357851882</v>
      </c>
      <c r="E26" s="2">
        <v>703384</v>
      </c>
      <c r="F26" s="2">
        <v>337.23817034247344</v>
      </c>
      <c r="G26" s="2">
        <f>+'Copy Values'!G24</f>
        <v>2492.7618296575261</v>
      </c>
      <c r="H26" s="109">
        <f>+'Copy Values'!I24</f>
        <v>0.48528696016209683</v>
      </c>
    </row>
    <row r="27" spans="1:8" x14ac:dyDescent="0.25">
      <c r="B27" t="s">
        <v>743</v>
      </c>
      <c r="C27" s="2">
        <v>427.18000000000006</v>
      </c>
      <c r="D27" s="3">
        <v>-2731394.0630560392</v>
      </c>
      <c r="E27" s="2">
        <v>-71368</v>
      </c>
      <c r="F27" s="2">
        <v>-34.218534657621667</v>
      </c>
      <c r="G27" s="2">
        <f>+'Copy Values'!G25</f>
        <v>461.39853465762172</v>
      </c>
      <c r="H27" s="109">
        <f>+'Copy Values'!I25</f>
        <v>0.27583735732274628</v>
      </c>
    </row>
    <row r="28" spans="1:8" x14ac:dyDescent="0.25">
      <c r="B28" t="s">
        <v>1590</v>
      </c>
      <c r="C28" s="2">
        <v>578.41999999999985</v>
      </c>
      <c r="D28" s="3">
        <v>-1197459.4308243161</v>
      </c>
      <c r="E28" s="2">
        <v>-25905</v>
      </c>
      <c r="F28" s="2">
        <v>-12.422659954745614</v>
      </c>
      <c r="G28" s="2">
        <f>+'Copy Values'!G26</f>
        <v>590.8426599547455</v>
      </c>
      <c r="H28" s="109">
        <f>+'Copy Values'!I26</f>
        <v>0.32897467329847657</v>
      </c>
    </row>
    <row r="29" spans="1:8" x14ac:dyDescent="0.25">
      <c r="B29" t="s">
        <v>1641</v>
      </c>
      <c r="C29" s="2">
        <v>2588.3399999999992</v>
      </c>
      <c r="D29" s="3">
        <v>542256.88049400179</v>
      </c>
      <c r="E29" s="2">
        <v>52365.497703914283</v>
      </c>
      <c r="F29" s="2">
        <v>25.107534119113804</v>
      </c>
      <c r="G29" s="2">
        <f>+'Copy Values'!G27</f>
        <v>2563.2324658808852</v>
      </c>
      <c r="H29" s="109">
        <f>+'Copy Values'!I27</f>
        <v>0.35979526221414537</v>
      </c>
    </row>
    <row r="30" spans="1:8" x14ac:dyDescent="0.25">
      <c r="A30" t="s">
        <v>827</v>
      </c>
      <c r="B30" s="114"/>
      <c r="C30" s="115">
        <v>10263.219999999998</v>
      </c>
      <c r="D30" s="116">
        <v>27367799.044987652</v>
      </c>
      <c r="E30" s="115">
        <v>770757.4977039143</v>
      </c>
      <c r="F30" s="115">
        <v>369.53560229626555</v>
      </c>
      <c r="G30" s="115">
        <f>+'Copy Values'!G28</f>
        <v>9893.6843977037315</v>
      </c>
      <c r="H30" s="117">
        <f>+'Copy Values'!I28</f>
        <v>0.38735065597827567</v>
      </c>
    </row>
    <row r="31" spans="1:8" x14ac:dyDescent="0.25">
      <c r="A31" t="s">
        <v>1249</v>
      </c>
      <c r="B31" t="s">
        <v>1250</v>
      </c>
      <c r="C31" s="2">
        <v>174.4</v>
      </c>
      <c r="D31" s="3">
        <v>36770.041268433211</v>
      </c>
      <c r="E31" s="2">
        <v>10651.92245783675</v>
      </c>
      <c r="F31" s="2">
        <v>5.1066652798849956</v>
      </c>
      <c r="G31" s="2">
        <f>+'Copy Values'!G29</f>
        <v>169.29333472011501</v>
      </c>
      <c r="H31" s="109">
        <f>+'Copy Values'!I29</f>
        <v>0.38016459737371</v>
      </c>
    </row>
    <row r="32" spans="1:8" x14ac:dyDescent="0.25">
      <c r="B32" t="s">
        <v>1276</v>
      </c>
      <c r="C32" s="2">
        <v>658.32000000000016</v>
      </c>
      <c r="D32" s="3">
        <v>1013938.1912106859</v>
      </c>
      <c r="E32" s="2">
        <v>34672.632147970355</v>
      </c>
      <c r="F32" s="2">
        <v>16.622580978547241</v>
      </c>
      <c r="G32" s="2">
        <f>+'Copy Values'!G30</f>
        <v>641.6974190214529</v>
      </c>
      <c r="H32" s="109">
        <f>+'Copy Values'!I30</f>
        <v>0.37590407953314753</v>
      </c>
    </row>
    <row r="33" spans="1:10" x14ac:dyDescent="0.25">
      <c r="B33" t="s">
        <v>1327</v>
      </c>
      <c r="C33" s="2">
        <v>268.52</v>
      </c>
      <c r="D33" s="3">
        <v>-483752.73728452396</v>
      </c>
      <c r="E33" s="2">
        <v>-10695.645401906553</v>
      </c>
      <c r="F33" s="2">
        <v>-5.1274930949228832</v>
      </c>
      <c r="G33" s="2">
        <f>+'Copy Values'!G31</f>
        <v>273.64749309492288</v>
      </c>
      <c r="H33" s="109">
        <f>+'Copy Values'!I31</f>
        <v>0.33126241524476796</v>
      </c>
    </row>
    <row r="34" spans="1:10" x14ac:dyDescent="0.25">
      <c r="B34" t="s">
        <v>1357</v>
      </c>
      <c r="C34" s="2">
        <v>299.02999999999997</v>
      </c>
      <c r="D34" s="3">
        <v>33089.386778239365</v>
      </c>
      <c r="E34" s="2">
        <v>-6553.7390613953594</v>
      </c>
      <c r="F34" s="2">
        <v>-3.1426662146363169</v>
      </c>
      <c r="G34" s="2">
        <f>+'Copy Values'!G32</f>
        <v>302.17266621463631</v>
      </c>
      <c r="H34" s="109">
        <f>+'Copy Values'!I32</f>
        <v>0.33959976673600234</v>
      </c>
    </row>
    <row r="35" spans="1:10" x14ac:dyDescent="0.25">
      <c r="B35" t="s">
        <v>1389</v>
      </c>
      <c r="C35" s="2">
        <v>2033.67</v>
      </c>
      <c r="D35" s="3">
        <v>6626963.7474334612</v>
      </c>
      <c r="E35" s="2">
        <v>188856.25794752059</v>
      </c>
      <c r="F35" s="2">
        <v>90.548221522634336</v>
      </c>
      <c r="G35" s="2">
        <f>+'Copy Values'!G33</f>
        <v>1943.1217784773658</v>
      </c>
      <c r="H35" s="109">
        <f>+'Copy Values'!I33</f>
        <v>0.39659935497897003</v>
      </c>
    </row>
    <row r="36" spans="1:10" x14ac:dyDescent="0.25">
      <c r="B36" t="s">
        <v>1461</v>
      </c>
      <c r="C36" s="2">
        <v>141.23000000000005</v>
      </c>
      <c r="D36" s="3">
        <v>1376507.9727715652</v>
      </c>
      <c r="E36" s="2">
        <v>25804.758547597514</v>
      </c>
      <c r="F36" s="2">
        <v>12.372664601051612</v>
      </c>
      <c r="G36" s="2">
        <f>+'Copy Values'!G34</f>
        <v>128.85733539894844</v>
      </c>
      <c r="H36" s="109">
        <f>+'Copy Values'!I34</f>
        <v>0.44601831795407887</v>
      </c>
    </row>
    <row r="37" spans="1:10" x14ac:dyDescent="0.25">
      <c r="B37" t="s">
        <v>1480</v>
      </c>
      <c r="C37" s="2">
        <v>2237.83</v>
      </c>
      <c r="D37" s="3">
        <v>2212283.6104626018</v>
      </c>
      <c r="E37" s="2">
        <v>42135.567410429387</v>
      </c>
      <c r="F37" s="2">
        <v>20.202543837407475</v>
      </c>
      <c r="G37" s="2">
        <f>+'Copy Values'!G35</f>
        <v>2217.6274561625924</v>
      </c>
      <c r="H37" s="109">
        <f>+'Copy Values'!I35</f>
        <v>0.3591099809308666</v>
      </c>
    </row>
    <row r="38" spans="1:10" x14ac:dyDescent="0.25">
      <c r="B38" t="s">
        <v>1557</v>
      </c>
      <c r="C38" s="2">
        <v>421.62000000000006</v>
      </c>
      <c r="D38" s="3">
        <v>-1122793.8659543204</v>
      </c>
      <c r="E38" s="2">
        <v>-48687</v>
      </c>
      <c r="F38" s="2">
        <v>-23.343457268964279</v>
      </c>
      <c r="G38" s="2">
        <f>+'Copy Values'!G36</f>
        <v>444.96345726896436</v>
      </c>
      <c r="H38" s="109">
        <f>+'Copy Values'!I36</f>
        <v>0.29753848459323251</v>
      </c>
    </row>
    <row r="39" spans="1:10" x14ac:dyDescent="0.25">
      <c r="A39" s="114" t="s">
        <v>1589</v>
      </c>
      <c r="B39" s="114"/>
      <c r="C39" s="115">
        <v>6234.62</v>
      </c>
      <c r="D39" s="116">
        <v>9693006.3466861416</v>
      </c>
      <c r="E39" s="115">
        <v>236184.75404805271</v>
      </c>
      <c r="F39" s="115">
        <v>113.23905964100217</v>
      </c>
      <c r="G39" s="115">
        <f>+'Copy Values'!G37</f>
        <v>6121.3809403589976</v>
      </c>
      <c r="H39" s="117">
        <f>+'Copy Values'!I37</f>
        <v>0.36849894014835827</v>
      </c>
    </row>
    <row r="40" spans="1:10" ht="15.75" thickBot="1" x14ac:dyDescent="0.3">
      <c r="A40" s="110" t="s">
        <v>807</v>
      </c>
      <c r="B40" s="110"/>
      <c r="C40" s="111">
        <v>30494.059999999994</v>
      </c>
      <c r="D40" s="112">
        <v>74453349.081982985</v>
      </c>
      <c r="E40" s="111">
        <v>1864844.2837873916</v>
      </c>
      <c r="F40" s="111">
        <v>917.59139018455437</v>
      </c>
      <c r="G40" s="111">
        <f>+'Copy Values'!G38</f>
        <v>29576.468609815438</v>
      </c>
      <c r="H40" s="113">
        <f>+'Copy Values'!I38</f>
        <v>0.38102437286512414</v>
      </c>
    </row>
    <row r="41" spans="1:10" ht="15.75" thickTop="1" x14ac:dyDescent="0.25">
      <c r="H41" t="s">
        <v>1058</v>
      </c>
    </row>
    <row r="42" spans="1:10" x14ac:dyDescent="0.25">
      <c r="J42" t="s">
        <v>1058</v>
      </c>
    </row>
    <row r="43" spans="1:10" x14ac:dyDescent="0.25">
      <c r="J43" s="24"/>
    </row>
  </sheetData>
  <pageMargins left="0.7" right="0.7" top="0.75" bottom="0.75" header="0.3" footer="0.3"/>
  <pageSetup scale="76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47" sqref="B47"/>
    </sheetView>
  </sheetViews>
  <sheetFormatPr defaultRowHeight="15" x14ac:dyDescent="0.25"/>
  <cols>
    <col min="1" max="1" width="13.7109375" bestFit="1" customWidth="1"/>
    <col min="2" max="2" width="46.5703125" bestFit="1" customWidth="1"/>
    <col min="3" max="3" width="14.7109375" customWidth="1"/>
    <col min="4" max="4" width="16.5703125" customWidth="1"/>
    <col min="5" max="5" width="11.5703125" customWidth="1"/>
    <col min="6" max="6" width="19" customWidth="1"/>
  </cols>
  <sheetData>
    <row r="1" spans="1:9" s="107" customFormat="1" ht="60" x14ac:dyDescent="0.25">
      <c r="A1" s="107" t="s">
        <v>0</v>
      </c>
      <c r="B1" s="107" t="s">
        <v>4</v>
      </c>
      <c r="C1" s="107" t="s">
        <v>808</v>
      </c>
      <c r="D1" s="107" t="s">
        <v>824</v>
      </c>
      <c r="E1" s="107" t="s">
        <v>823</v>
      </c>
      <c r="F1" s="107" t="s">
        <v>822</v>
      </c>
      <c r="G1" s="108" t="s">
        <v>1744</v>
      </c>
      <c r="H1" s="107" t="s">
        <v>1745</v>
      </c>
      <c r="I1" s="107" t="s">
        <v>1746</v>
      </c>
    </row>
    <row r="2" spans="1:9" x14ac:dyDescent="0.25">
      <c r="A2" t="s">
        <v>828</v>
      </c>
      <c r="B2" t="s">
        <v>829</v>
      </c>
      <c r="C2" s="2">
        <v>2008.9</v>
      </c>
      <c r="D2" s="3">
        <v>12658966.421397179</v>
      </c>
      <c r="E2" s="2">
        <v>295676.57575734676</v>
      </c>
      <c r="F2" s="2">
        <v>141.76209990843722</v>
      </c>
      <c r="G2" s="2">
        <f>+C2-F2</f>
        <v>1867.1379000915629</v>
      </c>
      <c r="H2" s="109">
        <f>+F2/G2</f>
        <v>7.5924815141658969E-2</v>
      </c>
      <c r="I2" s="109">
        <f>+H2+0.35</f>
        <v>0.42592481514165892</v>
      </c>
    </row>
    <row r="3" spans="1:9" x14ac:dyDescent="0.25">
      <c r="B3" t="s">
        <v>907</v>
      </c>
      <c r="C3" s="2">
        <v>156.89000000000001</v>
      </c>
      <c r="D3" s="3">
        <v>3146907.5063639102</v>
      </c>
      <c r="E3" s="2">
        <v>90134</v>
      </c>
      <c r="F3" s="2">
        <v>43.215116967946422</v>
      </c>
      <c r="G3" s="2">
        <f t="shared" ref="G3:G38" si="0">+C3-F3</f>
        <v>113.6748830320536</v>
      </c>
      <c r="H3" s="109">
        <f t="shared" ref="H3:H38" si="1">+F3/G3</f>
        <v>0.38016416481168308</v>
      </c>
      <c r="I3" s="109">
        <f t="shared" ref="I3:I38" si="2">+H3+0.35</f>
        <v>0.730164164811683</v>
      </c>
    </row>
    <row r="4" spans="1:9" x14ac:dyDescent="0.25">
      <c r="A4" t="s">
        <v>1247</v>
      </c>
      <c r="C4" s="2">
        <v>2165.79</v>
      </c>
      <c r="D4" s="3">
        <v>15805873.927761089</v>
      </c>
      <c r="E4" s="2">
        <v>385810.57575734676</v>
      </c>
      <c r="F4" s="2">
        <v>184.97721687638364</v>
      </c>
      <c r="G4" s="2">
        <f t="shared" si="0"/>
        <v>1980.8127831236163</v>
      </c>
      <c r="H4" s="109">
        <f t="shared" si="1"/>
        <v>9.3384502792175181E-2</v>
      </c>
      <c r="I4" s="109">
        <f t="shared" si="2"/>
        <v>0.44338450279217517</v>
      </c>
    </row>
    <row r="5" spans="1:9" x14ac:dyDescent="0.25">
      <c r="A5" t="s">
        <v>924</v>
      </c>
      <c r="B5" t="s">
        <v>925</v>
      </c>
      <c r="C5" s="2">
        <v>1432.0600000000002</v>
      </c>
      <c r="D5" s="3">
        <v>2750028.56629495</v>
      </c>
      <c r="E5" s="2">
        <v>57447.542063971341</v>
      </c>
      <c r="F5" s="2">
        <v>27.544065814421753</v>
      </c>
      <c r="G5" s="2">
        <f t="shared" si="0"/>
        <v>1404.5159341855783</v>
      </c>
      <c r="H5" s="109">
        <f t="shared" si="1"/>
        <v>1.9611073925190771E-2</v>
      </c>
      <c r="I5" s="109">
        <f t="shared" si="2"/>
        <v>0.36961107392519077</v>
      </c>
    </row>
    <row r="6" spans="1:9" x14ac:dyDescent="0.25">
      <c r="B6" t="s">
        <v>977</v>
      </c>
      <c r="C6" s="2">
        <v>1435.8200000000011</v>
      </c>
      <c r="D6" s="3">
        <v>4249339.6936783791</v>
      </c>
      <c r="E6" s="2">
        <v>95486.15462544655</v>
      </c>
      <c r="F6" s="2">
        <v>45.780312764297378</v>
      </c>
      <c r="G6" s="2">
        <f t="shared" si="0"/>
        <v>1390.0396872357037</v>
      </c>
      <c r="H6" s="109">
        <f t="shared" si="1"/>
        <v>3.2934536463011498E-2</v>
      </c>
      <c r="I6" s="109">
        <f t="shared" si="2"/>
        <v>0.38293453646301145</v>
      </c>
    </row>
    <row r="7" spans="1:9" x14ac:dyDescent="0.25">
      <c r="B7" t="s">
        <v>1037</v>
      </c>
      <c r="C7" s="2">
        <v>620.64999999999986</v>
      </c>
      <c r="D7" s="3">
        <v>-1433693.8721023258</v>
      </c>
      <c r="E7" s="2">
        <v>-21178.365470401579</v>
      </c>
      <c r="F7" s="2">
        <v>-10.154276041002207</v>
      </c>
      <c r="G7" s="2">
        <f t="shared" si="0"/>
        <v>630.80427604100203</v>
      </c>
      <c r="H7" s="109">
        <f t="shared" si="1"/>
        <v>-1.6097348142171095E-2</v>
      </c>
      <c r="I7" s="109">
        <f t="shared" si="2"/>
        <v>0.33390265185782886</v>
      </c>
    </row>
    <row r="8" spans="1:9" x14ac:dyDescent="0.25">
      <c r="B8" t="s">
        <v>1084</v>
      </c>
      <c r="C8" s="2">
        <v>1497.71</v>
      </c>
      <c r="D8" s="3">
        <v>1501061.9616215657</v>
      </c>
      <c r="E8" s="2">
        <v>32493.940071453275</v>
      </c>
      <c r="F8" s="2">
        <v>15.579920981532643</v>
      </c>
      <c r="G8" s="2">
        <f t="shared" si="0"/>
        <v>1482.1300790184673</v>
      </c>
      <c r="H8" s="109">
        <f t="shared" si="1"/>
        <v>1.0511844541911168E-2</v>
      </c>
      <c r="I8" s="109">
        <f t="shared" si="2"/>
        <v>0.36051184454191115</v>
      </c>
    </row>
    <row r="9" spans="1:9" x14ac:dyDescent="0.25">
      <c r="B9" t="s">
        <v>1148</v>
      </c>
      <c r="C9" s="2">
        <v>966.39000000000021</v>
      </c>
      <c r="D9" s="3">
        <v>6038060.4664671263</v>
      </c>
      <c r="E9" s="2">
        <v>146395.68283860572</v>
      </c>
      <c r="F9" s="2">
        <v>93.683794676957888</v>
      </c>
      <c r="G9" s="2">
        <f t="shared" si="0"/>
        <v>872.70620532304235</v>
      </c>
      <c r="H9" s="109">
        <f t="shared" si="1"/>
        <v>0.10734860610081229</v>
      </c>
      <c r="I9" s="109">
        <f t="shared" si="2"/>
        <v>0.45734860610081229</v>
      </c>
    </row>
    <row r="10" spans="1:9" x14ac:dyDescent="0.25">
      <c r="B10" t="s">
        <v>1193</v>
      </c>
      <c r="C10" s="2">
        <v>885.1</v>
      </c>
      <c r="D10" s="3">
        <v>-2996422.1995007317</v>
      </c>
      <c r="E10" s="2">
        <v>-102261.87170098527</v>
      </c>
      <c r="F10" s="2">
        <v>-49.030431112759238</v>
      </c>
      <c r="G10" s="2">
        <f t="shared" si="0"/>
        <v>934.13043111275931</v>
      </c>
      <c r="H10" s="109">
        <f t="shared" si="1"/>
        <v>-5.2487778451187996E-2</v>
      </c>
      <c r="I10" s="109">
        <f t="shared" si="2"/>
        <v>0.29751222154881196</v>
      </c>
    </row>
    <row r="11" spans="1:9" x14ac:dyDescent="0.25">
      <c r="A11" t="s">
        <v>1248</v>
      </c>
      <c r="C11" s="2">
        <v>6837.7300000000014</v>
      </c>
      <c r="D11" s="3">
        <v>10108374.616458964</v>
      </c>
      <c r="E11" s="2">
        <v>208383.08242809001</v>
      </c>
      <c r="F11" s="2">
        <v>123.40338708344822</v>
      </c>
      <c r="G11" s="2">
        <f t="shared" si="0"/>
        <v>6714.3266129165531</v>
      </c>
      <c r="H11" s="109">
        <f t="shared" si="1"/>
        <v>1.8379115911051066E-2</v>
      </c>
      <c r="I11" s="109">
        <f t="shared" si="2"/>
        <v>0.36837911591105105</v>
      </c>
    </row>
    <row r="12" spans="1:9" x14ac:dyDescent="0.25">
      <c r="A12" t="s">
        <v>297</v>
      </c>
      <c r="B12" t="s">
        <v>363</v>
      </c>
      <c r="C12" s="2">
        <v>678.31999999999994</v>
      </c>
      <c r="D12" s="3">
        <v>-3016554.6736541195</v>
      </c>
      <c r="E12" s="2">
        <v>-90834.126082991337</v>
      </c>
      <c r="F12" s="2">
        <v>-43.552068726286258</v>
      </c>
      <c r="G12" s="2">
        <f t="shared" si="0"/>
        <v>721.87206872628622</v>
      </c>
      <c r="H12" s="109">
        <f t="shared" si="1"/>
        <v>-6.0332115083954009E-2</v>
      </c>
      <c r="I12" s="109">
        <f t="shared" si="2"/>
        <v>0.28966788491604595</v>
      </c>
    </row>
    <row r="13" spans="1:9" x14ac:dyDescent="0.25">
      <c r="B13" t="s">
        <v>350</v>
      </c>
      <c r="C13" s="2">
        <v>91.92</v>
      </c>
      <c r="D13" s="3">
        <v>-467770.34748005611</v>
      </c>
      <c r="E13" s="2">
        <v>-5167</v>
      </c>
      <c r="F13" s="2">
        <v>-2.4767460677614688</v>
      </c>
      <c r="G13" s="2">
        <f t="shared" si="0"/>
        <v>94.39674606776147</v>
      </c>
      <c r="H13" s="109">
        <f t="shared" si="1"/>
        <v>-2.6237621220370974E-2</v>
      </c>
      <c r="I13" s="109">
        <f t="shared" si="2"/>
        <v>0.32376237877962899</v>
      </c>
    </row>
    <row r="14" spans="1:9" x14ac:dyDescent="0.25">
      <c r="B14" t="s">
        <v>397</v>
      </c>
      <c r="C14" s="2">
        <v>2676.7400000000007</v>
      </c>
      <c r="D14" s="3">
        <v>6052964.0885800021</v>
      </c>
      <c r="E14" s="2">
        <v>152401.4443184991</v>
      </c>
      <c r="F14" s="2">
        <v>73.070407825324452</v>
      </c>
      <c r="G14" s="2">
        <f t="shared" si="0"/>
        <v>2603.6695921746764</v>
      </c>
      <c r="H14" s="109">
        <f t="shared" si="1"/>
        <v>2.806439344106388E-2</v>
      </c>
      <c r="I14" s="109">
        <f t="shared" si="2"/>
        <v>0.37806439344106385</v>
      </c>
    </row>
    <row r="15" spans="1:9" x14ac:dyDescent="0.25">
      <c r="B15" t="s">
        <v>471</v>
      </c>
      <c r="C15" s="2">
        <v>489.2399999999999</v>
      </c>
      <c r="D15" s="3">
        <v>2698744.5087671387</v>
      </c>
      <c r="E15" s="2">
        <v>85540</v>
      </c>
      <c r="F15" s="2">
        <v>41.012147913111782</v>
      </c>
      <c r="G15" s="2">
        <f t="shared" si="0"/>
        <v>448.22785208688811</v>
      </c>
      <c r="H15" s="109">
        <f t="shared" si="1"/>
        <v>9.1498437060893875E-2</v>
      </c>
      <c r="I15" s="109">
        <f t="shared" si="2"/>
        <v>0.44149843706089387</v>
      </c>
    </row>
    <row r="16" spans="1:9" x14ac:dyDescent="0.25">
      <c r="B16" t="s">
        <v>508</v>
      </c>
      <c r="C16" s="2">
        <v>94.21</v>
      </c>
      <c r="D16" s="3">
        <v>1480000.3859442475</v>
      </c>
      <c r="E16" s="2">
        <v>39321</v>
      </c>
      <c r="F16" s="2">
        <v>18.852517349329815</v>
      </c>
      <c r="G16" s="2">
        <f t="shared" si="0"/>
        <v>75.357482650670178</v>
      </c>
      <c r="H16" s="109">
        <f t="shared" si="1"/>
        <v>0.2501744576145572</v>
      </c>
      <c r="I16" s="109">
        <f t="shared" si="2"/>
        <v>0.60017445761455712</v>
      </c>
    </row>
    <row r="17" spans="1:9" x14ac:dyDescent="0.25">
      <c r="B17" t="s">
        <v>460</v>
      </c>
      <c r="C17" s="2">
        <v>51.82</v>
      </c>
      <c r="D17" s="3">
        <v>-241486.68630655907</v>
      </c>
      <c r="E17" s="2">
        <v>-7107</v>
      </c>
      <c r="F17" s="2">
        <v>-3.4077538233579712</v>
      </c>
      <c r="G17" s="2">
        <f t="shared" si="0"/>
        <v>55.227753823357972</v>
      </c>
      <c r="H17" s="109">
        <f t="shared" si="1"/>
        <v>-6.1703646942756873E-2</v>
      </c>
      <c r="I17" s="109">
        <f t="shared" si="2"/>
        <v>0.2882963530572431</v>
      </c>
    </row>
    <row r="18" spans="1:9" x14ac:dyDescent="0.25">
      <c r="B18" t="s">
        <v>300</v>
      </c>
      <c r="C18" s="2">
        <v>910.45000000000016</v>
      </c>
      <c r="D18" s="3">
        <v>4972397.8702384746</v>
      </c>
      <c r="E18" s="2">
        <v>89554.055614479817</v>
      </c>
      <c r="F18" s="2">
        <v>42.9376198170945</v>
      </c>
      <c r="G18" s="2">
        <f t="shared" si="0"/>
        <v>867.51238018290564</v>
      </c>
      <c r="H18" s="109">
        <f t="shared" si="1"/>
        <v>4.949510900125894E-2</v>
      </c>
      <c r="I18" s="109">
        <f t="shared" si="2"/>
        <v>0.3994951090012589</v>
      </c>
    </row>
    <row r="19" spans="1:9" x14ac:dyDescent="0.25">
      <c r="A19" t="s">
        <v>825</v>
      </c>
      <c r="C19" s="2">
        <v>4992.7000000000007</v>
      </c>
      <c r="D19" s="3">
        <v>11478295.146089127</v>
      </c>
      <c r="E19" s="2">
        <v>263708.37384998758</v>
      </c>
      <c r="F19" s="2">
        <v>126.43612428745486</v>
      </c>
      <c r="G19" s="2">
        <f t="shared" si="0"/>
        <v>4866.263875712546</v>
      </c>
      <c r="H19" s="109">
        <f t="shared" si="1"/>
        <v>2.5982175960184931E-2</v>
      </c>
      <c r="I19" s="109">
        <f t="shared" si="2"/>
        <v>0.37598217596018491</v>
      </c>
    </row>
    <row r="20" spans="1:9" x14ac:dyDescent="0.25">
      <c r="A20" t="s">
        <v>185</v>
      </c>
      <c r="B20" t="s">
        <v>617</v>
      </c>
      <c r="C20" s="2">
        <v>1060.8100000000002</v>
      </c>
      <c r="D20" s="3">
        <v>5723166.4213653449</v>
      </c>
      <c r="E20" s="2">
        <v>112432</v>
      </c>
      <c r="F20" s="2">
        <v>53.905416931639394</v>
      </c>
      <c r="G20" s="2">
        <f t="shared" si="0"/>
        <v>1006.9045830683608</v>
      </c>
      <c r="H20" s="109">
        <f t="shared" si="1"/>
        <v>5.3535774727901546E-2</v>
      </c>
      <c r="I20" s="109">
        <f t="shared" si="2"/>
        <v>0.40353577472790153</v>
      </c>
    </row>
    <row r="21" spans="1:9" x14ac:dyDescent="0.25">
      <c r="B21" t="s">
        <v>201</v>
      </c>
      <c r="C21" s="2">
        <v>1614.2099999999989</v>
      </c>
      <c r="D21" s="3">
        <v>-2770268.8474106258</v>
      </c>
      <c r="E21" s="2">
        <v>-66743</v>
      </c>
      <c r="F21" s="2">
        <v>-32.000589437324223</v>
      </c>
      <c r="G21" s="2">
        <f t="shared" si="0"/>
        <v>1646.2105894373231</v>
      </c>
      <c r="H21" s="109">
        <f t="shared" si="1"/>
        <v>-1.9438940341321743E-2</v>
      </c>
      <c r="I21" s="109">
        <f t="shared" si="2"/>
        <v>0.33056105965867821</v>
      </c>
    </row>
    <row r="22" spans="1:9" x14ac:dyDescent="0.25">
      <c r="B22" t="s">
        <v>720</v>
      </c>
      <c r="C22" s="2">
        <v>307.45999999999998</v>
      </c>
      <c r="D22" s="3">
        <v>-1244337.6783526617</v>
      </c>
      <c r="E22" s="2">
        <v>-15166</v>
      </c>
      <c r="F22" s="2">
        <v>-7.2715121460407959</v>
      </c>
      <c r="G22" s="2">
        <f t="shared" si="0"/>
        <v>314.73151214604076</v>
      </c>
      <c r="H22" s="109">
        <f t="shared" si="1"/>
        <v>-2.3103857940563292E-2</v>
      </c>
      <c r="I22" s="109">
        <f t="shared" si="2"/>
        <v>0.32689614205943668</v>
      </c>
    </row>
    <row r="23" spans="1:9" x14ac:dyDescent="0.25">
      <c r="B23" t="s">
        <v>669</v>
      </c>
      <c r="C23" s="2">
        <v>856.8</v>
      </c>
      <c r="D23" s="3">
        <v>2687997.4049200695</v>
      </c>
      <c r="E23" s="2">
        <v>81758</v>
      </c>
      <c r="F23" s="2">
        <v>39.197777098771198</v>
      </c>
      <c r="G23" s="2">
        <f t="shared" si="0"/>
        <v>817.60222290122874</v>
      </c>
      <c r="H23" s="109">
        <f t="shared" si="1"/>
        <v>4.7942356320509326E-2</v>
      </c>
      <c r="I23" s="109">
        <f t="shared" si="2"/>
        <v>0.39794235632050928</v>
      </c>
    </row>
    <row r="24" spans="1:9" x14ac:dyDescent="0.25">
      <c r="B24" t="s">
        <v>522</v>
      </c>
      <c r="C24" s="2">
        <v>2829.9999999999995</v>
      </c>
      <c r="D24" s="3">
        <v>26357838.357851882</v>
      </c>
      <c r="E24" s="2">
        <v>703384</v>
      </c>
      <c r="F24" s="2">
        <v>337.23817034247344</v>
      </c>
      <c r="G24" s="2">
        <f t="shared" si="0"/>
        <v>2492.7618296575261</v>
      </c>
      <c r="H24" s="109">
        <f t="shared" si="1"/>
        <v>0.13528696016209688</v>
      </c>
      <c r="I24" s="109">
        <f t="shared" si="2"/>
        <v>0.48528696016209683</v>
      </c>
    </row>
    <row r="25" spans="1:9" x14ac:dyDescent="0.25">
      <c r="B25" t="s">
        <v>743</v>
      </c>
      <c r="C25" s="2">
        <v>427.18000000000006</v>
      </c>
      <c r="D25" s="3">
        <v>-2731394.0630560392</v>
      </c>
      <c r="E25" s="2">
        <v>-71368</v>
      </c>
      <c r="F25" s="2">
        <v>-34.218534657621667</v>
      </c>
      <c r="G25" s="2">
        <f t="shared" si="0"/>
        <v>461.39853465762172</v>
      </c>
      <c r="H25" s="109">
        <f t="shared" si="1"/>
        <v>-7.4162642677253726E-2</v>
      </c>
      <c r="I25" s="109">
        <f t="shared" si="2"/>
        <v>0.27583735732274628</v>
      </c>
    </row>
    <row r="26" spans="1:9" x14ac:dyDescent="0.25">
      <c r="B26" t="s">
        <v>1590</v>
      </c>
      <c r="C26" s="2">
        <v>578.41999999999985</v>
      </c>
      <c r="D26" s="3">
        <v>-1197459.4308243161</v>
      </c>
      <c r="E26" s="2">
        <v>-25905</v>
      </c>
      <c r="F26" s="2">
        <v>-12.422659954745614</v>
      </c>
      <c r="G26" s="2">
        <f t="shared" si="0"/>
        <v>590.8426599547455</v>
      </c>
      <c r="H26" s="109">
        <f t="shared" si="1"/>
        <v>-2.1025326701523388E-2</v>
      </c>
      <c r="I26" s="109">
        <f t="shared" si="2"/>
        <v>0.32897467329847657</v>
      </c>
    </row>
    <row r="27" spans="1:9" x14ac:dyDescent="0.25">
      <c r="B27" t="s">
        <v>1641</v>
      </c>
      <c r="C27" s="2">
        <v>2588.3399999999992</v>
      </c>
      <c r="D27" s="3">
        <v>542256.88049400179</v>
      </c>
      <c r="E27" s="2">
        <v>52365.497703914283</v>
      </c>
      <c r="F27" s="2">
        <v>25.107534119113804</v>
      </c>
      <c r="G27" s="2">
        <f t="shared" si="0"/>
        <v>2563.2324658808852</v>
      </c>
      <c r="H27" s="109">
        <f t="shared" si="1"/>
        <v>9.7952622141454122E-3</v>
      </c>
      <c r="I27" s="109">
        <f t="shared" si="2"/>
        <v>0.35979526221414537</v>
      </c>
    </row>
    <row r="28" spans="1:9" x14ac:dyDescent="0.25">
      <c r="A28" t="s">
        <v>827</v>
      </c>
      <c r="C28" s="2">
        <v>10263.219999999998</v>
      </c>
      <c r="D28" s="3">
        <v>27367799.044987652</v>
      </c>
      <c r="E28" s="2">
        <v>770757.4977039143</v>
      </c>
      <c r="F28" s="2">
        <v>369.53560229626555</v>
      </c>
      <c r="G28" s="2">
        <f t="shared" si="0"/>
        <v>9893.6843977037315</v>
      </c>
      <c r="H28" s="109">
        <f t="shared" si="1"/>
        <v>3.7350655978275665E-2</v>
      </c>
      <c r="I28" s="109">
        <f t="shared" si="2"/>
        <v>0.38735065597827567</v>
      </c>
    </row>
    <row r="29" spans="1:9" x14ac:dyDescent="0.25">
      <c r="A29" t="s">
        <v>1249</v>
      </c>
      <c r="B29" t="s">
        <v>1250</v>
      </c>
      <c r="C29" s="2">
        <v>174.4</v>
      </c>
      <c r="D29" s="3">
        <v>36770.041268433211</v>
      </c>
      <c r="E29" s="2">
        <v>10651.92245783675</v>
      </c>
      <c r="F29" s="2">
        <v>5.1066652798849956</v>
      </c>
      <c r="G29" s="2">
        <f t="shared" si="0"/>
        <v>169.29333472011501</v>
      </c>
      <c r="H29" s="109">
        <f t="shared" si="1"/>
        <v>3.0164597373710036E-2</v>
      </c>
      <c r="I29" s="109">
        <f t="shared" si="2"/>
        <v>0.38016459737371</v>
      </c>
    </row>
    <row r="30" spans="1:9" x14ac:dyDescent="0.25">
      <c r="B30" t="s">
        <v>1276</v>
      </c>
      <c r="C30" s="2">
        <v>658.32000000000016</v>
      </c>
      <c r="D30" s="3">
        <v>1013938.1912106859</v>
      </c>
      <c r="E30" s="2">
        <v>34672.632147970355</v>
      </c>
      <c r="F30" s="2">
        <v>16.622580978547241</v>
      </c>
      <c r="G30" s="2">
        <f t="shared" si="0"/>
        <v>641.6974190214529</v>
      </c>
      <c r="H30" s="109">
        <f t="shared" si="1"/>
        <v>2.5904079533147575E-2</v>
      </c>
      <c r="I30" s="109">
        <f t="shared" si="2"/>
        <v>0.37590407953314753</v>
      </c>
    </row>
    <row r="31" spans="1:9" x14ac:dyDescent="0.25">
      <c r="B31" t="s">
        <v>1327</v>
      </c>
      <c r="C31" s="2">
        <v>268.52</v>
      </c>
      <c r="D31" s="3">
        <v>-483752.73728452396</v>
      </c>
      <c r="E31" s="2">
        <v>-10695.645401906553</v>
      </c>
      <c r="F31" s="2">
        <v>-5.1274930949228832</v>
      </c>
      <c r="G31" s="2">
        <f t="shared" si="0"/>
        <v>273.64749309492288</v>
      </c>
      <c r="H31" s="109">
        <f t="shared" si="1"/>
        <v>-1.8737584755232007E-2</v>
      </c>
      <c r="I31" s="109">
        <f t="shared" si="2"/>
        <v>0.33126241524476796</v>
      </c>
    </row>
    <row r="32" spans="1:9" x14ac:dyDescent="0.25">
      <c r="B32" t="s">
        <v>1357</v>
      </c>
      <c r="C32" s="2">
        <v>299.02999999999997</v>
      </c>
      <c r="D32" s="3">
        <v>33089.386778239365</v>
      </c>
      <c r="E32" s="2">
        <v>-6553.7390613953594</v>
      </c>
      <c r="F32" s="2">
        <v>-3.1426662146363169</v>
      </c>
      <c r="G32" s="2">
        <f t="shared" si="0"/>
        <v>302.17266621463631</v>
      </c>
      <c r="H32" s="109">
        <f t="shared" si="1"/>
        <v>-1.0400233263997642E-2</v>
      </c>
      <c r="I32" s="109">
        <f t="shared" si="2"/>
        <v>0.33959976673600234</v>
      </c>
    </row>
    <row r="33" spans="1:9" x14ac:dyDescent="0.25">
      <c r="B33" t="s">
        <v>1389</v>
      </c>
      <c r="C33" s="2">
        <v>2033.67</v>
      </c>
      <c r="D33" s="3">
        <v>6626963.7474334612</v>
      </c>
      <c r="E33" s="2">
        <v>188856.25794752059</v>
      </c>
      <c r="F33" s="2">
        <v>90.548221522634336</v>
      </c>
      <c r="G33" s="2">
        <f t="shared" si="0"/>
        <v>1943.1217784773658</v>
      </c>
      <c r="H33" s="109">
        <f t="shared" si="1"/>
        <v>4.6599354978970033E-2</v>
      </c>
      <c r="I33" s="109">
        <f t="shared" si="2"/>
        <v>0.39659935497897003</v>
      </c>
    </row>
    <row r="34" spans="1:9" x14ac:dyDescent="0.25">
      <c r="B34" t="s">
        <v>1461</v>
      </c>
      <c r="C34" s="2">
        <v>141.23000000000005</v>
      </c>
      <c r="D34" s="3">
        <v>1376507.9727715652</v>
      </c>
      <c r="E34" s="2">
        <v>25804.758547597514</v>
      </c>
      <c r="F34" s="2">
        <v>12.372664601051612</v>
      </c>
      <c r="G34" s="2">
        <f t="shared" si="0"/>
        <v>128.85733539894844</v>
      </c>
      <c r="H34" s="109">
        <f t="shared" si="1"/>
        <v>9.6018317954078863E-2</v>
      </c>
      <c r="I34" s="109">
        <f t="shared" si="2"/>
        <v>0.44601831795407887</v>
      </c>
    </row>
    <row r="35" spans="1:9" x14ac:dyDescent="0.25">
      <c r="B35" t="s">
        <v>1480</v>
      </c>
      <c r="C35" s="2">
        <v>2237.83</v>
      </c>
      <c r="D35" s="3">
        <v>2212283.6104626018</v>
      </c>
      <c r="E35" s="2">
        <v>42135.567410429387</v>
      </c>
      <c r="F35" s="2">
        <v>20.202543837407475</v>
      </c>
      <c r="G35" s="2">
        <f t="shared" si="0"/>
        <v>2217.6274561625924</v>
      </c>
      <c r="H35" s="109">
        <f t="shared" si="1"/>
        <v>9.1099809308666235E-3</v>
      </c>
      <c r="I35" s="109">
        <f t="shared" si="2"/>
        <v>0.3591099809308666</v>
      </c>
    </row>
    <row r="36" spans="1:9" x14ac:dyDescent="0.25">
      <c r="B36" t="s">
        <v>1557</v>
      </c>
      <c r="C36" s="2">
        <v>421.62000000000006</v>
      </c>
      <c r="D36" s="3">
        <v>-1122793.8659543204</v>
      </c>
      <c r="E36" s="2">
        <v>-48687</v>
      </c>
      <c r="F36" s="2">
        <v>-23.343457268964279</v>
      </c>
      <c r="G36" s="2">
        <f t="shared" si="0"/>
        <v>444.96345726896436</v>
      </c>
      <c r="H36" s="109">
        <f t="shared" si="1"/>
        <v>-5.2461515406767439E-2</v>
      </c>
      <c r="I36" s="109">
        <f t="shared" si="2"/>
        <v>0.29753848459323251</v>
      </c>
    </row>
    <row r="37" spans="1:9" x14ac:dyDescent="0.25">
      <c r="A37" t="s">
        <v>1589</v>
      </c>
      <c r="C37" s="2">
        <v>6234.62</v>
      </c>
      <c r="D37" s="3">
        <v>9693006.3466861416</v>
      </c>
      <c r="E37" s="2">
        <v>236184.75404805271</v>
      </c>
      <c r="F37" s="2">
        <v>113.23905964100217</v>
      </c>
      <c r="G37" s="2">
        <f t="shared" si="0"/>
        <v>6121.3809403589976</v>
      </c>
      <c r="H37" s="109">
        <f t="shared" si="1"/>
        <v>1.8498940148358272E-2</v>
      </c>
      <c r="I37" s="109">
        <f t="shared" si="2"/>
        <v>0.36849894014835827</v>
      </c>
    </row>
    <row r="38" spans="1:9" x14ac:dyDescent="0.25">
      <c r="A38" t="s">
        <v>807</v>
      </c>
      <c r="C38" s="2">
        <v>30494.059999999994</v>
      </c>
      <c r="D38" s="3">
        <v>74453349.081982985</v>
      </c>
      <c r="E38" s="2">
        <v>1864844.2837873916</v>
      </c>
      <c r="F38" s="2">
        <v>917.59139018455437</v>
      </c>
      <c r="G38" s="2">
        <f t="shared" si="0"/>
        <v>29576.468609815438</v>
      </c>
      <c r="H38" s="109">
        <f t="shared" si="1"/>
        <v>3.1024372865124154E-2</v>
      </c>
      <c r="I38" s="109">
        <f t="shared" si="2"/>
        <v>0.38102437286512414</v>
      </c>
    </row>
  </sheetData>
  <hyperlinks>
    <hyperlink ref="G1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468"/>
  <sheetViews>
    <sheetView topLeftCell="D1" zoomScale="85" zoomScaleNormal="85" workbookViewId="0">
      <pane xSplit="5" ySplit="2" topLeftCell="L3" activePane="bottomRight" state="frozen"/>
      <selection activeCell="D1" sqref="D1"/>
      <selection pane="topRight" activeCell="I1" sqref="I1"/>
      <selection pane="bottomLeft" activeCell="D3" sqref="D3"/>
      <selection pane="bottomRight" activeCell="Q14" sqref="Q14"/>
    </sheetView>
  </sheetViews>
  <sheetFormatPr defaultRowHeight="15" x14ac:dyDescent="0.25"/>
  <cols>
    <col min="1" max="1" width="18.7109375" style="1" hidden="1" customWidth="1"/>
    <col min="2" max="2" width="37" style="1" hidden="1" customWidth="1"/>
    <col min="3" max="3" width="17.28515625" style="50" hidden="1" customWidth="1"/>
    <col min="4" max="4" width="7.140625" style="50" customWidth="1"/>
    <col min="5" max="5" width="12.28515625" style="50" customWidth="1"/>
    <col min="6" max="6" width="9.5703125" style="50" customWidth="1"/>
    <col min="7" max="7" width="44" style="1" customWidth="1"/>
    <col min="8" max="8" width="8.7109375" style="1" customWidth="1"/>
    <col min="9" max="9" width="50.5703125" style="1" customWidth="1"/>
    <col min="10" max="10" width="35.5703125" style="1" customWidth="1"/>
    <col min="11" max="11" width="55.140625" style="1" customWidth="1"/>
    <col min="12" max="12" width="49.85546875" style="1" customWidth="1"/>
    <col min="13" max="13" width="17" style="1" bestFit="1" customWidth="1"/>
    <col min="14" max="14" width="17" style="22" bestFit="1" customWidth="1"/>
    <col min="15" max="15" width="17.140625" style="1" customWidth="1"/>
    <col min="16" max="17" width="11.7109375" style="1" customWidth="1"/>
    <col min="18" max="18" width="18.42578125" style="1" customWidth="1"/>
    <col min="19" max="19" width="12.5703125" style="1" customWidth="1"/>
    <col min="20" max="22" width="10.28515625" style="1" customWidth="1"/>
    <col min="23" max="23" width="21" style="1" customWidth="1"/>
    <col min="24" max="24" width="18" style="1" customWidth="1"/>
    <col min="25" max="25" width="18.42578125" style="1" bestFit="1" customWidth="1"/>
    <col min="26" max="27" width="16.42578125" style="1" bestFit="1" customWidth="1"/>
    <col min="28" max="16384" width="9.140625" style="1"/>
  </cols>
  <sheetData>
    <row r="1" spans="1:27" ht="15.75" thickBot="1" x14ac:dyDescent="0.3">
      <c r="M1" s="120" t="s">
        <v>811</v>
      </c>
      <c r="N1" s="121"/>
      <c r="O1" s="122"/>
      <c r="P1" s="123" t="s">
        <v>812</v>
      </c>
      <c r="Q1" s="124"/>
      <c r="R1" s="125"/>
      <c r="T1" s="126" t="s">
        <v>813</v>
      </c>
      <c r="U1" s="127"/>
      <c r="V1" s="128"/>
      <c r="Y1" s="129" t="s">
        <v>817</v>
      </c>
      <c r="Z1" s="130"/>
      <c r="AA1" s="131"/>
    </row>
    <row r="2" spans="1:27" s="106" customFormat="1" ht="60.75" thickBot="1" x14ac:dyDescent="0.3">
      <c r="A2" s="106" t="s">
        <v>805</v>
      </c>
      <c r="B2" s="106" t="s">
        <v>806</v>
      </c>
      <c r="C2" s="87" t="s">
        <v>0</v>
      </c>
      <c r="D2" s="51" t="s">
        <v>1</v>
      </c>
      <c r="E2" s="51" t="s">
        <v>2</v>
      </c>
      <c r="F2" s="51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9" t="s">
        <v>809</v>
      </c>
      <c r="N2" s="133" t="s">
        <v>13</v>
      </c>
      <c r="O2" s="132" t="s">
        <v>810</v>
      </c>
      <c r="P2" s="10" t="s">
        <v>809</v>
      </c>
      <c r="Q2" s="11" t="s">
        <v>13</v>
      </c>
      <c r="R2" s="12" t="s">
        <v>810</v>
      </c>
      <c r="S2" s="8" t="s">
        <v>10</v>
      </c>
      <c r="T2" s="13" t="s">
        <v>814</v>
      </c>
      <c r="U2" s="14" t="s">
        <v>815</v>
      </c>
      <c r="V2" s="15" t="s">
        <v>816</v>
      </c>
      <c r="W2" s="8" t="s">
        <v>821</v>
      </c>
      <c r="X2" s="8" t="s">
        <v>11</v>
      </c>
      <c r="Y2" s="16" t="s">
        <v>818</v>
      </c>
      <c r="Z2" s="17" t="s">
        <v>819</v>
      </c>
      <c r="AA2" s="18" t="s">
        <v>820</v>
      </c>
    </row>
    <row r="3" spans="1:27" s="22" customFormat="1" x14ac:dyDescent="0.25">
      <c r="A3" s="7" t="str">
        <f t="shared" ref="A3:A66" si="0">F3&amp;G3&amp;H3&amp;K3</f>
        <v>2947Providence Alaska Medical Center1014CARDIOVASCULAR CARE UNIT</v>
      </c>
      <c r="B3" s="7"/>
      <c r="C3" s="29" t="s">
        <v>828</v>
      </c>
      <c r="D3" s="29" t="s">
        <v>828</v>
      </c>
      <c r="E3" s="29" t="s">
        <v>828</v>
      </c>
      <c r="F3" s="29">
        <v>2947</v>
      </c>
      <c r="G3" s="4" t="s">
        <v>829</v>
      </c>
      <c r="H3" s="5">
        <v>1014</v>
      </c>
      <c r="I3" s="4" t="s">
        <v>874</v>
      </c>
      <c r="J3" s="4" t="s">
        <v>23</v>
      </c>
      <c r="K3" s="4" t="s">
        <v>875</v>
      </c>
      <c r="L3" s="4" t="s">
        <v>74</v>
      </c>
      <c r="M3" s="37">
        <v>2761</v>
      </c>
      <c r="N3" s="37">
        <v>2612</v>
      </c>
      <c r="O3" s="38">
        <v>0</v>
      </c>
      <c r="P3" s="39">
        <v>13.57</v>
      </c>
      <c r="Q3" s="39">
        <v>14.86</v>
      </c>
      <c r="R3" s="38">
        <v>0.16669999999999999</v>
      </c>
      <c r="S3" s="40">
        <v>5</v>
      </c>
      <c r="T3" s="39">
        <v>16.78</v>
      </c>
      <c r="U3" s="39">
        <v>18.95</v>
      </c>
      <c r="V3" s="39">
        <v>21.26</v>
      </c>
      <c r="W3" s="38">
        <v>0.87729999999999997</v>
      </c>
      <c r="X3" s="39">
        <v>21.27</v>
      </c>
      <c r="Y3" s="41">
        <v>-559010.83042331296</v>
      </c>
      <c r="Z3" s="40">
        <v>-12057</v>
      </c>
      <c r="AA3" s="39">
        <v>-5.7809434441029701</v>
      </c>
    </row>
    <row r="4" spans="1:27" s="22" customFormat="1" x14ac:dyDescent="0.25">
      <c r="A4" s="7" t="str">
        <f t="shared" si="0"/>
        <v>2947Providence Alaska Medical Center5850Case Mgmt and Social Services</v>
      </c>
      <c r="B4" s="7"/>
      <c r="C4" s="29" t="s">
        <v>828</v>
      </c>
      <c r="D4" s="29" t="s">
        <v>828</v>
      </c>
      <c r="E4" s="29" t="s">
        <v>828</v>
      </c>
      <c r="F4" s="29">
        <v>2947</v>
      </c>
      <c r="G4" s="4" t="s">
        <v>829</v>
      </c>
      <c r="H4" s="5">
        <v>5850</v>
      </c>
      <c r="I4" s="4" t="s">
        <v>172</v>
      </c>
      <c r="J4" s="4" t="s">
        <v>26</v>
      </c>
      <c r="K4" s="4" t="s">
        <v>856</v>
      </c>
      <c r="L4" s="4" t="s">
        <v>857</v>
      </c>
      <c r="M4" s="49">
        <v>149223.06</v>
      </c>
      <c r="N4" s="37">
        <v>148928.01</v>
      </c>
      <c r="O4" s="38">
        <v>0.6</v>
      </c>
      <c r="P4" s="7">
        <v>0.53</v>
      </c>
      <c r="Q4" s="39">
        <v>0.51</v>
      </c>
      <c r="R4" s="38">
        <v>1</v>
      </c>
      <c r="S4" s="40">
        <v>8</v>
      </c>
      <c r="T4" s="39">
        <v>0.36</v>
      </c>
      <c r="U4" s="39">
        <v>0.38</v>
      </c>
      <c r="V4" s="39">
        <v>0.4</v>
      </c>
      <c r="W4" s="38">
        <v>0.89939999999999998</v>
      </c>
      <c r="X4" s="39">
        <v>40.770000000000003</v>
      </c>
      <c r="Y4" s="41">
        <v>0</v>
      </c>
      <c r="Z4" s="40">
        <v>0</v>
      </c>
      <c r="AA4" s="39">
        <v>0</v>
      </c>
    </row>
    <row r="5" spans="1:27" s="22" customFormat="1" x14ac:dyDescent="0.25">
      <c r="A5" s="7" t="str">
        <f t="shared" si="0"/>
        <v>2947Providence Alaska Medical Center2222Outpatient Chemical Dependency</v>
      </c>
      <c r="B5" s="7"/>
      <c r="C5" s="29" t="s">
        <v>828</v>
      </c>
      <c r="D5" s="29" t="s">
        <v>828</v>
      </c>
      <c r="E5" s="29" t="s">
        <v>828</v>
      </c>
      <c r="F5" s="29">
        <v>2947</v>
      </c>
      <c r="G5" s="4" t="s">
        <v>829</v>
      </c>
      <c r="H5" s="5">
        <v>2222</v>
      </c>
      <c r="I5" s="4" t="s">
        <v>179</v>
      </c>
      <c r="J5" s="4" t="s">
        <v>176</v>
      </c>
      <c r="K5" s="4" t="s">
        <v>896</v>
      </c>
      <c r="L5" s="4" t="s">
        <v>77</v>
      </c>
      <c r="M5" s="37">
        <v>13721</v>
      </c>
      <c r="N5" s="37">
        <v>11607</v>
      </c>
      <c r="O5" s="38">
        <v>0.71430000000000005</v>
      </c>
      <c r="P5" s="39">
        <v>1.38</v>
      </c>
      <c r="Q5" s="39">
        <v>1.22</v>
      </c>
      <c r="R5" s="38">
        <v>0.42859999999999998</v>
      </c>
      <c r="S5" s="40">
        <v>8</v>
      </c>
      <c r="T5" s="39">
        <v>1.06</v>
      </c>
      <c r="U5" s="39">
        <v>1.19</v>
      </c>
      <c r="V5" s="39">
        <v>1.33</v>
      </c>
      <c r="W5" s="38">
        <v>0.8881</v>
      </c>
      <c r="X5" s="39">
        <v>7.66</v>
      </c>
      <c r="Y5" s="41">
        <v>12350.950644853099</v>
      </c>
      <c r="Z5" s="40">
        <v>424</v>
      </c>
      <c r="AA5" s="39">
        <v>0.203187299997386</v>
      </c>
    </row>
    <row r="6" spans="1:27" s="22" customFormat="1" x14ac:dyDescent="0.25">
      <c r="A6" s="7" t="str">
        <f t="shared" si="0"/>
        <v>2947Providence Alaska Medical Center2230Diabetes Clinic</v>
      </c>
      <c r="B6" s="7"/>
      <c r="C6" s="29" t="s">
        <v>828</v>
      </c>
      <c r="D6" s="29" t="s">
        <v>828</v>
      </c>
      <c r="E6" s="29" t="s">
        <v>828</v>
      </c>
      <c r="F6" s="29">
        <v>2947</v>
      </c>
      <c r="G6" s="4" t="s">
        <v>829</v>
      </c>
      <c r="H6" s="5">
        <v>2230</v>
      </c>
      <c r="I6" s="4" t="s">
        <v>897</v>
      </c>
      <c r="J6" s="4" t="s">
        <v>176</v>
      </c>
      <c r="K6" s="4" t="s">
        <v>898</v>
      </c>
      <c r="L6" s="4" t="s">
        <v>77</v>
      </c>
      <c r="M6" s="37">
        <v>1257</v>
      </c>
      <c r="N6" s="37">
        <v>1915</v>
      </c>
      <c r="O6" s="38">
        <v>0</v>
      </c>
      <c r="P6" s="39">
        <v>3.5</v>
      </c>
      <c r="Q6" s="39">
        <v>2.58</v>
      </c>
      <c r="R6" s="38">
        <v>0.875</v>
      </c>
      <c r="S6" s="40">
        <v>8</v>
      </c>
      <c r="T6" s="39">
        <v>1.41</v>
      </c>
      <c r="U6" s="39">
        <v>1.48</v>
      </c>
      <c r="V6" s="39">
        <v>1.73</v>
      </c>
      <c r="W6" s="38">
        <v>0.88980000000000004</v>
      </c>
      <c r="X6" s="39">
        <v>2.67</v>
      </c>
      <c r="Y6" s="41">
        <v>84115.615938322095</v>
      </c>
      <c r="Z6" s="40">
        <v>2384</v>
      </c>
      <c r="AA6" s="39">
        <v>1.1428339839927</v>
      </c>
    </row>
    <row r="7" spans="1:27" s="22" customFormat="1" x14ac:dyDescent="0.25">
      <c r="A7" s="7" t="str">
        <f t="shared" si="0"/>
        <v>2947Providence Alaska Medical Center5220Laundry</v>
      </c>
      <c r="B7" s="7"/>
      <c r="C7" s="29" t="s">
        <v>828</v>
      </c>
      <c r="D7" s="29" t="s">
        <v>828</v>
      </c>
      <c r="E7" s="29" t="s">
        <v>828</v>
      </c>
      <c r="F7" s="29">
        <v>2947</v>
      </c>
      <c r="G7" s="4" t="s">
        <v>829</v>
      </c>
      <c r="H7" s="5">
        <v>5220</v>
      </c>
      <c r="I7" s="4" t="s">
        <v>167</v>
      </c>
      <c r="J7" s="4" t="s">
        <v>50</v>
      </c>
      <c r="K7" s="4" t="s">
        <v>840</v>
      </c>
      <c r="L7" s="4" t="s">
        <v>168</v>
      </c>
      <c r="M7" s="37">
        <v>33630</v>
      </c>
      <c r="N7" s="37">
        <v>36327.699999999997</v>
      </c>
      <c r="O7" s="7"/>
      <c r="P7" s="39">
        <v>1.33</v>
      </c>
      <c r="Q7" s="39">
        <f>46348.4/N7</f>
        <v>1.2758418507089633</v>
      </c>
      <c r="R7" s="7"/>
      <c r="S7" s="40">
        <v>8</v>
      </c>
      <c r="T7" s="39">
        <v>1.18</v>
      </c>
      <c r="U7" s="39">
        <v>1.2</v>
      </c>
      <c r="V7" s="39">
        <v>1.31</v>
      </c>
      <c r="W7" s="38">
        <v>0.90349999999999997</v>
      </c>
      <c r="X7" s="39">
        <v>24.66</v>
      </c>
      <c r="Y7" s="41">
        <f>12.76*Z7</f>
        <v>38910.726729385817</v>
      </c>
      <c r="Z7" s="40">
        <f>SUM((Q7-U7)*N7)/W7</f>
        <v>3049.4299944659733</v>
      </c>
      <c r="AA7" s="39">
        <f>Z7/2085.71</f>
        <v>1.4620584810285098</v>
      </c>
    </row>
    <row r="8" spans="1:27" s="22" customFormat="1" x14ac:dyDescent="0.25">
      <c r="A8" s="7" t="str">
        <f t="shared" si="0"/>
        <v>2947Providence Alaska Medical Center4510Kidney Dialysis</v>
      </c>
      <c r="B8" s="7"/>
      <c r="C8" s="29" t="s">
        <v>828</v>
      </c>
      <c r="D8" s="29" t="s">
        <v>828</v>
      </c>
      <c r="E8" s="29" t="s">
        <v>828</v>
      </c>
      <c r="F8" s="29">
        <v>2947</v>
      </c>
      <c r="G8" s="4" t="s">
        <v>829</v>
      </c>
      <c r="H8" s="5">
        <v>4510</v>
      </c>
      <c r="I8" s="4" t="s">
        <v>101</v>
      </c>
      <c r="J8" s="4" t="s">
        <v>102</v>
      </c>
      <c r="K8" s="4" t="s">
        <v>906</v>
      </c>
      <c r="L8" s="4" t="s">
        <v>103</v>
      </c>
      <c r="M8" s="37">
        <v>2245</v>
      </c>
      <c r="N8" s="37">
        <v>2066</v>
      </c>
      <c r="O8" s="38">
        <v>0.625</v>
      </c>
      <c r="P8" s="39">
        <v>5.26</v>
      </c>
      <c r="Q8" s="39">
        <v>6.44</v>
      </c>
      <c r="R8" s="38">
        <v>1</v>
      </c>
      <c r="S8" s="40">
        <v>9</v>
      </c>
      <c r="T8" s="39">
        <v>4.32</v>
      </c>
      <c r="U8" s="39">
        <v>4.82</v>
      </c>
      <c r="V8" s="39">
        <v>4.95</v>
      </c>
      <c r="W8" s="38">
        <v>0.9284</v>
      </c>
      <c r="X8" s="39">
        <v>6.89</v>
      </c>
      <c r="Y8" s="41">
        <v>199856.961444999</v>
      </c>
      <c r="Z8" s="40">
        <v>3644</v>
      </c>
      <c r="AA8" s="39">
        <v>1.74730956724931</v>
      </c>
    </row>
    <row r="9" spans="1:27" s="22" customFormat="1" x14ac:dyDescent="0.25">
      <c r="A9" s="7" t="str">
        <f t="shared" si="0"/>
        <v>2947Providence Alaska Medical Center5020Plant Operations</v>
      </c>
      <c r="B9" s="7"/>
      <c r="C9" s="29" t="s">
        <v>828</v>
      </c>
      <c r="D9" s="29" t="s">
        <v>828</v>
      </c>
      <c r="E9" s="29" t="s">
        <v>828</v>
      </c>
      <c r="F9" s="29">
        <v>2947</v>
      </c>
      <c r="G9" s="4" t="s">
        <v>829</v>
      </c>
      <c r="H9" s="5">
        <v>5020</v>
      </c>
      <c r="I9" s="4" t="s">
        <v>852</v>
      </c>
      <c r="J9" s="4" t="s">
        <v>62</v>
      </c>
      <c r="K9" s="4" t="s">
        <v>852</v>
      </c>
      <c r="L9" s="4" t="s">
        <v>63</v>
      </c>
      <c r="M9" s="37">
        <v>2144</v>
      </c>
      <c r="N9" s="37">
        <v>2144</v>
      </c>
      <c r="O9" s="38">
        <v>0.625</v>
      </c>
      <c r="P9" s="39">
        <v>12.92</v>
      </c>
      <c r="Q9" s="39">
        <v>11.82</v>
      </c>
      <c r="R9" s="38">
        <v>0.5</v>
      </c>
      <c r="S9" s="40">
        <v>9</v>
      </c>
      <c r="T9" s="39">
        <v>7.15</v>
      </c>
      <c r="U9" s="39">
        <v>9.75</v>
      </c>
      <c r="V9" s="39">
        <v>11.82</v>
      </c>
      <c r="W9" s="38">
        <v>0.87709999999999999</v>
      </c>
      <c r="X9" s="39">
        <v>13.9</v>
      </c>
      <c r="Y9" s="41">
        <v>186781.85626533499</v>
      </c>
      <c r="Z9" s="40">
        <v>5158</v>
      </c>
      <c r="AA9" s="39">
        <v>2.4730995315009099</v>
      </c>
    </row>
    <row r="10" spans="1:27" s="22" customFormat="1" x14ac:dyDescent="0.25">
      <c r="A10" s="7" t="str">
        <f t="shared" si="0"/>
        <v>2947Providence Alaska Medical Center1277Neonatal Intensive Care Unit (2)</v>
      </c>
      <c r="B10" s="7"/>
      <c r="C10" s="29" t="s">
        <v>828</v>
      </c>
      <c r="D10" s="29" t="s">
        <v>828</v>
      </c>
      <c r="E10" s="29" t="s">
        <v>828</v>
      </c>
      <c r="F10" s="29">
        <v>2947</v>
      </c>
      <c r="G10" s="4" t="s">
        <v>829</v>
      </c>
      <c r="H10" s="5">
        <v>1277</v>
      </c>
      <c r="I10" s="4" t="s">
        <v>106</v>
      </c>
      <c r="J10" s="4" t="s">
        <v>23</v>
      </c>
      <c r="K10" s="4" t="s">
        <v>895</v>
      </c>
      <c r="L10" s="4" t="s">
        <v>107</v>
      </c>
      <c r="M10" s="37">
        <v>13531</v>
      </c>
      <c r="N10" s="37">
        <v>14743</v>
      </c>
      <c r="O10" s="38">
        <v>0.49930000000000002</v>
      </c>
      <c r="P10" s="39">
        <v>13.31</v>
      </c>
      <c r="Q10" s="39">
        <v>13.46</v>
      </c>
      <c r="R10" s="38">
        <v>0.48280000000000001</v>
      </c>
      <c r="S10" s="40">
        <v>9</v>
      </c>
      <c r="T10" s="39">
        <v>12.7</v>
      </c>
      <c r="U10" s="39">
        <v>12.78</v>
      </c>
      <c r="V10" s="39">
        <v>13.56</v>
      </c>
      <c r="W10" s="38">
        <v>0.8931</v>
      </c>
      <c r="X10" s="39">
        <v>106.81</v>
      </c>
      <c r="Y10" s="41">
        <v>533344.30395355797</v>
      </c>
      <c r="Z10" s="40">
        <v>11806</v>
      </c>
      <c r="AA10" s="39">
        <v>5.6602557903090096</v>
      </c>
    </row>
    <row r="11" spans="1:27" s="22" customFormat="1" x14ac:dyDescent="0.25">
      <c r="A11" s="7" t="str">
        <f t="shared" si="0"/>
        <v>2947Providence Alaska Medical Center413019877200, RESPIRATORY THERAPY</v>
      </c>
      <c r="B11" s="7"/>
      <c r="C11" s="29" t="s">
        <v>828</v>
      </c>
      <c r="D11" s="29" t="s">
        <v>828</v>
      </c>
      <c r="E11" s="29" t="s">
        <v>828</v>
      </c>
      <c r="F11" s="29">
        <v>2947</v>
      </c>
      <c r="G11" s="4" t="s">
        <v>829</v>
      </c>
      <c r="H11" s="5">
        <v>4130</v>
      </c>
      <c r="I11" s="4" t="s">
        <v>184</v>
      </c>
      <c r="J11" s="4" t="s">
        <v>44</v>
      </c>
      <c r="K11" s="4" t="s">
        <v>870</v>
      </c>
      <c r="L11" s="4" t="s">
        <v>871</v>
      </c>
      <c r="M11" s="37">
        <v>111122.25</v>
      </c>
      <c r="N11" s="37">
        <v>120859.52</v>
      </c>
      <c r="O11" s="38">
        <v>0.6</v>
      </c>
      <c r="P11" s="39">
        <v>0.83</v>
      </c>
      <c r="Q11" s="39">
        <v>0.79</v>
      </c>
      <c r="R11" s="38">
        <v>0.33329999999999999</v>
      </c>
      <c r="S11" s="40">
        <v>10</v>
      </c>
      <c r="T11" s="39">
        <v>0.78</v>
      </c>
      <c r="U11" s="39">
        <v>0.82</v>
      </c>
      <c r="V11" s="39">
        <v>1.02</v>
      </c>
      <c r="W11" s="38">
        <v>0.91</v>
      </c>
      <c r="X11" s="39">
        <v>50.39</v>
      </c>
      <c r="Y11" s="41">
        <v>-149389.04392199733</v>
      </c>
      <c r="Z11" s="40">
        <v>-3807.4537593406562</v>
      </c>
      <c r="AA11" s="39">
        <v>-1.8254952794686972</v>
      </c>
    </row>
    <row r="12" spans="1:27" s="22" customFormat="1" x14ac:dyDescent="0.25">
      <c r="A12" s="7" t="str">
        <f t="shared" si="0"/>
        <v>2947Providence Alaska Medical Center1810VASCULAR ACCESS</v>
      </c>
      <c r="B12" s="7"/>
      <c r="C12" s="29" t="s">
        <v>828</v>
      </c>
      <c r="D12" s="29" t="s">
        <v>828</v>
      </c>
      <c r="E12" s="29" t="s">
        <v>828</v>
      </c>
      <c r="F12" s="89">
        <v>2947</v>
      </c>
      <c r="G12" s="43" t="s">
        <v>829</v>
      </c>
      <c r="H12" s="42">
        <v>1810</v>
      </c>
      <c r="I12" s="43" t="s">
        <v>162</v>
      </c>
      <c r="J12" s="43" t="s">
        <v>23</v>
      </c>
      <c r="K12" s="43" t="s">
        <v>844</v>
      </c>
      <c r="L12" s="43" t="s">
        <v>163</v>
      </c>
      <c r="M12" s="44">
        <v>12.69</v>
      </c>
      <c r="N12" s="44">
        <v>14</v>
      </c>
      <c r="O12" s="45">
        <v>0.55559999999999998</v>
      </c>
      <c r="P12" s="46">
        <v>841.91</v>
      </c>
      <c r="Q12" s="46">
        <f>10475/N12</f>
        <v>748.21428571428567</v>
      </c>
      <c r="R12" s="45">
        <v>0.66669999999999996</v>
      </c>
      <c r="S12" s="47">
        <v>10</v>
      </c>
      <c r="T12" s="46">
        <v>632.1</v>
      </c>
      <c r="U12" s="46">
        <v>732.49</v>
      </c>
      <c r="V12" s="46">
        <v>905.31</v>
      </c>
      <c r="W12" s="45">
        <v>0.88590000000000002</v>
      </c>
      <c r="X12" s="46">
        <v>5.68</v>
      </c>
      <c r="Y12" s="48">
        <f>50.4*Z12</f>
        <v>12524.05011852349</v>
      </c>
      <c r="Z12" s="47">
        <f>SUM((Q12-U12)*N12)/W12</f>
        <v>248.49305790721209</v>
      </c>
      <c r="AA12" s="46">
        <f>Z12/2085.71</f>
        <v>0.11914075202555105</v>
      </c>
    </row>
    <row r="13" spans="1:27" s="22" customFormat="1" x14ac:dyDescent="0.25">
      <c r="A13" s="7" t="str">
        <f t="shared" si="0"/>
        <v>2947Providence Alaska Medical Center3060Anesthesia</v>
      </c>
      <c r="B13" s="7"/>
      <c r="C13" s="29" t="s">
        <v>828</v>
      </c>
      <c r="D13" s="29" t="s">
        <v>828</v>
      </c>
      <c r="E13" s="29" t="s">
        <v>828</v>
      </c>
      <c r="F13" s="29">
        <v>2947</v>
      </c>
      <c r="G13" s="4" t="s">
        <v>829</v>
      </c>
      <c r="H13" s="5">
        <v>3060</v>
      </c>
      <c r="I13" s="4" t="s">
        <v>180</v>
      </c>
      <c r="J13" s="4" t="s">
        <v>47</v>
      </c>
      <c r="K13" s="4" t="s">
        <v>180</v>
      </c>
      <c r="L13" s="4" t="s">
        <v>181</v>
      </c>
      <c r="M13" s="37">
        <v>14452.93</v>
      </c>
      <c r="N13" s="37">
        <v>14682.58</v>
      </c>
      <c r="O13" s="38">
        <v>0.55559999999999998</v>
      </c>
      <c r="P13" s="39">
        <v>0.95</v>
      </c>
      <c r="Q13" s="39">
        <v>1.1200000000000001</v>
      </c>
      <c r="R13" s="38">
        <v>0.55559999999999998</v>
      </c>
      <c r="S13" s="40">
        <v>10</v>
      </c>
      <c r="T13" s="39">
        <v>0.74</v>
      </c>
      <c r="U13" s="39">
        <v>0.91</v>
      </c>
      <c r="V13" s="39">
        <v>1.03</v>
      </c>
      <c r="W13" s="38">
        <v>0.89439999999999997</v>
      </c>
      <c r="X13" s="39">
        <v>8.8800000000000008</v>
      </c>
      <c r="Y13" s="41">
        <v>78629.074494411703</v>
      </c>
      <c r="Z13" s="40">
        <v>3582</v>
      </c>
      <c r="AA13" s="39">
        <v>1.7175741901386099</v>
      </c>
    </row>
    <row r="14" spans="1:27" s="22" customFormat="1" x14ac:dyDescent="0.25">
      <c r="A14" s="7" t="str">
        <f t="shared" si="0"/>
        <v>2947Providence Alaska Medical Center5120Cafeteria</v>
      </c>
      <c r="B14" s="7"/>
      <c r="C14" s="29" t="s">
        <v>828</v>
      </c>
      <c r="D14" s="29" t="s">
        <v>828</v>
      </c>
      <c r="E14" s="29" t="s">
        <v>828</v>
      </c>
      <c r="F14" s="89">
        <v>2947</v>
      </c>
      <c r="G14" s="43" t="s">
        <v>829</v>
      </c>
      <c r="H14" s="42">
        <v>5120</v>
      </c>
      <c r="I14" s="43" t="s">
        <v>126</v>
      </c>
      <c r="J14" s="43" t="s">
        <v>65</v>
      </c>
      <c r="K14" s="43" t="s">
        <v>866</v>
      </c>
      <c r="L14" s="43" t="s">
        <v>127</v>
      </c>
      <c r="M14" s="44">
        <v>1136684.22</v>
      </c>
      <c r="N14" s="44">
        <v>1163020.44</v>
      </c>
      <c r="O14" s="45">
        <v>0.66669999999999996</v>
      </c>
      <c r="P14" s="46">
        <v>0.06</v>
      </c>
      <c r="Q14" s="46">
        <v>0.06</v>
      </c>
      <c r="R14" s="45">
        <v>0.55559999999999998</v>
      </c>
      <c r="S14" s="47">
        <v>10</v>
      </c>
      <c r="T14" s="46">
        <v>0.05</v>
      </c>
      <c r="U14" s="46">
        <v>0.05</v>
      </c>
      <c r="V14" s="46">
        <v>0.06</v>
      </c>
      <c r="W14" s="45">
        <v>0.88790000000000002</v>
      </c>
      <c r="X14" s="46">
        <v>38.090000000000003</v>
      </c>
      <c r="Y14" s="48">
        <v>283122.88040540001</v>
      </c>
      <c r="Z14" s="47">
        <v>13952</v>
      </c>
      <c r="AA14" s="46">
        <v>6.6891463556618103</v>
      </c>
    </row>
    <row r="15" spans="1:27" s="22" customFormat="1" x14ac:dyDescent="0.25">
      <c r="A15" s="7" t="str">
        <f t="shared" si="0"/>
        <v>2947Providence Alaska Medical Center4230Cardiac Cath Lab</v>
      </c>
      <c r="B15" s="7"/>
      <c r="C15" s="29" t="s">
        <v>828</v>
      </c>
      <c r="D15" s="29" t="s">
        <v>828</v>
      </c>
      <c r="E15" s="29" t="s">
        <v>828</v>
      </c>
      <c r="F15" s="29">
        <v>2947</v>
      </c>
      <c r="G15" s="4" t="s">
        <v>829</v>
      </c>
      <c r="H15" s="5">
        <v>4230</v>
      </c>
      <c r="I15" s="4" t="s">
        <v>96</v>
      </c>
      <c r="J15" s="4" t="s">
        <v>60</v>
      </c>
      <c r="K15" s="4" t="s">
        <v>904</v>
      </c>
      <c r="L15" s="4" t="s">
        <v>905</v>
      </c>
      <c r="M15" s="37">
        <v>6992</v>
      </c>
      <c r="N15" s="37">
        <v>8350</v>
      </c>
      <c r="O15" s="38">
        <v>0.75</v>
      </c>
      <c r="P15" s="39">
        <v>7.73</v>
      </c>
      <c r="Q15" s="39">
        <v>6.61</v>
      </c>
      <c r="R15" s="38">
        <v>0.55559999999999998</v>
      </c>
      <c r="S15" s="40">
        <v>10</v>
      </c>
      <c r="T15" s="39">
        <v>4.47</v>
      </c>
      <c r="U15" s="39">
        <v>4.8</v>
      </c>
      <c r="V15" s="39">
        <v>6.27</v>
      </c>
      <c r="W15" s="38">
        <v>0.89490000000000003</v>
      </c>
      <c r="X15" s="39">
        <v>29.64</v>
      </c>
      <c r="Y15" s="41">
        <f>48.07*Z15</f>
        <v>811829.19320594508</v>
      </c>
      <c r="Z15" s="40">
        <f>SUM((Q15-U15)*N15)/W15</f>
        <v>16888.479159682651</v>
      </c>
      <c r="AA15" s="39">
        <f>Z15/2085.71</f>
        <v>8.0972326736136147</v>
      </c>
    </row>
    <row r="16" spans="1:27" s="22" customFormat="1" x14ac:dyDescent="0.25">
      <c r="A16" s="7" t="str">
        <f t="shared" si="0"/>
        <v>2947Providence Alaska Medical Center12115N Medical Oncology</v>
      </c>
      <c r="B16" s="7"/>
      <c r="C16" s="29" t="s">
        <v>828</v>
      </c>
      <c r="D16" s="29" t="s">
        <v>828</v>
      </c>
      <c r="E16" s="29" t="s">
        <v>828</v>
      </c>
      <c r="F16" s="29">
        <v>2947</v>
      </c>
      <c r="G16" s="4" t="s">
        <v>829</v>
      </c>
      <c r="H16" s="5">
        <v>1211</v>
      </c>
      <c r="I16" s="4" t="s">
        <v>161</v>
      </c>
      <c r="J16" s="4" t="s">
        <v>23</v>
      </c>
      <c r="K16" s="4" t="s">
        <v>876</v>
      </c>
      <c r="L16" s="4" t="s">
        <v>74</v>
      </c>
      <c r="M16" s="37">
        <v>14914</v>
      </c>
      <c r="N16" s="37">
        <v>15351</v>
      </c>
      <c r="O16" s="38">
        <v>0.66669999999999996</v>
      </c>
      <c r="P16" s="39">
        <v>9.7100000000000009</v>
      </c>
      <c r="Q16" s="39">
        <v>10.039999999999999</v>
      </c>
      <c r="R16" s="38">
        <v>0.5</v>
      </c>
      <c r="S16" s="40">
        <v>10</v>
      </c>
      <c r="T16" s="39">
        <v>8.48</v>
      </c>
      <c r="U16" s="39">
        <v>9.0500000000000007</v>
      </c>
      <c r="V16" s="39">
        <v>10.039999999999999</v>
      </c>
      <c r="W16" s="38">
        <v>0.89149999999999996</v>
      </c>
      <c r="X16" s="39">
        <v>83.11</v>
      </c>
      <c r="Y16" s="41">
        <v>647926.21811541799</v>
      </c>
      <c r="Z16" s="40">
        <v>17508</v>
      </c>
      <c r="AA16" s="39">
        <v>8.3942668653255605</v>
      </c>
    </row>
    <row r="17" spans="1:27" s="22" customFormat="1" x14ac:dyDescent="0.25">
      <c r="A17" s="7" t="str">
        <f t="shared" si="0"/>
        <v>2947Providence Alaska Medical Center1260Pediatrics</v>
      </c>
      <c r="B17" s="7"/>
      <c r="C17" s="29" t="s">
        <v>828</v>
      </c>
      <c r="D17" s="29" t="s">
        <v>828</v>
      </c>
      <c r="E17" s="29" t="s">
        <v>828</v>
      </c>
      <c r="F17" s="29">
        <v>2947</v>
      </c>
      <c r="G17" s="4" t="s">
        <v>829</v>
      </c>
      <c r="H17" s="5">
        <v>1260</v>
      </c>
      <c r="I17" s="4" t="s">
        <v>173</v>
      </c>
      <c r="J17" s="4" t="s">
        <v>23</v>
      </c>
      <c r="K17" s="4" t="s">
        <v>877</v>
      </c>
      <c r="L17" s="4" t="s">
        <v>74</v>
      </c>
      <c r="M17" s="37">
        <v>4491</v>
      </c>
      <c r="N17" s="37">
        <v>4964</v>
      </c>
      <c r="O17" s="38">
        <v>0.55559999999999998</v>
      </c>
      <c r="P17" s="39">
        <v>16.88</v>
      </c>
      <c r="Q17" s="39">
        <f>81305.5/N17</f>
        <v>16.379029008863821</v>
      </c>
      <c r="R17" s="38">
        <v>0.88890000000000002</v>
      </c>
      <c r="S17" s="40">
        <v>10</v>
      </c>
      <c r="T17" s="39">
        <v>10.220000000000001</v>
      </c>
      <c r="U17" s="39">
        <v>11.31</v>
      </c>
      <c r="V17" s="39">
        <v>12.3</v>
      </c>
      <c r="W17" s="38">
        <v>0.88890000000000002</v>
      </c>
      <c r="X17" s="39">
        <v>43.82</v>
      </c>
      <c r="Y17" s="41">
        <f>35.69*Z17</f>
        <v>1010299.6235797053</v>
      </c>
      <c r="Z17" s="40">
        <f>SUM((Q17-U17)*N17)/W17</f>
        <v>28307.638654516821</v>
      </c>
      <c r="AA17" s="39">
        <f>Z17/2085.71</f>
        <v>13.572183407336984</v>
      </c>
    </row>
    <row r="18" spans="1:27" s="22" customFormat="1" x14ac:dyDescent="0.25">
      <c r="A18" s="7" t="str">
        <f t="shared" si="0"/>
        <v>2947Providence Alaska Medical Center5110Dietary and Nutritional Services</v>
      </c>
      <c r="B18" s="7"/>
      <c r="C18" s="29" t="s">
        <v>828</v>
      </c>
      <c r="D18" s="29" t="s">
        <v>828</v>
      </c>
      <c r="E18" s="29" t="s">
        <v>828</v>
      </c>
      <c r="F18" s="89">
        <v>2947</v>
      </c>
      <c r="G18" s="43" t="s">
        <v>829</v>
      </c>
      <c r="H18" s="42">
        <v>5110</v>
      </c>
      <c r="I18" s="43" t="s">
        <v>129</v>
      </c>
      <c r="J18" s="43" t="s">
        <v>65</v>
      </c>
      <c r="K18" s="43" t="s">
        <v>867</v>
      </c>
      <c r="L18" s="43" t="s">
        <v>130</v>
      </c>
      <c r="M18" s="44">
        <v>363134.85</v>
      </c>
      <c r="N18" s="44">
        <v>382641.24</v>
      </c>
      <c r="O18" s="45">
        <v>0.8</v>
      </c>
      <c r="P18" s="46">
        <v>0.27</v>
      </c>
      <c r="Q18" s="46">
        <v>0.24</v>
      </c>
      <c r="R18" s="45">
        <v>0</v>
      </c>
      <c r="S18" s="47">
        <v>11</v>
      </c>
      <c r="T18" s="46">
        <v>0.32</v>
      </c>
      <c r="U18" s="46">
        <v>0.34</v>
      </c>
      <c r="V18" s="46">
        <v>0.36</v>
      </c>
      <c r="W18" s="45">
        <v>0.88819999999999999</v>
      </c>
      <c r="X18" s="46">
        <v>50.33</v>
      </c>
      <c r="Y18" s="48">
        <v>-809360.13873277395</v>
      </c>
      <c r="Z18" s="47">
        <v>-41501</v>
      </c>
      <c r="AA18" s="46">
        <v>-19.897641313901101</v>
      </c>
    </row>
    <row r="19" spans="1:27" s="22" customFormat="1" x14ac:dyDescent="0.25">
      <c r="A19" s="7" t="str">
        <f t="shared" si="0"/>
        <v>2947Providence Alaska Medical Center3410Diagnostic Radiology</v>
      </c>
      <c r="B19" s="7"/>
      <c r="C19" s="29" t="s">
        <v>828</v>
      </c>
      <c r="D19" s="29" t="s">
        <v>828</v>
      </c>
      <c r="E19" s="29" t="s">
        <v>828</v>
      </c>
      <c r="F19" s="29">
        <v>2947</v>
      </c>
      <c r="G19" s="4" t="s">
        <v>829</v>
      </c>
      <c r="H19" s="5">
        <v>3410</v>
      </c>
      <c r="I19" s="4" t="s">
        <v>858</v>
      </c>
      <c r="J19" s="4" t="s">
        <v>57</v>
      </c>
      <c r="K19" s="4" t="s">
        <v>859</v>
      </c>
      <c r="L19" s="4" t="s">
        <v>99</v>
      </c>
      <c r="M19" s="37">
        <v>52222.9</v>
      </c>
      <c r="N19" s="37">
        <v>54814.77</v>
      </c>
      <c r="O19" s="38">
        <v>0.4</v>
      </c>
      <c r="P19" s="39">
        <v>0.36</v>
      </c>
      <c r="Q19" s="39">
        <v>0.5</v>
      </c>
      <c r="R19" s="38">
        <v>0</v>
      </c>
      <c r="S19" s="40">
        <v>11</v>
      </c>
      <c r="T19" s="39">
        <v>0.56999999999999995</v>
      </c>
      <c r="U19" s="39">
        <v>0.6</v>
      </c>
      <c r="V19" s="39">
        <v>0.61</v>
      </c>
      <c r="W19" s="38">
        <v>0.86739999999999995</v>
      </c>
      <c r="X19" s="39">
        <v>15.11</v>
      </c>
      <c r="Y19" s="41">
        <v>-226275.05412966799</v>
      </c>
      <c r="Z19" s="40">
        <v>-6402</v>
      </c>
      <c r="AA19" s="39">
        <v>-3.0693180433769198</v>
      </c>
    </row>
    <row r="20" spans="1:27" s="22" customFormat="1" x14ac:dyDescent="0.25">
      <c r="A20" s="7" t="str">
        <f t="shared" si="0"/>
        <v>2947Providence Alaska Medical Center5010Maintenance &amp; Grounds</v>
      </c>
      <c r="B20" s="7"/>
      <c r="C20" s="29" t="s">
        <v>828</v>
      </c>
      <c r="D20" s="29" t="s">
        <v>828</v>
      </c>
      <c r="E20" s="29" t="s">
        <v>828</v>
      </c>
      <c r="F20" s="29">
        <v>2947</v>
      </c>
      <c r="G20" s="4" t="s">
        <v>829</v>
      </c>
      <c r="H20" s="5">
        <v>5010</v>
      </c>
      <c r="I20" s="4" t="s">
        <v>853</v>
      </c>
      <c r="J20" s="4" t="s">
        <v>62</v>
      </c>
      <c r="K20" s="4" t="s">
        <v>854</v>
      </c>
      <c r="L20" s="4" t="s">
        <v>63</v>
      </c>
      <c r="M20" s="37">
        <v>2144</v>
      </c>
      <c r="N20" s="37">
        <v>2144</v>
      </c>
      <c r="O20" s="38">
        <v>0.5</v>
      </c>
      <c r="P20" s="39">
        <v>23.25</v>
      </c>
      <c r="Q20" s="39">
        <v>19.62</v>
      </c>
      <c r="R20" s="38">
        <v>0.1429</v>
      </c>
      <c r="S20" s="40">
        <v>11</v>
      </c>
      <c r="T20" s="39">
        <v>20.100000000000001</v>
      </c>
      <c r="U20" s="39">
        <v>20.329999999999998</v>
      </c>
      <c r="V20" s="39">
        <v>20.81</v>
      </c>
      <c r="W20" s="38">
        <v>0.87970000000000004</v>
      </c>
      <c r="X20" s="39">
        <v>22.99</v>
      </c>
      <c r="Y20" s="41">
        <v>-44866.126609754603</v>
      </c>
      <c r="Z20" s="40">
        <v>-1598</v>
      </c>
      <c r="AA20" s="39">
        <v>-0.766131824743852</v>
      </c>
    </row>
    <row r="21" spans="1:27" s="22" customFormat="1" x14ac:dyDescent="0.25">
      <c r="A21" s="7" t="str">
        <f t="shared" si="0"/>
        <v>2947Providence Alaska Medical Center1110Renal Care Unit</v>
      </c>
      <c r="B21" s="7"/>
      <c r="C21" s="29" t="s">
        <v>828</v>
      </c>
      <c r="D21" s="29" t="s">
        <v>828</v>
      </c>
      <c r="E21" s="29" t="s">
        <v>828</v>
      </c>
      <c r="F21" s="29">
        <v>2947</v>
      </c>
      <c r="G21" s="4" t="s">
        <v>829</v>
      </c>
      <c r="H21" s="5">
        <v>1110</v>
      </c>
      <c r="I21" s="4" t="s">
        <v>111</v>
      </c>
      <c r="J21" s="4" t="s">
        <v>23</v>
      </c>
      <c r="K21" s="4" t="s">
        <v>880</v>
      </c>
      <c r="L21" s="4" t="s">
        <v>74</v>
      </c>
      <c r="M21" s="37">
        <v>3812</v>
      </c>
      <c r="N21" s="37">
        <v>3671</v>
      </c>
      <c r="O21" s="38">
        <v>0.55559999999999998</v>
      </c>
      <c r="P21" s="39">
        <v>10.69</v>
      </c>
      <c r="Q21" s="39">
        <f>45028.53/N21</f>
        <v>12.266011985834922</v>
      </c>
      <c r="R21" s="38">
        <v>0.4</v>
      </c>
      <c r="S21" s="40">
        <v>11</v>
      </c>
      <c r="T21" s="39">
        <v>12</v>
      </c>
      <c r="U21" s="39">
        <v>12.26</v>
      </c>
      <c r="V21" s="39">
        <v>12.67</v>
      </c>
      <c r="W21" s="38">
        <v>0.91039999999999999</v>
      </c>
      <c r="X21" s="39">
        <v>23.78</v>
      </c>
      <c r="Y21" s="41">
        <f>38.7*Z21</f>
        <v>938.1689367310704</v>
      </c>
      <c r="Z21" s="40">
        <f>SUM((Q21-U21)*N21)/W21</f>
        <v>24.24209138839975</v>
      </c>
      <c r="AA21" s="39">
        <f>Z21/2085.71</f>
        <v>1.1622944411447301E-2</v>
      </c>
    </row>
    <row r="22" spans="1:27" s="22" customFormat="1" x14ac:dyDescent="0.25">
      <c r="A22" s="7" t="str">
        <f t="shared" si="0"/>
        <v>2947Providence Alaska Medical Center1023CARDIAC THORASIC ICU</v>
      </c>
      <c r="B22" s="7"/>
      <c r="C22" s="29" t="s">
        <v>828</v>
      </c>
      <c r="D22" s="29" t="s">
        <v>828</v>
      </c>
      <c r="E22" s="29" t="s">
        <v>828</v>
      </c>
      <c r="F22" s="29">
        <v>2947</v>
      </c>
      <c r="G22" s="4" t="s">
        <v>829</v>
      </c>
      <c r="H22" s="5">
        <v>1023</v>
      </c>
      <c r="I22" s="4" t="s">
        <v>878</v>
      </c>
      <c r="J22" s="4" t="s">
        <v>23</v>
      </c>
      <c r="K22" s="4" t="s">
        <v>879</v>
      </c>
      <c r="L22" s="4" t="s">
        <v>74</v>
      </c>
      <c r="M22" s="49"/>
      <c r="N22" s="37">
        <v>2371</v>
      </c>
      <c r="O22" s="38">
        <v>0.5</v>
      </c>
      <c r="P22" s="7"/>
      <c r="Q22" s="39">
        <v>20.100000000000001</v>
      </c>
      <c r="R22" s="38">
        <v>0.5</v>
      </c>
      <c r="S22" s="40">
        <v>11</v>
      </c>
      <c r="T22" s="39">
        <v>19</v>
      </c>
      <c r="U22" s="39">
        <v>19.59</v>
      </c>
      <c r="V22" s="39">
        <v>20.100000000000001</v>
      </c>
      <c r="W22" s="38">
        <v>0.92589999999999995</v>
      </c>
      <c r="X22" s="39">
        <v>24.75</v>
      </c>
      <c r="Y22" s="41">
        <v>65329.861191798002</v>
      </c>
      <c r="Z22" s="40">
        <v>1456</v>
      </c>
      <c r="AA22" s="39">
        <v>0.69806260558898403</v>
      </c>
    </row>
    <row r="23" spans="1:27" s="22" customFormat="1" x14ac:dyDescent="0.25">
      <c r="A23" s="7" t="str">
        <f t="shared" si="0"/>
        <v>2947Providence Alaska Medical Center5925TRANSPORT AND LOGISTICS</v>
      </c>
      <c r="B23" s="7"/>
      <c r="C23" s="29" t="s">
        <v>828</v>
      </c>
      <c r="D23" s="29" t="s">
        <v>828</v>
      </c>
      <c r="E23" s="29" t="s">
        <v>828</v>
      </c>
      <c r="F23" s="29">
        <v>2947</v>
      </c>
      <c r="G23" s="4" t="s">
        <v>829</v>
      </c>
      <c r="H23" s="5">
        <v>5925</v>
      </c>
      <c r="I23" s="4" t="s">
        <v>135</v>
      </c>
      <c r="J23" s="4" t="s">
        <v>136</v>
      </c>
      <c r="K23" s="4" t="s">
        <v>843</v>
      </c>
      <c r="L23" s="4" t="s">
        <v>137</v>
      </c>
      <c r="M23" s="37">
        <v>1035.03</v>
      </c>
      <c r="N23" s="37">
        <v>1051.06</v>
      </c>
      <c r="O23" s="38">
        <v>0.54549999999999998</v>
      </c>
      <c r="P23" s="39">
        <v>31.06</v>
      </c>
      <c r="Q23" s="39">
        <v>31.9</v>
      </c>
      <c r="R23" s="38">
        <v>0.18179999999999999</v>
      </c>
      <c r="S23" s="40">
        <v>12</v>
      </c>
      <c r="T23" s="39">
        <v>33.65</v>
      </c>
      <c r="U23" s="39">
        <v>35.97</v>
      </c>
      <c r="V23" s="39">
        <v>41.04</v>
      </c>
      <c r="W23" s="38">
        <v>0.90169999999999995</v>
      </c>
      <c r="X23" s="39">
        <v>17.88</v>
      </c>
      <c r="Y23" s="41">
        <v>-82514.148431148395</v>
      </c>
      <c r="Z23" s="40">
        <v>-4636</v>
      </c>
      <c r="AA23" s="39">
        <v>-2.2226835200916502</v>
      </c>
    </row>
    <row r="24" spans="1:27" s="22" customFormat="1" x14ac:dyDescent="0.25">
      <c r="A24" s="7" t="str">
        <f t="shared" si="0"/>
        <v>2947Providence Alaska Medical Center4630Endoscopy</v>
      </c>
      <c r="B24" s="7"/>
      <c r="C24" s="29" t="s">
        <v>828</v>
      </c>
      <c r="D24" s="29" t="s">
        <v>828</v>
      </c>
      <c r="E24" s="29" t="s">
        <v>828</v>
      </c>
      <c r="F24" s="29">
        <v>2947</v>
      </c>
      <c r="G24" s="4" t="s">
        <v>829</v>
      </c>
      <c r="H24" s="5">
        <v>4630</v>
      </c>
      <c r="I24" s="4" t="s">
        <v>104</v>
      </c>
      <c r="J24" s="4" t="s">
        <v>83</v>
      </c>
      <c r="K24" s="4" t="s">
        <v>901</v>
      </c>
      <c r="L24" s="4" t="s">
        <v>97</v>
      </c>
      <c r="M24" s="49"/>
      <c r="N24" s="37">
        <v>161556</v>
      </c>
      <c r="O24" s="38">
        <v>0.54549999999999998</v>
      </c>
      <c r="P24" s="7"/>
      <c r="Q24" s="39">
        <v>0.12</v>
      </c>
      <c r="R24" s="38">
        <v>0.1</v>
      </c>
      <c r="S24" s="40">
        <v>12</v>
      </c>
      <c r="T24" s="39">
        <v>0.13</v>
      </c>
      <c r="U24" s="39">
        <v>0.14000000000000001</v>
      </c>
      <c r="V24" s="39">
        <v>0.16</v>
      </c>
      <c r="W24" s="38">
        <v>0.89970000000000006</v>
      </c>
      <c r="X24" s="39">
        <v>10.47</v>
      </c>
      <c r="Y24" s="41">
        <v>-150048.66848207699</v>
      </c>
      <c r="Z24" s="40">
        <v>-3302</v>
      </c>
      <c r="AA24" s="39">
        <v>-1.58317788002499</v>
      </c>
    </row>
    <row r="25" spans="1:27" s="22" customFormat="1" x14ac:dyDescent="0.25">
      <c r="A25" s="7" t="str">
        <f t="shared" si="0"/>
        <v>2947Providence Alaska Medical Center111119860101, IMCU</v>
      </c>
      <c r="B25" s="7"/>
      <c r="C25" s="29" t="s">
        <v>828</v>
      </c>
      <c r="D25" s="29" t="s">
        <v>828</v>
      </c>
      <c r="E25" s="29" t="s">
        <v>828</v>
      </c>
      <c r="F25" s="29">
        <v>2947</v>
      </c>
      <c r="G25" s="4" t="s">
        <v>829</v>
      </c>
      <c r="H25" s="5">
        <v>1111</v>
      </c>
      <c r="I25" s="4" t="s">
        <v>146</v>
      </c>
      <c r="J25" s="4" t="s">
        <v>23</v>
      </c>
      <c r="K25" s="4" t="s">
        <v>881</v>
      </c>
      <c r="L25" s="4" t="s">
        <v>74</v>
      </c>
      <c r="M25" s="49"/>
      <c r="N25" s="37">
        <v>3026</v>
      </c>
      <c r="O25" s="38">
        <v>0.54549999999999998</v>
      </c>
      <c r="P25" s="7"/>
      <c r="Q25" s="39">
        <v>14.11</v>
      </c>
      <c r="R25" s="38">
        <v>0.6</v>
      </c>
      <c r="S25" s="40">
        <v>12</v>
      </c>
      <c r="T25" s="39">
        <v>12.55</v>
      </c>
      <c r="U25" s="39">
        <v>12.95</v>
      </c>
      <c r="V25" s="39">
        <v>13.57</v>
      </c>
      <c r="W25" s="38">
        <v>0.99939999999999996</v>
      </c>
      <c r="X25" s="39">
        <v>20.54</v>
      </c>
      <c r="Y25" s="41">
        <v>134240.54486156499</v>
      </c>
      <c r="Z25" s="40">
        <v>3630</v>
      </c>
      <c r="AA25" s="39">
        <v>1.7404477462332</v>
      </c>
    </row>
    <row r="26" spans="1:27" s="22" customFormat="1" x14ac:dyDescent="0.25">
      <c r="A26" s="7" t="str">
        <f t="shared" si="0"/>
        <v>2947Providence Alaska Medical Center5111Nutrition Services</v>
      </c>
      <c r="B26" s="7"/>
      <c r="C26" s="29" t="s">
        <v>828</v>
      </c>
      <c r="D26" s="29" t="s">
        <v>828</v>
      </c>
      <c r="E26" s="29" t="s">
        <v>828</v>
      </c>
      <c r="F26" s="29">
        <v>2947</v>
      </c>
      <c r="G26" s="4" t="s">
        <v>829</v>
      </c>
      <c r="H26" s="5">
        <v>5111</v>
      </c>
      <c r="I26" s="4" t="s">
        <v>64</v>
      </c>
      <c r="J26" s="4" t="s">
        <v>65</v>
      </c>
      <c r="K26" s="4" t="s">
        <v>903</v>
      </c>
      <c r="L26" s="4" t="s">
        <v>67</v>
      </c>
      <c r="M26" s="49"/>
      <c r="N26" s="37">
        <v>100616</v>
      </c>
      <c r="O26" s="38">
        <v>0.91669999999999996</v>
      </c>
      <c r="P26" s="7"/>
      <c r="Q26" s="39">
        <v>0.19</v>
      </c>
      <c r="R26" s="38">
        <v>0</v>
      </c>
      <c r="S26" s="40">
        <v>13</v>
      </c>
      <c r="T26" s="39">
        <v>0.28000000000000003</v>
      </c>
      <c r="U26" s="39">
        <v>0.28999999999999998</v>
      </c>
      <c r="V26" s="39">
        <v>0.34</v>
      </c>
      <c r="W26" s="38">
        <v>0.91849999999999998</v>
      </c>
      <c r="X26" s="39">
        <v>10.25</v>
      </c>
      <c r="Y26" s="41">
        <v>-325047.62195027899</v>
      </c>
      <c r="Z26" s="40">
        <v>-10389</v>
      </c>
      <c r="AA26" s="39">
        <v>-4.9811973054244598</v>
      </c>
    </row>
    <row r="27" spans="1:27" s="22" customFormat="1" x14ac:dyDescent="0.25">
      <c r="A27" s="7" t="str">
        <f t="shared" si="0"/>
        <v>2947Providence Alaska Medical Center1276PRENATAL UNIT</v>
      </c>
      <c r="B27" s="7"/>
      <c r="C27" s="29" t="s">
        <v>828</v>
      </c>
      <c r="D27" s="29" t="s">
        <v>828</v>
      </c>
      <c r="E27" s="29" t="s">
        <v>828</v>
      </c>
      <c r="F27" s="29">
        <v>2947</v>
      </c>
      <c r="G27" s="4" t="s">
        <v>829</v>
      </c>
      <c r="H27" s="5">
        <v>1276</v>
      </c>
      <c r="I27" s="4" t="s">
        <v>175</v>
      </c>
      <c r="J27" s="4" t="s">
        <v>23</v>
      </c>
      <c r="K27" s="4" t="s">
        <v>882</v>
      </c>
      <c r="L27" s="4" t="s">
        <v>74</v>
      </c>
      <c r="M27" s="49"/>
      <c r="N27" s="37">
        <v>3429</v>
      </c>
      <c r="O27" s="38">
        <v>0.69230000000000003</v>
      </c>
      <c r="P27" s="7"/>
      <c r="Q27" s="39">
        <f>40271.73/N27</f>
        <v>11.744453193350832</v>
      </c>
      <c r="R27" s="38">
        <v>0.91669999999999996</v>
      </c>
      <c r="S27" s="40">
        <v>13</v>
      </c>
      <c r="T27" s="39">
        <v>9.06</v>
      </c>
      <c r="U27" s="39">
        <v>9.6300000000000008</v>
      </c>
      <c r="V27" s="39">
        <v>9.99</v>
      </c>
      <c r="W27" s="38">
        <v>0.90780000000000005</v>
      </c>
      <c r="X27" s="39">
        <v>21.33</v>
      </c>
      <c r="Y27" s="41">
        <f>44.54*Z27</f>
        <v>355734.17977528088</v>
      </c>
      <c r="Z27" s="40">
        <f>SUM((Q27-U27)*N27)/W27</f>
        <v>7986.8473231989428</v>
      </c>
      <c r="AA27" s="39">
        <f>Z27/2085.71</f>
        <v>3.8293182288999632</v>
      </c>
    </row>
    <row r="28" spans="1:27" s="22" customFormat="1" x14ac:dyDescent="0.25">
      <c r="A28" s="7" t="str">
        <f t="shared" si="0"/>
        <v>2947Providence Alaska Medical Center2010Emergency Department</v>
      </c>
      <c r="B28" s="7"/>
      <c r="C28" s="29" t="s">
        <v>828</v>
      </c>
      <c r="D28" s="29" t="s">
        <v>828</v>
      </c>
      <c r="E28" s="29" t="s">
        <v>828</v>
      </c>
      <c r="F28" s="29">
        <v>2947</v>
      </c>
      <c r="G28" s="4" t="s">
        <v>829</v>
      </c>
      <c r="H28" s="5">
        <v>2010</v>
      </c>
      <c r="I28" s="4" t="s">
        <v>75</v>
      </c>
      <c r="J28" s="4" t="s">
        <v>76</v>
      </c>
      <c r="K28" s="4" t="s">
        <v>75</v>
      </c>
      <c r="L28" s="4" t="s">
        <v>77</v>
      </c>
      <c r="M28" s="37">
        <v>67413</v>
      </c>
      <c r="N28" s="37">
        <v>72137</v>
      </c>
      <c r="O28" s="38">
        <v>0.53849999999999998</v>
      </c>
      <c r="P28" s="39">
        <v>2.75</v>
      </c>
      <c r="Q28" s="39">
        <v>2.73</v>
      </c>
      <c r="R28" s="38">
        <v>0.30769999999999997</v>
      </c>
      <c r="S28" s="40">
        <v>14</v>
      </c>
      <c r="T28" s="39">
        <v>2.69</v>
      </c>
      <c r="U28" s="39">
        <v>2.74</v>
      </c>
      <c r="V28" s="39">
        <v>2.84</v>
      </c>
      <c r="W28" s="38">
        <v>0.90059999999999996</v>
      </c>
      <c r="X28" s="39">
        <v>104.96</v>
      </c>
      <c r="Y28" s="41">
        <v>-23562.234029585801</v>
      </c>
      <c r="Z28" s="40">
        <v>-556</v>
      </c>
      <c r="AA28" s="39">
        <v>-0.26643478873424398</v>
      </c>
    </row>
    <row r="29" spans="1:27" s="22" customFormat="1" x14ac:dyDescent="0.25">
      <c r="A29" s="7" t="str">
        <f t="shared" si="0"/>
        <v>2947Providence Alaska Medical Center5530Telecommunications (U)</v>
      </c>
      <c r="B29" s="7"/>
      <c r="C29" s="29" t="s">
        <v>828</v>
      </c>
      <c r="D29" s="29" t="s">
        <v>828</v>
      </c>
      <c r="E29" s="29" t="s">
        <v>828</v>
      </c>
      <c r="F29" s="29">
        <v>2947</v>
      </c>
      <c r="G29" s="4" t="s">
        <v>829</v>
      </c>
      <c r="H29" s="4">
        <v>5530</v>
      </c>
      <c r="I29" s="4" t="s">
        <v>144</v>
      </c>
      <c r="J29" s="4" t="s">
        <v>68</v>
      </c>
      <c r="K29" s="4" t="s">
        <v>838</v>
      </c>
      <c r="L29" s="4" t="s">
        <v>343</v>
      </c>
      <c r="M29" s="37"/>
      <c r="N29" s="37">
        <v>3504.86</v>
      </c>
      <c r="O29" s="38"/>
      <c r="P29" s="39"/>
      <c r="Q29" s="39">
        <v>2.96</v>
      </c>
      <c r="R29" s="38"/>
      <c r="S29" s="40">
        <v>14</v>
      </c>
      <c r="T29" s="39">
        <v>3.35</v>
      </c>
      <c r="U29" s="39">
        <v>3.6</v>
      </c>
      <c r="V29" s="39">
        <v>3.72</v>
      </c>
      <c r="W29" s="38">
        <v>0.87729999999999997</v>
      </c>
      <c r="X29" s="39">
        <v>5.68</v>
      </c>
      <c r="Y29" s="41">
        <v>-57117.870187397959</v>
      </c>
      <c r="Z29" s="40">
        <v>-2535.3580127208511</v>
      </c>
      <c r="AA29" s="39">
        <v>-1.2155851066163805</v>
      </c>
    </row>
    <row r="30" spans="1:27" s="22" customFormat="1" x14ac:dyDescent="0.25">
      <c r="A30" s="7" t="str">
        <f t="shared" si="0"/>
        <v>2947Providence Alaska Medical Center4811PHYSICAL THERAPY IP</v>
      </c>
      <c r="B30" s="7"/>
      <c r="C30" s="29" t="s">
        <v>828</v>
      </c>
      <c r="D30" s="29" t="s">
        <v>828</v>
      </c>
      <c r="E30" s="29" t="s">
        <v>828</v>
      </c>
      <c r="F30" s="29">
        <v>2947</v>
      </c>
      <c r="G30" s="4" t="s">
        <v>829</v>
      </c>
      <c r="H30" s="5">
        <v>4811</v>
      </c>
      <c r="I30" s="4" t="s">
        <v>124</v>
      </c>
      <c r="J30" s="4" t="s">
        <v>41</v>
      </c>
      <c r="K30" s="4" t="s">
        <v>845</v>
      </c>
      <c r="L30" s="4" t="s">
        <v>79</v>
      </c>
      <c r="M30" s="37">
        <v>1055.53</v>
      </c>
      <c r="N30" s="37">
        <v>1372.97</v>
      </c>
      <c r="O30" s="38">
        <v>0.46150000000000002</v>
      </c>
      <c r="P30" s="39">
        <v>33.979999999999997</v>
      </c>
      <c r="Q30" s="39">
        <v>25.68</v>
      </c>
      <c r="R30" s="38">
        <v>0.22220000000000001</v>
      </c>
      <c r="S30" s="40">
        <v>14</v>
      </c>
      <c r="T30" s="39">
        <v>25.68</v>
      </c>
      <c r="U30" s="39">
        <v>25.74</v>
      </c>
      <c r="V30" s="39">
        <v>26.26</v>
      </c>
      <c r="W30" s="38">
        <v>0.9002</v>
      </c>
      <c r="X30" s="39">
        <v>18.829999999999998</v>
      </c>
      <c r="Y30" s="41">
        <v>721.28925035123905</v>
      </c>
      <c r="Z30" s="40">
        <v>16</v>
      </c>
      <c r="AA30" s="39">
        <v>7.4378138915847103E-3</v>
      </c>
    </row>
    <row r="31" spans="1:27" s="22" customFormat="1" x14ac:dyDescent="0.25">
      <c r="A31" s="7" t="str">
        <f t="shared" si="0"/>
        <v>2947Providence Alaska Medical Center11105W Neuro</v>
      </c>
      <c r="B31" s="7"/>
      <c r="C31" s="29" t="s">
        <v>828</v>
      </c>
      <c r="D31" s="29" t="s">
        <v>828</v>
      </c>
      <c r="E31" s="29" t="s">
        <v>828</v>
      </c>
      <c r="F31" s="29">
        <v>2947</v>
      </c>
      <c r="G31" s="4" t="s">
        <v>829</v>
      </c>
      <c r="H31" s="5">
        <v>1110</v>
      </c>
      <c r="I31" s="4" t="s">
        <v>111</v>
      </c>
      <c r="J31" s="4" t="s">
        <v>23</v>
      </c>
      <c r="K31" s="4" t="s">
        <v>883</v>
      </c>
      <c r="L31" s="4" t="s">
        <v>74</v>
      </c>
      <c r="M31" s="37">
        <v>3254</v>
      </c>
      <c r="N31" s="37">
        <v>3215</v>
      </c>
      <c r="O31" s="38">
        <v>0.61539999999999995</v>
      </c>
      <c r="P31" s="39">
        <v>12.22</v>
      </c>
      <c r="Q31" s="39">
        <v>13.68</v>
      </c>
      <c r="R31" s="38">
        <v>0.53849999999999998</v>
      </c>
      <c r="S31" s="40">
        <v>14</v>
      </c>
      <c r="T31" s="39">
        <v>12.2</v>
      </c>
      <c r="U31" s="39">
        <v>12.87</v>
      </c>
      <c r="V31" s="39">
        <v>13.55</v>
      </c>
      <c r="W31" s="38">
        <v>0.90739999999999998</v>
      </c>
      <c r="X31" s="39">
        <v>23.31</v>
      </c>
      <c r="Y31" s="41">
        <v>117400.377607979</v>
      </c>
      <c r="Z31" s="40">
        <v>3018</v>
      </c>
      <c r="AA31" s="39">
        <v>1.4470426233048499</v>
      </c>
    </row>
    <row r="32" spans="1:27" s="22" customFormat="1" x14ac:dyDescent="0.25">
      <c r="A32" s="7" t="str">
        <f t="shared" si="0"/>
        <v>2947Providence Alaska Medical Center5099Facilities Support</v>
      </c>
      <c r="B32" s="7"/>
      <c r="C32" s="29" t="s">
        <v>828</v>
      </c>
      <c r="D32" s="29" t="s">
        <v>828</v>
      </c>
      <c r="E32" s="29" t="s">
        <v>828</v>
      </c>
      <c r="F32" s="29">
        <v>2947</v>
      </c>
      <c r="G32" s="4" t="s">
        <v>829</v>
      </c>
      <c r="H32" s="5">
        <v>5099</v>
      </c>
      <c r="I32" s="4" t="s">
        <v>61</v>
      </c>
      <c r="J32" s="4" t="s">
        <v>62</v>
      </c>
      <c r="K32" s="4" t="s">
        <v>855</v>
      </c>
      <c r="L32" s="4" t="s">
        <v>63</v>
      </c>
      <c r="M32" s="37">
        <v>2144</v>
      </c>
      <c r="N32" s="37">
        <v>2144</v>
      </c>
      <c r="O32" s="38">
        <v>0.61539999999999995</v>
      </c>
      <c r="P32" s="39">
        <v>2.75</v>
      </c>
      <c r="Q32" s="39">
        <v>5.57</v>
      </c>
      <c r="R32" s="38">
        <v>1</v>
      </c>
      <c r="S32" s="40">
        <v>14</v>
      </c>
      <c r="T32" s="39">
        <v>2.0099999999999998</v>
      </c>
      <c r="U32" s="39">
        <v>2.85</v>
      </c>
      <c r="V32" s="39">
        <v>3.01</v>
      </c>
      <c r="W32" s="38">
        <v>0.87180000000000002</v>
      </c>
      <c r="X32" s="39">
        <v>6.58</v>
      </c>
      <c r="Y32" s="41">
        <v>216424.55690890001</v>
      </c>
      <c r="Z32" s="40">
        <v>6715</v>
      </c>
      <c r="AA32" s="39">
        <v>3.2195229389681699</v>
      </c>
    </row>
    <row r="33" spans="1:27" s="22" customFormat="1" x14ac:dyDescent="0.25">
      <c r="A33" s="7" t="str">
        <f t="shared" si="0"/>
        <v>2947Providence Alaska Medical Center6510Med Staff Office</v>
      </c>
      <c r="B33" s="7"/>
      <c r="C33" s="29" t="s">
        <v>828</v>
      </c>
      <c r="D33" s="29" t="s">
        <v>828</v>
      </c>
      <c r="E33" s="29" t="s">
        <v>828</v>
      </c>
      <c r="F33" s="29">
        <v>2947</v>
      </c>
      <c r="G33" s="4" t="s">
        <v>829</v>
      </c>
      <c r="H33" s="30">
        <v>6510</v>
      </c>
      <c r="I33" s="31" t="s">
        <v>19</v>
      </c>
      <c r="J33" s="31" t="s">
        <v>19</v>
      </c>
      <c r="K33" s="31" t="s">
        <v>900</v>
      </c>
      <c r="L33" s="31" t="s">
        <v>20</v>
      </c>
      <c r="M33" s="32">
        <v>719</v>
      </c>
      <c r="N33" s="32">
        <v>1130</v>
      </c>
      <c r="O33" s="33">
        <v>0.85709999999999997</v>
      </c>
      <c r="P33" s="34">
        <v>15.15</v>
      </c>
      <c r="Q33" s="34">
        <f>13063/N33</f>
        <v>11.560176991150442</v>
      </c>
      <c r="R33" s="33">
        <v>7.6899999999999996E-2</v>
      </c>
      <c r="S33" s="35">
        <v>15</v>
      </c>
      <c r="T33" s="34">
        <v>21.7</v>
      </c>
      <c r="U33" s="34">
        <v>28.43</v>
      </c>
      <c r="V33" s="34">
        <v>36.21</v>
      </c>
      <c r="W33" s="33">
        <v>0.87829999999999997</v>
      </c>
      <c r="X33" s="34">
        <v>7.15</v>
      </c>
      <c r="Y33" s="36">
        <f>22.79*Z33</f>
        <v>-494641.34236593422</v>
      </c>
      <c r="Z33" s="35">
        <f>SUM((Q33-U33)*N33)/W33</f>
        <v>-21704.315154275308</v>
      </c>
      <c r="AA33" s="34">
        <f>Z33/2085.71</f>
        <v>-10.406199881227643</v>
      </c>
    </row>
    <row r="34" spans="1:27" s="22" customFormat="1" x14ac:dyDescent="0.25">
      <c r="A34" s="7" t="str">
        <f t="shared" si="0"/>
        <v>2947Providence Alaska Medical Center4821Occupational Therapy IP</v>
      </c>
      <c r="B34" s="7"/>
      <c r="C34" s="29" t="s">
        <v>828</v>
      </c>
      <c r="D34" s="29" t="s">
        <v>828</v>
      </c>
      <c r="E34" s="29" t="s">
        <v>828</v>
      </c>
      <c r="F34" s="29">
        <v>2947</v>
      </c>
      <c r="G34" s="4" t="s">
        <v>829</v>
      </c>
      <c r="H34" s="5">
        <v>4821</v>
      </c>
      <c r="I34" s="4" t="s">
        <v>164</v>
      </c>
      <c r="J34" s="4" t="s">
        <v>41</v>
      </c>
      <c r="K34" s="4" t="s">
        <v>846</v>
      </c>
      <c r="L34" s="4" t="s">
        <v>79</v>
      </c>
      <c r="M34" s="37">
        <v>460.07</v>
      </c>
      <c r="N34" s="37">
        <v>672.68</v>
      </c>
      <c r="O34" s="38">
        <v>0.6</v>
      </c>
      <c r="P34" s="39">
        <v>31.1</v>
      </c>
      <c r="Q34" s="39">
        <v>21.54</v>
      </c>
      <c r="R34" s="38">
        <v>7.1400000000000005E-2</v>
      </c>
      <c r="S34" s="40">
        <v>16</v>
      </c>
      <c r="T34" s="39">
        <v>23.15</v>
      </c>
      <c r="U34" s="39">
        <v>24.3</v>
      </c>
      <c r="V34" s="39">
        <v>24.98</v>
      </c>
      <c r="W34" s="38">
        <v>0.92779999999999996</v>
      </c>
      <c r="X34" s="39">
        <v>7.51</v>
      </c>
      <c r="Y34" s="41">
        <v>-92717.711181564693</v>
      </c>
      <c r="Z34" s="40">
        <v>-1955</v>
      </c>
      <c r="AA34" s="39">
        <v>-0.93711836541014504</v>
      </c>
    </row>
    <row r="35" spans="1:27" s="22" customFormat="1" x14ac:dyDescent="0.25">
      <c r="A35" s="7" t="str">
        <f t="shared" si="0"/>
        <v>2947Providence Alaska Medical Center4899N - Rehab Admin (U,N)</v>
      </c>
      <c r="B35" s="7"/>
      <c r="C35" s="29" t="s">
        <v>828</v>
      </c>
      <c r="D35" s="29" t="s">
        <v>828</v>
      </c>
      <c r="E35" s="29" t="s">
        <v>828</v>
      </c>
      <c r="F35" s="29">
        <v>2947</v>
      </c>
      <c r="G35" s="4" t="s">
        <v>829</v>
      </c>
      <c r="H35" s="5">
        <v>4899</v>
      </c>
      <c r="I35" s="4" t="s">
        <v>40</v>
      </c>
      <c r="J35" s="4" t="s">
        <v>41</v>
      </c>
      <c r="K35" s="4" t="s">
        <v>851</v>
      </c>
      <c r="L35" s="4" t="s">
        <v>43</v>
      </c>
      <c r="M35" s="37">
        <v>3014.74</v>
      </c>
      <c r="N35" s="37">
        <v>3957.61</v>
      </c>
      <c r="O35" s="38">
        <v>0.42659999999999998</v>
      </c>
      <c r="P35" s="39">
        <v>3.98</v>
      </c>
      <c r="Q35" s="39">
        <v>4.13</v>
      </c>
      <c r="R35" s="38">
        <v>0.48470000000000002</v>
      </c>
      <c r="S35" s="40">
        <v>16</v>
      </c>
      <c r="T35" s="39">
        <v>2.63</v>
      </c>
      <c r="U35" s="39">
        <v>3.25</v>
      </c>
      <c r="V35" s="39">
        <v>4.34</v>
      </c>
      <c r="W35" s="38">
        <v>0.87160000000000004</v>
      </c>
      <c r="X35" s="39">
        <v>9.0299999999999994</v>
      </c>
      <c r="Y35" s="41">
        <v>178928.01730633201</v>
      </c>
      <c r="Z35" s="40">
        <v>4077</v>
      </c>
      <c r="AA35" s="39">
        <v>1.95466034857921</v>
      </c>
    </row>
    <row r="36" spans="1:27" s="22" customFormat="1" x14ac:dyDescent="0.25">
      <c r="A36" s="7" t="str">
        <f t="shared" si="0"/>
        <v>2947Providence Alaska Medical Center5211Environmental Services</v>
      </c>
      <c r="B36" s="7"/>
      <c r="C36" s="29" t="s">
        <v>828</v>
      </c>
      <c r="D36" s="29" t="s">
        <v>828</v>
      </c>
      <c r="E36" s="29" t="s">
        <v>828</v>
      </c>
      <c r="F36" s="29">
        <v>2947</v>
      </c>
      <c r="G36" s="4" t="s">
        <v>829</v>
      </c>
      <c r="H36" s="5">
        <v>5211</v>
      </c>
      <c r="I36" s="4" t="s">
        <v>50</v>
      </c>
      <c r="J36" s="4" t="s">
        <v>50</v>
      </c>
      <c r="K36" s="4" t="s">
        <v>50</v>
      </c>
      <c r="L36" s="4" t="s">
        <v>51</v>
      </c>
      <c r="M36" s="37">
        <v>896</v>
      </c>
      <c r="N36" s="37">
        <v>1178.4000000000001</v>
      </c>
      <c r="O36" s="38">
        <v>0.1333</v>
      </c>
      <c r="P36" s="39">
        <v>183.79</v>
      </c>
      <c r="Q36" s="39">
        <v>158.66999999999999</v>
      </c>
      <c r="R36" s="38">
        <v>0.66669999999999996</v>
      </c>
      <c r="S36" s="40">
        <v>16</v>
      </c>
      <c r="T36" s="39">
        <v>164.59</v>
      </c>
      <c r="U36" s="39">
        <v>167.05</v>
      </c>
      <c r="V36" s="39">
        <v>179.21</v>
      </c>
      <c r="W36" s="38">
        <v>0.89680000000000004</v>
      </c>
      <c r="X36" s="39">
        <v>100.24</v>
      </c>
      <c r="Y36" s="41">
        <v>-193053.22480362499</v>
      </c>
      <c r="Z36" s="40">
        <v>-10434</v>
      </c>
      <c r="AA36" s="39">
        <v>-5.0026495240924902</v>
      </c>
    </row>
    <row r="37" spans="1:27" s="22" customFormat="1" x14ac:dyDescent="0.25">
      <c r="A37" s="7" t="str">
        <f t="shared" si="0"/>
        <v>2947Providence Alaska Medical Center4861Speech Therapy IP</v>
      </c>
      <c r="B37" s="7"/>
      <c r="C37" s="29" t="s">
        <v>828</v>
      </c>
      <c r="D37" s="29" t="s">
        <v>828</v>
      </c>
      <c r="E37" s="29" t="s">
        <v>828</v>
      </c>
      <c r="F37" s="29">
        <v>2947</v>
      </c>
      <c r="G37" s="4" t="s">
        <v>829</v>
      </c>
      <c r="H37" s="5">
        <v>4861</v>
      </c>
      <c r="I37" s="4" t="s">
        <v>125</v>
      </c>
      <c r="J37" s="4" t="s">
        <v>41</v>
      </c>
      <c r="K37" s="4" t="s">
        <v>847</v>
      </c>
      <c r="L37" s="4" t="s">
        <v>79</v>
      </c>
      <c r="M37" s="37">
        <v>127.22</v>
      </c>
      <c r="N37" s="37">
        <v>362.32</v>
      </c>
      <c r="O37" s="38">
        <v>0.625</v>
      </c>
      <c r="P37" s="39">
        <v>52.35</v>
      </c>
      <c r="Q37" s="39">
        <v>23.54</v>
      </c>
      <c r="R37" s="38">
        <v>0.33329999999999999</v>
      </c>
      <c r="S37" s="40">
        <v>17</v>
      </c>
      <c r="T37" s="39">
        <v>22.75</v>
      </c>
      <c r="U37" s="39">
        <v>24.04</v>
      </c>
      <c r="V37" s="39">
        <v>27.38</v>
      </c>
      <c r="W37" s="38">
        <v>0.92059999999999997</v>
      </c>
      <c r="X37" s="39">
        <v>4.45</v>
      </c>
      <c r="Y37" s="41">
        <v>-8158.3592244647498</v>
      </c>
      <c r="Z37" s="40">
        <v>-180</v>
      </c>
      <c r="AA37" s="39">
        <v>-8.6322887536495904E-2</v>
      </c>
    </row>
    <row r="38" spans="1:27" s="22" customFormat="1" x14ac:dyDescent="0.25">
      <c r="A38" s="7" t="str">
        <f t="shared" si="0"/>
        <v>2947Providence Alaska Medical Center3390Blood Bank</v>
      </c>
      <c r="B38" s="7"/>
      <c r="C38" s="29" t="s">
        <v>828</v>
      </c>
      <c r="D38" s="29" t="s">
        <v>828</v>
      </c>
      <c r="E38" s="29" t="s">
        <v>828</v>
      </c>
      <c r="F38" s="29">
        <v>2947</v>
      </c>
      <c r="G38" s="4" t="s">
        <v>829</v>
      </c>
      <c r="H38" s="5">
        <v>3390</v>
      </c>
      <c r="I38" s="4" t="s">
        <v>831</v>
      </c>
      <c r="J38" s="4" t="s">
        <v>53</v>
      </c>
      <c r="K38" s="4" t="s">
        <v>832</v>
      </c>
      <c r="L38" s="4" t="s">
        <v>94</v>
      </c>
      <c r="M38" s="37">
        <v>551.85</v>
      </c>
      <c r="N38" s="37">
        <v>530.49</v>
      </c>
      <c r="O38" s="38">
        <v>0.52939999999999998</v>
      </c>
      <c r="P38" s="39">
        <v>17.34</v>
      </c>
      <c r="Q38" s="39">
        <v>18.82</v>
      </c>
      <c r="R38" s="38">
        <v>0.23530000000000001</v>
      </c>
      <c r="S38" s="40">
        <v>18</v>
      </c>
      <c r="T38" s="39">
        <v>18.96</v>
      </c>
      <c r="U38" s="39">
        <v>20.92</v>
      </c>
      <c r="V38" s="39">
        <v>23.1</v>
      </c>
      <c r="W38" s="38">
        <v>0.90569999999999995</v>
      </c>
      <c r="X38" s="39">
        <v>5.3</v>
      </c>
      <c r="Y38" s="41">
        <v>-49573.425880060997</v>
      </c>
      <c r="Z38" s="40">
        <v>-1199</v>
      </c>
      <c r="AA38" s="39">
        <v>-0.57492968372162701</v>
      </c>
    </row>
    <row r="39" spans="1:27" s="22" customFormat="1" x14ac:dyDescent="0.25">
      <c r="A39" s="7" t="str">
        <f t="shared" si="0"/>
        <v>2947Providence Alaska Medical Center4812Oncology Rehab</v>
      </c>
      <c r="B39" s="7"/>
      <c r="C39" s="29" t="s">
        <v>828</v>
      </c>
      <c r="D39" s="29" t="s">
        <v>828</v>
      </c>
      <c r="E39" s="29" t="s">
        <v>828</v>
      </c>
      <c r="F39" s="29">
        <v>2947</v>
      </c>
      <c r="G39" s="4" t="s">
        <v>829</v>
      </c>
      <c r="H39" s="5">
        <v>4812</v>
      </c>
      <c r="I39" s="4" t="s">
        <v>78</v>
      </c>
      <c r="J39" s="4" t="s">
        <v>41</v>
      </c>
      <c r="K39" s="4" t="s">
        <v>848</v>
      </c>
      <c r="L39" s="4" t="s">
        <v>79</v>
      </c>
      <c r="M39" s="37">
        <v>37.07</v>
      </c>
      <c r="N39" s="37">
        <v>70.150000000000006</v>
      </c>
      <c r="O39" s="38">
        <v>0.52939999999999998</v>
      </c>
      <c r="P39" s="39">
        <v>102.26</v>
      </c>
      <c r="Q39" s="39">
        <v>64.8</v>
      </c>
      <c r="R39" s="38">
        <v>1</v>
      </c>
      <c r="S39" s="40">
        <v>18</v>
      </c>
      <c r="T39" s="39">
        <v>24.05</v>
      </c>
      <c r="U39" s="39">
        <v>25.02</v>
      </c>
      <c r="V39" s="39">
        <v>28.82</v>
      </c>
      <c r="W39" s="38">
        <v>0.8851</v>
      </c>
      <c r="X39" s="39">
        <v>2.4700000000000002</v>
      </c>
      <c r="Y39" s="41">
        <v>183946.62956674799</v>
      </c>
      <c r="Z39" s="40">
        <v>3169</v>
      </c>
      <c r="AA39" s="39">
        <v>1.5192402257969799</v>
      </c>
    </row>
    <row r="40" spans="1:27" s="22" customFormat="1" x14ac:dyDescent="0.25">
      <c r="A40" s="7" t="str">
        <f t="shared" si="0"/>
        <v>2947Providence Alaska Medical Center4241Cardiac Rehabilitation (U)</v>
      </c>
      <c r="B40" s="7"/>
      <c r="C40" s="29" t="s">
        <v>828</v>
      </c>
      <c r="D40" s="29" t="s">
        <v>828</v>
      </c>
      <c r="E40" s="29" t="s">
        <v>828</v>
      </c>
      <c r="F40" s="29">
        <v>2947</v>
      </c>
      <c r="G40" s="4" t="s">
        <v>829</v>
      </c>
      <c r="H40" s="5">
        <v>4241</v>
      </c>
      <c r="I40" s="4" t="s">
        <v>178</v>
      </c>
      <c r="J40" s="4" t="s">
        <v>60</v>
      </c>
      <c r="K40" s="4" t="s">
        <v>899</v>
      </c>
      <c r="L40" s="4" t="s">
        <v>77</v>
      </c>
      <c r="M40" s="37">
        <v>18842</v>
      </c>
      <c r="N40" s="37">
        <v>19018</v>
      </c>
      <c r="O40" s="38">
        <v>0.54930000000000001</v>
      </c>
      <c r="P40" s="7"/>
      <c r="Q40" s="39">
        <v>0.72</v>
      </c>
      <c r="R40" s="38">
        <v>0.86429999999999996</v>
      </c>
      <c r="S40" s="40">
        <v>18</v>
      </c>
      <c r="T40" s="39">
        <v>0.47</v>
      </c>
      <c r="U40" s="39">
        <v>0.48</v>
      </c>
      <c r="V40" s="39">
        <v>0.57999999999999996</v>
      </c>
      <c r="W40" s="38">
        <v>0.86799999999999999</v>
      </c>
      <c r="X40" s="39">
        <v>7.55</v>
      </c>
      <c r="Y40" s="41">
        <v>244445.924095689</v>
      </c>
      <c r="Z40" s="40">
        <v>5230</v>
      </c>
      <c r="AA40" s="39">
        <v>2.5076322771985402</v>
      </c>
    </row>
    <row r="41" spans="1:27" s="22" customFormat="1" x14ac:dyDescent="0.25">
      <c r="A41" s="7" t="str">
        <f t="shared" si="0"/>
        <v>2947Providence Alaska Medical Center12403W Orthopedics</v>
      </c>
      <c r="B41" s="7"/>
      <c r="C41" s="29" t="s">
        <v>828</v>
      </c>
      <c r="D41" s="29" t="s">
        <v>828</v>
      </c>
      <c r="E41" s="29" t="s">
        <v>828</v>
      </c>
      <c r="F41" s="29">
        <v>2947</v>
      </c>
      <c r="G41" s="4" t="s">
        <v>829</v>
      </c>
      <c r="H41" s="5">
        <v>1240</v>
      </c>
      <c r="I41" s="4" t="s">
        <v>110</v>
      </c>
      <c r="J41" s="4" t="s">
        <v>23</v>
      </c>
      <c r="K41" s="4" t="s">
        <v>884</v>
      </c>
      <c r="L41" s="4" t="s">
        <v>74</v>
      </c>
      <c r="M41" s="37">
        <v>8735</v>
      </c>
      <c r="N41" s="37">
        <v>9042</v>
      </c>
      <c r="O41" s="38">
        <v>0.4118</v>
      </c>
      <c r="P41" s="39">
        <v>11.63</v>
      </c>
      <c r="Q41" s="39">
        <f>102348.95/N41</f>
        <v>11.319282238442822</v>
      </c>
      <c r="R41" s="38">
        <v>0.875</v>
      </c>
      <c r="S41" s="40">
        <v>18</v>
      </c>
      <c r="T41" s="39">
        <v>10.42</v>
      </c>
      <c r="U41" s="39">
        <v>10.5</v>
      </c>
      <c r="V41" s="39">
        <v>10.7</v>
      </c>
      <c r="W41" s="38">
        <v>0.91300000000000003</v>
      </c>
      <c r="X41" s="39">
        <v>53.9</v>
      </c>
      <c r="Y41" s="41">
        <f>39.72*Z41</f>
        <v>322282.33734939748</v>
      </c>
      <c r="Z41" s="40">
        <f>SUM((Q41-U41)*N41)/W41</f>
        <v>8113.8554216867451</v>
      </c>
      <c r="AA41" s="39">
        <f>Z41/2085.71</f>
        <v>3.8902126478210035</v>
      </c>
    </row>
    <row r="42" spans="1:27" s="22" customFormat="1" x14ac:dyDescent="0.25">
      <c r="A42" s="7" t="str">
        <f t="shared" si="0"/>
        <v>2947Providence Alaska Medical Center3370Laboratory</v>
      </c>
      <c r="B42" s="7"/>
      <c r="C42" s="29" t="s">
        <v>828</v>
      </c>
      <c r="D42" s="29" t="s">
        <v>828</v>
      </c>
      <c r="E42" s="29" t="s">
        <v>828</v>
      </c>
      <c r="F42" s="29">
        <v>2947</v>
      </c>
      <c r="G42" s="4" t="s">
        <v>829</v>
      </c>
      <c r="H42" s="5">
        <v>3370</v>
      </c>
      <c r="I42" s="4" t="s">
        <v>182</v>
      </c>
      <c r="J42" s="4" t="s">
        <v>53</v>
      </c>
      <c r="K42" s="4" t="s">
        <v>833</v>
      </c>
      <c r="L42" s="4" t="s">
        <v>94</v>
      </c>
      <c r="M42" s="37">
        <v>7501.79</v>
      </c>
      <c r="N42" s="37">
        <v>7607.18</v>
      </c>
      <c r="O42" s="38">
        <v>0.5</v>
      </c>
      <c r="P42" s="39">
        <v>11.06</v>
      </c>
      <c r="Q42" s="39">
        <v>10.71</v>
      </c>
      <c r="R42" s="38">
        <v>0.22220000000000001</v>
      </c>
      <c r="S42" s="40">
        <v>19</v>
      </c>
      <c r="T42" s="39">
        <v>10.91</v>
      </c>
      <c r="U42" s="39">
        <v>12.02</v>
      </c>
      <c r="V42" s="39">
        <v>12.64</v>
      </c>
      <c r="W42" s="38">
        <v>0.90480000000000005</v>
      </c>
      <c r="X42" s="39">
        <v>43.28</v>
      </c>
      <c r="Y42" s="41">
        <v>-337503.29025964899</v>
      </c>
      <c r="Z42" s="40">
        <v>-10790</v>
      </c>
      <c r="AA42" s="39">
        <v>-5.1733408774422696</v>
      </c>
    </row>
    <row r="43" spans="1:27" s="22" customFormat="1" x14ac:dyDescent="0.25">
      <c r="A43" s="7" t="str">
        <f t="shared" si="0"/>
        <v>2947Providence Alaska Medical Center3380Anatomic Pathology</v>
      </c>
      <c r="B43" s="7"/>
      <c r="C43" s="29" t="s">
        <v>828</v>
      </c>
      <c r="D43" s="29" t="s">
        <v>828</v>
      </c>
      <c r="E43" s="29" t="s">
        <v>828</v>
      </c>
      <c r="F43" s="29">
        <v>2947</v>
      </c>
      <c r="G43" s="4" t="s">
        <v>829</v>
      </c>
      <c r="H43" s="5">
        <v>3380</v>
      </c>
      <c r="I43" s="4" t="s">
        <v>95</v>
      </c>
      <c r="J43" s="4" t="s">
        <v>53</v>
      </c>
      <c r="K43" s="4" t="s">
        <v>834</v>
      </c>
      <c r="L43" s="4" t="s">
        <v>94</v>
      </c>
      <c r="M43" s="37">
        <v>416.51</v>
      </c>
      <c r="N43" s="37">
        <v>411.12</v>
      </c>
      <c r="O43" s="38">
        <v>0.55559999999999998</v>
      </c>
      <c r="P43" s="39">
        <v>29.56</v>
      </c>
      <c r="Q43" s="39">
        <v>23.84</v>
      </c>
      <c r="R43" s="38">
        <v>5.8799999999999998E-2</v>
      </c>
      <c r="S43" s="40">
        <v>19</v>
      </c>
      <c r="T43" s="39">
        <v>31.42</v>
      </c>
      <c r="U43" s="39">
        <v>32.909999999999997</v>
      </c>
      <c r="V43" s="39">
        <v>35.58</v>
      </c>
      <c r="W43" s="38">
        <v>0.83379999999999999</v>
      </c>
      <c r="X43" s="39">
        <v>5.65</v>
      </c>
      <c r="Y43" s="41">
        <v>-150554.08006772699</v>
      </c>
      <c r="Z43" s="40">
        <v>-4443</v>
      </c>
      <c r="AA43" s="39">
        <v>-2.13005657388989</v>
      </c>
    </row>
    <row r="44" spans="1:27" s="22" customFormat="1" x14ac:dyDescent="0.25">
      <c r="A44" s="7" t="str">
        <f t="shared" si="0"/>
        <v>2947Providence Alaska Medical Center1410Rehabilitation IP</v>
      </c>
      <c r="B44" s="7"/>
      <c r="C44" s="29" t="s">
        <v>828</v>
      </c>
      <c r="D44" s="29" t="s">
        <v>828</v>
      </c>
      <c r="E44" s="29" t="s">
        <v>828</v>
      </c>
      <c r="F44" s="29">
        <v>2947</v>
      </c>
      <c r="G44" s="4" t="s">
        <v>829</v>
      </c>
      <c r="H44" s="5">
        <v>1410</v>
      </c>
      <c r="I44" s="4" t="s">
        <v>113</v>
      </c>
      <c r="J44" s="4" t="s">
        <v>23</v>
      </c>
      <c r="K44" s="4" t="s">
        <v>886</v>
      </c>
      <c r="L44" s="4" t="s">
        <v>74</v>
      </c>
      <c r="M44" s="37">
        <v>2370</v>
      </c>
      <c r="N44" s="37">
        <v>2757</v>
      </c>
      <c r="O44" s="38">
        <v>0.61109999999999998</v>
      </c>
      <c r="P44" s="39">
        <v>10.64</v>
      </c>
      <c r="Q44" s="39">
        <v>10.38</v>
      </c>
      <c r="R44" s="38">
        <v>0.375</v>
      </c>
      <c r="S44" s="40">
        <v>19</v>
      </c>
      <c r="T44" s="39">
        <v>10.24</v>
      </c>
      <c r="U44" s="39">
        <v>10.38</v>
      </c>
      <c r="V44" s="39">
        <v>10.6</v>
      </c>
      <c r="W44" s="38">
        <v>0.88329999999999997</v>
      </c>
      <c r="X44" s="39">
        <v>15.58</v>
      </c>
      <c r="Y44" s="41">
        <v>4101.19057443768</v>
      </c>
      <c r="Z44" s="40">
        <v>97</v>
      </c>
      <c r="AA44" s="39">
        <v>4.6330953120461899E-2</v>
      </c>
    </row>
    <row r="45" spans="1:27" s="22" customFormat="1" x14ac:dyDescent="0.25">
      <c r="A45" s="7" t="str">
        <f t="shared" si="0"/>
        <v>2947Providence Alaska Medical Center4822OCCUP THERAPY OP ONLY</v>
      </c>
      <c r="B45" s="7"/>
      <c r="C45" s="29" t="s">
        <v>828</v>
      </c>
      <c r="D45" s="29" t="s">
        <v>828</v>
      </c>
      <c r="E45" s="29" t="s">
        <v>828</v>
      </c>
      <c r="F45" s="29">
        <v>2947</v>
      </c>
      <c r="G45" s="4" t="s">
        <v>829</v>
      </c>
      <c r="H45" s="5">
        <v>4822</v>
      </c>
      <c r="I45" s="4" t="s">
        <v>165</v>
      </c>
      <c r="J45" s="4" t="s">
        <v>41</v>
      </c>
      <c r="K45" s="4" t="s">
        <v>849</v>
      </c>
      <c r="L45" s="4" t="s">
        <v>79</v>
      </c>
      <c r="M45" s="37">
        <v>259.55</v>
      </c>
      <c r="N45" s="37">
        <v>243.75</v>
      </c>
      <c r="O45" s="38">
        <v>0.61109999999999998</v>
      </c>
      <c r="P45" s="39">
        <v>24.08</v>
      </c>
      <c r="Q45" s="39">
        <v>25.03</v>
      </c>
      <c r="R45" s="38">
        <v>0.66669999999999996</v>
      </c>
      <c r="S45" s="40">
        <v>19</v>
      </c>
      <c r="T45" s="39">
        <v>22.02</v>
      </c>
      <c r="U45" s="39">
        <v>22.46</v>
      </c>
      <c r="V45" s="39">
        <v>24.2</v>
      </c>
      <c r="W45" s="38">
        <v>0.88490000000000002</v>
      </c>
      <c r="X45" s="39">
        <v>3.31</v>
      </c>
      <c r="Y45" s="41">
        <v>33064.876840559002</v>
      </c>
      <c r="Z45" s="40">
        <v>717</v>
      </c>
      <c r="AA45" s="39">
        <v>0.34374597827644099</v>
      </c>
    </row>
    <row r="46" spans="1:27" s="22" customFormat="1" x14ac:dyDescent="0.25">
      <c r="A46" s="7" t="str">
        <f t="shared" si="0"/>
        <v>2947Providence Alaska Medical Center1060Pediatric ICU</v>
      </c>
      <c r="B46" s="7"/>
      <c r="C46" s="29" t="s">
        <v>828</v>
      </c>
      <c r="D46" s="29" t="s">
        <v>828</v>
      </c>
      <c r="E46" s="29" t="s">
        <v>828</v>
      </c>
      <c r="F46" s="29">
        <v>2947</v>
      </c>
      <c r="G46" s="4" t="s">
        <v>829</v>
      </c>
      <c r="H46" s="5">
        <v>1060</v>
      </c>
      <c r="I46" s="4" t="s">
        <v>159</v>
      </c>
      <c r="J46" s="4" t="s">
        <v>23</v>
      </c>
      <c r="K46" s="4" t="s">
        <v>885</v>
      </c>
      <c r="L46" s="4" t="s">
        <v>74</v>
      </c>
      <c r="M46" s="37">
        <v>1421</v>
      </c>
      <c r="N46" s="37">
        <v>1900</v>
      </c>
      <c r="O46" s="38">
        <v>0.55559999999999998</v>
      </c>
      <c r="P46" s="39">
        <v>22.81</v>
      </c>
      <c r="Q46" s="39">
        <f>44358.33/N46</f>
        <v>23.346489473684212</v>
      </c>
      <c r="R46" s="38">
        <v>0.83330000000000004</v>
      </c>
      <c r="S46" s="40">
        <v>19</v>
      </c>
      <c r="T46" s="39">
        <v>18.600000000000001</v>
      </c>
      <c r="U46" s="39">
        <v>20.16</v>
      </c>
      <c r="V46" s="39">
        <v>20.45</v>
      </c>
      <c r="W46" s="38">
        <v>0.89859999999999995</v>
      </c>
      <c r="X46" s="39">
        <v>23.73</v>
      </c>
      <c r="Y46" s="41">
        <f>37.82*Z46</f>
        <v>254812.77609614967</v>
      </c>
      <c r="Z46" s="40">
        <f>SUM((Q46-U46)*N46)/W46</f>
        <v>6737.5139105274902</v>
      </c>
      <c r="AA46" s="39">
        <f>Z46/2085.71</f>
        <v>3.2303215262560423</v>
      </c>
    </row>
    <row r="47" spans="1:27" s="22" customFormat="1" x14ac:dyDescent="0.25">
      <c r="A47" s="7" t="str">
        <f t="shared" si="0"/>
        <v>2947Providence Alaska Medical Center3099Perioperative Services Admin</v>
      </c>
      <c r="B47" s="7"/>
      <c r="C47" s="29" t="s">
        <v>828</v>
      </c>
      <c r="D47" s="29" t="s">
        <v>828</v>
      </c>
      <c r="E47" s="29" t="s">
        <v>828</v>
      </c>
      <c r="F47" s="29">
        <v>2947</v>
      </c>
      <c r="G47" s="4" t="s">
        <v>829</v>
      </c>
      <c r="H47" s="5">
        <v>3099</v>
      </c>
      <c r="I47" s="4" t="s">
        <v>46</v>
      </c>
      <c r="J47" s="4" t="s">
        <v>47</v>
      </c>
      <c r="K47" s="4" t="s">
        <v>868</v>
      </c>
      <c r="L47" s="4" t="s">
        <v>49</v>
      </c>
      <c r="M47" s="37">
        <v>18786</v>
      </c>
      <c r="N47" s="37">
        <v>16501</v>
      </c>
      <c r="O47" s="38">
        <v>0.65</v>
      </c>
      <c r="P47" s="39">
        <v>0.92</v>
      </c>
      <c r="Q47" s="39">
        <v>1.06</v>
      </c>
      <c r="R47" s="38">
        <v>0.33329999999999999</v>
      </c>
      <c r="S47" s="40">
        <v>21</v>
      </c>
      <c r="T47" s="39">
        <v>0.97</v>
      </c>
      <c r="U47" s="39">
        <v>1.07</v>
      </c>
      <c r="V47" s="39">
        <v>1.17</v>
      </c>
      <c r="W47" s="38">
        <v>0.88390000000000002</v>
      </c>
      <c r="X47" s="39">
        <v>9.56</v>
      </c>
      <c r="Y47" s="41">
        <v>-849.02050239706898</v>
      </c>
      <c r="Z47" s="40">
        <v>-36</v>
      </c>
      <c r="AA47" s="39">
        <v>-1.7211248537558201E-2</v>
      </c>
    </row>
    <row r="48" spans="1:27" s="22" customFormat="1" x14ac:dyDescent="0.25">
      <c r="A48" s="7" t="str">
        <f t="shared" si="0"/>
        <v>2947Providence Alaska Medical Center3011Operating Room</v>
      </c>
      <c r="B48" s="7"/>
      <c r="C48" s="29" t="s">
        <v>828</v>
      </c>
      <c r="D48" s="29" t="s">
        <v>828</v>
      </c>
      <c r="E48" s="29" t="s">
        <v>828</v>
      </c>
      <c r="F48" s="29">
        <v>2947</v>
      </c>
      <c r="G48" s="4" t="s">
        <v>829</v>
      </c>
      <c r="H48" s="5">
        <v>3011</v>
      </c>
      <c r="I48" s="4" t="s">
        <v>87</v>
      </c>
      <c r="J48" s="4" t="s">
        <v>47</v>
      </c>
      <c r="K48" s="4" t="s">
        <v>87</v>
      </c>
      <c r="L48" s="4" t="s">
        <v>88</v>
      </c>
      <c r="M48" s="37">
        <v>14523.57</v>
      </c>
      <c r="N48" s="37">
        <v>14070.54</v>
      </c>
      <c r="O48" s="38">
        <v>0.55000000000000004</v>
      </c>
      <c r="P48" s="39">
        <v>12.34</v>
      </c>
      <c r="Q48" s="39">
        <v>13.36</v>
      </c>
      <c r="R48" s="38">
        <v>0.94440000000000002</v>
      </c>
      <c r="S48" s="40">
        <v>21</v>
      </c>
      <c r="T48" s="39">
        <v>10.84</v>
      </c>
      <c r="U48" s="39">
        <v>11.18</v>
      </c>
      <c r="V48" s="39">
        <v>11.52</v>
      </c>
      <c r="W48" s="38">
        <v>0.89700000000000002</v>
      </c>
      <c r="X48" s="39">
        <v>100.74</v>
      </c>
      <c r="Y48" s="41">
        <v>1467828.12337741</v>
      </c>
      <c r="Z48" s="40">
        <v>34742</v>
      </c>
      <c r="AA48" s="39">
        <v>16.656983350392199</v>
      </c>
    </row>
    <row r="49" spans="1:27" s="22" customFormat="1" x14ac:dyDescent="0.25">
      <c r="A49" s="7" t="str">
        <f t="shared" si="0"/>
        <v>2947Providence Alaska Medical Center5040Biomedical Services</v>
      </c>
      <c r="B49" s="7"/>
      <c r="C49" s="29" t="s">
        <v>828</v>
      </c>
      <c r="D49" s="29" t="s">
        <v>828</v>
      </c>
      <c r="E49" s="29" t="s">
        <v>828</v>
      </c>
      <c r="F49" s="89">
        <v>2947</v>
      </c>
      <c r="G49" s="43" t="s">
        <v>829</v>
      </c>
      <c r="H49" s="30">
        <v>5040</v>
      </c>
      <c r="I49" s="43" t="s">
        <v>142</v>
      </c>
      <c r="J49" s="43" t="s">
        <v>62</v>
      </c>
      <c r="K49" s="43" t="s">
        <v>837</v>
      </c>
      <c r="L49" s="43" t="s">
        <v>143</v>
      </c>
      <c r="M49" s="44">
        <v>130.71</v>
      </c>
      <c r="N49" s="44">
        <v>149.06</v>
      </c>
      <c r="O49" s="45">
        <v>0.57140000000000002</v>
      </c>
      <c r="P49" s="46">
        <v>310.94</v>
      </c>
      <c r="Q49" s="46">
        <v>226.28</v>
      </c>
      <c r="R49" s="45">
        <v>0.9</v>
      </c>
      <c r="S49" s="47">
        <v>22</v>
      </c>
      <c r="T49" s="46">
        <v>128.13999999999999</v>
      </c>
      <c r="U49" s="46">
        <v>142.13999999999999</v>
      </c>
      <c r="V49" s="46">
        <v>164.45</v>
      </c>
      <c r="W49" s="45">
        <v>0.88229999999999997</v>
      </c>
      <c r="X49" s="46">
        <v>18.38</v>
      </c>
      <c r="Y49" s="48">
        <f>42.66*Z49</f>
        <v>606412.57207752473</v>
      </c>
      <c r="Z49" s="47">
        <f>SUM((Q49-U49)*N49)/W49</f>
        <v>14215.015754278593</v>
      </c>
      <c r="AA49" s="46">
        <f>Z49/2085.71</f>
        <v>6.8154325166387428</v>
      </c>
    </row>
    <row r="50" spans="1:27" s="22" customFormat="1" x14ac:dyDescent="0.25">
      <c r="A50" s="7" t="str">
        <f t="shared" si="0"/>
        <v>2947Providence Alaska Medical Center3070Sterile Processing &amp; Distribution</v>
      </c>
      <c r="B50" s="7"/>
      <c r="C50" s="29" t="s">
        <v>828</v>
      </c>
      <c r="D50" s="29" t="s">
        <v>828</v>
      </c>
      <c r="E50" s="29" t="s">
        <v>828</v>
      </c>
      <c r="F50" s="89">
        <v>2947</v>
      </c>
      <c r="G50" s="43" t="s">
        <v>829</v>
      </c>
      <c r="H50" s="42">
        <v>3070</v>
      </c>
      <c r="I50" s="43" t="s">
        <v>91</v>
      </c>
      <c r="J50" s="43" t="s">
        <v>47</v>
      </c>
      <c r="K50" s="43" t="s">
        <v>839</v>
      </c>
      <c r="L50" s="43" t="s">
        <v>92</v>
      </c>
      <c r="M50" s="44">
        <v>2806.2</v>
      </c>
      <c r="N50" s="44">
        <v>2690.89</v>
      </c>
      <c r="O50" s="45">
        <v>0.47620000000000001</v>
      </c>
      <c r="P50" s="46">
        <v>24.21</v>
      </c>
      <c r="Q50" s="46">
        <f>54650.29/N50</f>
        <v>20.309373478663193</v>
      </c>
      <c r="R50" s="45">
        <v>0.71430000000000005</v>
      </c>
      <c r="S50" s="47">
        <v>22</v>
      </c>
      <c r="T50" s="46">
        <v>11.33</v>
      </c>
      <c r="U50" s="46">
        <v>15.23</v>
      </c>
      <c r="V50" s="46">
        <v>21.89</v>
      </c>
      <c r="W50" s="45">
        <v>0.87570000000000003</v>
      </c>
      <c r="X50" s="46">
        <v>30</v>
      </c>
      <c r="Y50" s="48">
        <f>23.06*Z50</f>
        <v>359923.36875413946</v>
      </c>
      <c r="Z50" s="47">
        <f>SUM((Q50-U50)*N50)/W50</f>
        <v>15608.1252712116</v>
      </c>
      <c r="AA50" s="46">
        <f>Z50/2085.71</f>
        <v>7.4833631095461977</v>
      </c>
    </row>
    <row r="51" spans="1:27" s="22" customFormat="1" x14ac:dyDescent="0.25">
      <c r="A51" s="7" t="str">
        <f t="shared" si="0"/>
        <v>2947Providence Alaska Medical Center3399Lab Administration</v>
      </c>
      <c r="B51" s="7"/>
      <c r="C51" s="29" t="s">
        <v>828</v>
      </c>
      <c r="D51" s="29" t="s">
        <v>828</v>
      </c>
      <c r="E51" s="29" t="s">
        <v>828</v>
      </c>
      <c r="F51" s="29">
        <v>2947</v>
      </c>
      <c r="G51" s="4" t="s">
        <v>829</v>
      </c>
      <c r="H51" s="5">
        <v>3399</v>
      </c>
      <c r="I51" s="4" t="s">
        <v>52</v>
      </c>
      <c r="J51" s="4" t="s">
        <v>53</v>
      </c>
      <c r="K51" s="4" t="s">
        <v>836</v>
      </c>
      <c r="L51" s="4" t="s">
        <v>55</v>
      </c>
      <c r="M51" s="37">
        <v>11556.91</v>
      </c>
      <c r="N51" s="37">
        <v>11789.95</v>
      </c>
      <c r="O51" s="7"/>
      <c r="P51" s="39">
        <v>3.63</v>
      </c>
      <c r="Q51" s="39">
        <v>3.87</v>
      </c>
      <c r="R51" s="7"/>
      <c r="S51" s="40">
        <v>22</v>
      </c>
      <c r="T51" s="39">
        <v>0.99</v>
      </c>
      <c r="U51" s="39">
        <v>1</v>
      </c>
      <c r="V51" s="39">
        <v>1.28</v>
      </c>
      <c r="W51" s="38">
        <v>0.88890000000000002</v>
      </c>
      <c r="X51" s="39">
        <v>24.69</v>
      </c>
      <c r="Y51" s="41">
        <v>1314321.80377783</v>
      </c>
      <c r="Z51" s="40">
        <v>38233</v>
      </c>
      <c r="AA51" s="39">
        <v>18.330730711079902</v>
      </c>
    </row>
    <row r="52" spans="1:27" s="22" customFormat="1" x14ac:dyDescent="0.25">
      <c r="A52" s="7" t="str">
        <f t="shared" si="0"/>
        <v>2947Providence Alaska Medical Center4410Pharmacy</v>
      </c>
      <c r="B52" s="7"/>
      <c r="C52" s="29" t="s">
        <v>828</v>
      </c>
      <c r="D52" s="29" t="s">
        <v>828</v>
      </c>
      <c r="E52" s="29" t="s">
        <v>828</v>
      </c>
      <c r="F52" s="89">
        <v>2947</v>
      </c>
      <c r="G52" s="43" t="s">
        <v>829</v>
      </c>
      <c r="H52" s="42">
        <v>4410</v>
      </c>
      <c r="I52" s="43" t="s">
        <v>37</v>
      </c>
      <c r="J52" s="43" t="s">
        <v>37</v>
      </c>
      <c r="K52" s="43" t="s">
        <v>872</v>
      </c>
      <c r="L52" s="43" t="s">
        <v>100</v>
      </c>
      <c r="M52" s="44">
        <v>47006.95</v>
      </c>
      <c r="N52" s="44">
        <v>52093.16</v>
      </c>
      <c r="O52" s="45">
        <v>0.54549999999999998</v>
      </c>
      <c r="P52" s="46">
        <v>2.4500000000000002</v>
      </c>
      <c r="Q52" s="46">
        <v>1.5969398724419865</v>
      </c>
      <c r="R52" s="45">
        <v>0.76190000000000002</v>
      </c>
      <c r="S52" s="47">
        <v>23</v>
      </c>
      <c r="T52" s="46">
        <v>1.67</v>
      </c>
      <c r="U52" s="46">
        <v>1.89</v>
      </c>
      <c r="V52" s="46">
        <v>2.08</v>
      </c>
      <c r="W52" s="45">
        <v>0.88270000000000004</v>
      </c>
      <c r="X52" s="46">
        <v>72.02</v>
      </c>
      <c r="Y52" s="48">
        <f>Z52*47.87</f>
        <v>-827918.78763012902</v>
      </c>
      <c r="Z52" s="47">
        <f>SUM((Q52-U52)*N52)/W52</f>
        <v>-17295.149104452248</v>
      </c>
      <c r="AA52" s="46">
        <f>Z52/2085.71</f>
        <v>-8.2922118148986428</v>
      </c>
    </row>
    <row r="53" spans="1:27" s="22" customFormat="1" x14ac:dyDescent="0.25">
      <c r="A53" s="7" t="str">
        <f t="shared" si="0"/>
        <v>2947Providence Alaska Medical Center3430MRI</v>
      </c>
      <c r="B53" s="7"/>
      <c r="C53" s="29" t="s">
        <v>828</v>
      </c>
      <c r="D53" s="29" t="s">
        <v>828</v>
      </c>
      <c r="E53" s="29" t="s">
        <v>828</v>
      </c>
      <c r="F53" s="29">
        <v>2947</v>
      </c>
      <c r="G53" s="4" t="s">
        <v>829</v>
      </c>
      <c r="H53" s="5">
        <v>3430</v>
      </c>
      <c r="I53" s="4" t="s">
        <v>121</v>
      </c>
      <c r="J53" s="4" t="s">
        <v>57</v>
      </c>
      <c r="K53" s="4" t="s">
        <v>860</v>
      </c>
      <c r="L53" s="4" t="s">
        <v>99</v>
      </c>
      <c r="M53" s="37">
        <v>24877.91</v>
      </c>
      <c r="N53" s="37">
        <v>23125.26</v>
      </c>
      <c r="O53" s="38">
        <v>0.63639999999999997</v>
      </c>
      <c r="P53" s="39">
        <v>0.43</v>
      </c>
      <c r="Q53" s="39">
        <v>0.44</v>
      </c>
      <c r="R53" s="38">
        <v>0.81820000000000004</v>
      </c>
      <c r="S53" s="40">
        <v>23</v>
      </c>
      <c r="T53" s="39">
        <v>0.3</v>
      </c>
      <c r="U53" s="39">
        <v>0.31</v>
      </c>
      <c r="V53" s="39">
        <v>0.35</v>
      </c>
      <c r="W53" s="38">
        <v>0.91779999999999995</v>
      </c>
      <c r="X53" s="39">
        <v>5.33</v>
      </c>
      <c r="Y53" s="41">
        <v>144547.247087094</v>
      </c>
      <c r="Z53" s="40">
        <v>3306</v>
      </c>
      <c r="AA53" s="39">
        <v>1.5850293052318101</v>
      </c>
    </row>
    <row r="54" spans="1:27" s="22" customFormat="1" x14ac:dyDescent="0.25">
      <c r="A54" s="7" t="str">
        <f t="shared" si="0"/>
        <v>2947Providence Alaska Medical Center3030Ambulatory Services Unit</v>
      </c>
      <c r="B54" s="7"/>
      <c r="C54" s="29" t="s">
        <v>828</v>
      </c>
      <c r="D54" s="29" t="s">
        <v>828</v>
      </c>
      <c r="E54" s="29" t="s">
        <v>828</v>
      </c>
      <c r="F54" s="89">
        <v>2947</v>
      </c>
      <c r="G54" s="43" t="s">
        <v>829</v>
      </c>
      <c r="H54" s="30">
        <v>3030</v>
      </c>
      <c r="I54" s="43" t="s">
        <v>80</v>
      </c>
      <c r="J54" s="43" t="s">
        <v>47</v>
      </c>
      <c r="K54" s="43" t="s">
        <v>842</v>
      </c>
      <c r="L54" s="43" t="s">
        <v>81</v>
      </c>
      <c r="M54" s="44">
        <v>12479.85</v>
      </c>
      <c r="N54" s="44">
        <f>1240486/100</f>
        <v>12404.86</v>
      </c>
      <c r="O54" s="45">
        <v>0.5</v>
      </c>
      <c r="P54" s="46">
        <v>2.93</v>
      </c>
      <c r="Q54" s="46">
        <f>34644.04/N54</f>
        <v>2.7927796041229001</v>
      </c>
      <c r="R54" s="45">
        <v>0.95</v>
      </c>
      <c r="S54" s="47">
        <v>23</v>
      </c>
      <c r="T54" s="46">
        <v>2.69</v>
      </c>
      <c r="U54" s="46">
        <v>2.72</v>
      </c>
      <c r="V54" s="46">
        <v>2.78</v>
      </c>
      <c r="W54" s="45">
        <v>0.83530000000000004</v>
      </c>
      <c r="X54" s="46">
        <v>19.940000000000001</v>
      </c>
      <c r="Y54" s="48">
        <f>44.2*Z54</f>
        <v>47772.871255835984</v>
      </c>
      <c r="Z54" s="47">
        <f>SUM((Q54-U54)*N54)/W54</f>
        <v>1080.8341913085064</v>
      </c>
      <c r="AA54" s="46">
        <f>Z54/2085.71</f>
        <v>0.51820923872854152</v>
      </c>
    </row>
    <row r="55" spans="1:27" s="22" customFormat="1" x14ac:dyDescent="0.25">
      <c r="A55" s="7" t="str">
        <f t="shared" si="0"/>
        <v>2947Providence Alaska Medical Center1110Progressive Care Unit</v>
      </c>
      <c r="B55" s="7"/>
      <c r="C55" s="29" t="s">
        <v>828</v>
      </c>
      <c r="D55" s="29" t="s">
        <v>828</v>
      </c>
      <c r="E55" s="29" t="s">
        <v>828</v>
      </c>
      <c r="F55" s="29">
        <v>2947</v>
      </c>
      <c r="G55" s="4" t="s">
        <v>829</v>
      </c>
      <c r="H55" s="5">
        <v>1110</v>
      </c>
      <c r="I55" s="4" t="s">
        <v>111</v>
      </c>
      <c r="J55" s="4" t="s">
        <v>23</v>
      </c>
      <c r="K55" s="4" t="s">
        <v>887</v>
      </c>
      <c r="L55" s="4" t="s">
        <v>74</v>
      </c>
      <c r="M55" s="37">
        <v>12646</v>
      </c>
      <c r="N55" s="37">
        <v>11056</v>
      </c>
      <c r="O55" s="38">
        <v>0.54169999999999996</v>
      </c>
      <c r="P55" s="39">
        <v>12.15</v>
      </c>
      <c r="Q55" s="39">
        <f>135156.67/N55</f>
        <v>12.224734985528221</v>
      </c>
      <c r="R55" s="38">
        <v>0.91669999999999996</v>
      </c>
      <c r="S55" s="40">
        <v>25</v>
      </c>
      <c r="T55" s="39">
        <v>10.45</v>
      </c>
      <c r="U55" s="39">
        <v>10.88</v>
      </c>
      <c r="V55" s="39">
        <v>11.15</v>
      </c>
      <c r="W55" s="38">
        <v>0.879</v>
      </c>
      <c r="X55" s="39">
        <v>73.92</v>
      </c>
      <c r="Y55" s="41">
        <f>37.52*Z55</f>
        <v>634612.59704209317</v>
      </c>
      <c r="Z55" s="40">
        <f>SUM((Q55-U55)*N55)/W55</f>
        <v>16913.981797497152</v>
      </c>
      <c r="AA55" s="39">
        <f>Z55/2085.71</f>
        <v>8.1094599908410814</v>
      </c>
    </row>
    <row r="56" spans="1:27" s="22" customFormat="1" x14ac:dyDescent="0.25">
      <c r="A56" s="7" t="str">
        <f t="shared" si="0"/>
        <v>2947Providence Alaska Medical Center4490Pharmacy Administration</v>
      </c>
      <c r="B56" s="7"/>
      <c r="C56" s="29" t="s">
        <v>828</v>
      </c>
      <c r="D56" s="29" t="s">
        <v>828</v>
      </c>
      <c r="E56" s="29" t="s">
        <v>828</v>
      </c>
      <c r="F56" s="89">
        <v>2947</v>
      </c>
      <c r="G56" s="43" t="s">
        <v>829</v>
      </c>
      <c r="H56" s="42">
        <v>4490</v>
      </c>
      <c r="I56" s="43" t="s">
        <v>37</v>
      </c>
      <c r="J56" s="43" t="s">
        <v>37</v>
      </c>
      <c r="K56" s="43" t="s">
        <v>873</v>
      </c>
      <c r="L56" s="43" t="s">
        <v>100</v>
      </c>
      <c r="M56" s="44"/>
      <c r="N56" s="44">
        <v>47664</v>
      </c>
      <c r="O56" s="45"/>
      <c r="P56" s="46"/>
      <c r="Q56" s="46">
        <v>0.88</v>
      </c>
      <c r="R56" s="45"/>
      <c r="S56" s="47">
        <v>25</v>
      </c>
      <c r="T56" s="46">
        <v>0.34</v>
      </c>
      <c r="U56" s="46">
        <v>0.37</v>
      </c>
      <c r="V56" s="46">
        <v>0.41</v>
      </c>
      <c r="W56" s="45">
        <v>0.96970000000000001</v>
      </c>
      <c r="X56" s="46">
        <v>20.82</v>
      </c>
      <c r="Y56" s="48">
        <f>Z56*33.11</f>
        <v>830008.32257399184</v>
      </c>
      <c r="Z56" s="47">
        <f>SUM((Q56-U56)*N56)/W56</f>
        <v>25068.206661854179</v>
      </c>
      <c r="AA56" s="46">
        <f>Z56/2085.71</f>
        <v>12.019027890672326</v>
      </c>
    </row>
    <row r="57" spans="1:27" s="22" customFormat="1" x14ac:dyDescent="0.25">
      <c r="A57" s="7" t="str">
        <f t="shared" si="0"/>
        <v>2947Providence Alaska Medical Center3370Outreach Laboratory</v>
      </c>
      <c r="B57" s="7"/>
      <c r="C57" s="29" t="s">
        <v>828</v>
      </c>
      <c r="D57" s="29" t="s">
        <v>828</v>
      </c>
      <c r="E57" s="29" t="s">
        <v>828</v>
      </c>
      <c r="F57" s="29">
        <v>2947</v>
      </c>
      <c r="G57" s="4" t="s">
        <v>829</v>
      </c>
      <c r="H57" s="5">
        <v>3370</v>
      </c>
      <c r="I57" s="4" t="s">
        <v>182</v>
      </c>
      <c r="J57" s="4" t="s">
        <v>53</v>
      </c>
      <c r="K57" s="4" t="s">
        <v>835</v>
      </c>
      <c r="L57" s="4" t="s">
        <v>94</v>
      </c>
      <c r="M57" s="37">
        <v>3086.76</v>
      </c>
      <c r="N57" s="37">
        <v>3241.16</v>
      </c>
      <c r="O57" s="7"/>
      <c r="P57" s="39">
        <v>8.7899999999999991</v>
      </c>
      <c r="Q57" s="39">
        <v>8.86</v>
      </c>
      <c r="R57" s="7"/>
      <c r="S57" s="40">
        <v>26</v>
      </c>
      <c r="T57" s="39">
        <v>10.59</v>
      </c>
      <c r="U57" s="39">
        <v>11.05</v>
      </c>
      <c r="V57" s="39">
        <v>11.48</v>
      </c>
      <c r="W57" s="38">
        <v>0.89610000000000001</v>
      </c>
      <c r="X57" s="39">
        <v>15.41</v>
      </c>
      <c r="Y57" s="41">
        <v>-184424.028664018</v>
      </c>
      <c r="Z57" s="40">
        <v>-7827</v>
      </c>
      <c r="AA57" s="39">
        <v>-3.75259981690595</v>
      </c>
    </row>
    <row r="58" spans="1:27" s="22" customFormat="1" x14ac:dyDescent="0.25">
      <c r="A58" s="7" t="str">
        <f t="shared" si="0"/>
        <v>2947Providence Alaska Medical Center6610Hospital Administration</v>
      </c>
      <c r="B58" s="7"/>
      <c r="C58" s="29" t="s">
        <v>828</v>
      </c>
      <c r="D58" s="29" t="s">
        <v>828</v>
      </c>
      <c r="E58" s="29" t="s">
        <v>828</v>
      </c>
      <c r="F58" s="29">
        <v>2947</v>
      </c>
      <c r="G58" s="4" t="s">
        <v>829</v>
      </c>
      <c r="H58" s="30">
        <v>6610</v>
      </c>
      <c r="I58" s="31" t="s">
        <v>72</v>
      </c>
      <c r="J58" s="31" t="s">
        <v>72</v>
      </c>
      <c r="K58" s="31" t="s">
        <v>830</v>
      </c>
      <c r="L58" s="31" t="s">
        <v>14</v>
      </c>
      <c r="M58" s="32">
        <v>255.6</v>
      </c>
      <c r="N58" s="32">
        <v>265.81</v>
      </c>
      <c r="O58" s="33">
        <v>0.52</v>
      </c>
      <c r="P58" s="34">
        <v>66.239999999999995</v>
      </c>
      <c r="Q58" s="34">
        <f>11202.43/N58</f>
        <v>42.144501711748994</v>
      </c>
      <c r="R58" s="33">
        <v>0.5</v>
      </c>
      <c r="S58" s="35">
        <v>26</v>
      </c>
      <c r="T58" s="34">
        <v>49.31</v>
      </c>
      <c r="U58" s="34">
        <v>54.37</v>
      </c>
      <c r="V58" s="34">
        <v>65.62</v>
      </c>
      <c r="W58" s="33">
        <v>0.87739999999999996</v>
      </c>
      <c r="X58" s="34">
        <v>9.56</v>
      </c>
      <c r="Y58" s="36">
        <f>Z58*52.04</f>
        <v>-192742.52426259397</v>
      </c>
      <c r="Z58" s="35">
        <f>SUM((Q58-U58)*N58)/W58</f>
        <v>-3703.7379758377015</v>
      </c>
      <c r="AA58" s="34">
        <f>Z58/2085.71</f>
        <v>-1.7757684317751277</v>
      </c>
    </row>
    <row r="59" spans="1:27" s="22" customFormat="1" x14ac:dyDescent="0.25">
      <c r="A59" s="7" t="str">
        <f t="shared" si="0"/>
        <v>2947Providence Alaska Medical Center3450Ultrasound</v>
      </c>
      <c r="B59" s="7"/>
      <c r="C59" s="29" t="s">
        <v>828</v>
      </c>
      <c r="D59" s="29" t="s">
        <v>828</v>
      </c>
      <c r="E59" s="29" t="s">
        <v>828</v>
      </c>
      <c r="F59" s="29">
        <v>2947</v>
      </c>
      <c r="G59" s="4" t="s">
        <v>829</v>
      </c>
      <c r="H59" s="5">
        <v>3450</v>
      </c>
      <c r="I59" s="4" t="s">
        <v>122</v>
      </c>
      <c r="J59" s="4" t="s">
        <v>57</v>
      </c>
      <c r="K59" s="4" t="s">
        <v>122</v>
      </c>
      <c r="L59" s="4" t="s">
        <v>99</v>
      </c>
      <c r="M59" s="37">
        <v>36622.550000000003</v>
      </c>
      <c r="N59" s="37">
        <v>39402.199999999997</v>
      </c>
      <c r="O59" s="38">
        <v>0.6</v>
      </c>
      <c r="P59" s="39">
        <v>0.36</v>
      </c>
      <c r="Q59" s="39">
        <v>0.36</v>
      </c>
      <c r="R59" s="38">
        <v>0.125</v>
      </c>
      <c r="S59" s="40">
        <v>26</v>
      </c>
      <c r="T59" s="39">
        <v>0.39</v>
      </c>
      <c r="U59" s="39">
        <v>0.42</v>
      </c>
      <c r="V59" s="39">
        <v>0.47</v>
      </c>
      <c r="W59" s="38">
        <v>0.9163</v>
      </c>
      <c r="X59" s="39">
        <v>7.54</v>
      </c>
      <c r="Y59" s="41">
        <v>-110275.770455561</v>
      </c>
      <c r="Z59" s="40">
        <v>-2334</v>
      </c>
      <c r="AA59" s="39">
        <v>-1.11924911287027</v>
      </c>
    </row>
    <row r="60" spans="1:27" s="22" customFormat="1" x14ac:dyDescent="0.25">
      <c r="A60" s="7" t="str">
        <f t="shared" si="0"/>
        <v>2947Providence Alaska Medical Center1285Labor &amp; Delivery with Recovery</v>
      </c>
      <c r="B60" s="7"/>
      <c r="C60" s="29" t="s">
        <v>828</v>
      </c>
      <c r="D60" s="29" t="s">
        <v>828</v>
      </c>
      <c r="E60" s="29" t="s">
        <v>828</v>
      </c>
      <c r="F60" s="89">
        <v>2947</v>
      </c>
      <c r="G60" s="43" t="s">
        <v>829</v>
      </c>
      <c r="H60" s="42">
        <v>1285</v>
      </c>
      <c r="I60" s="43" t="s">
        <v>85</v>
      </c>
      <c r="J60" s="43" t="s">
        <v>23</v>
      </c>
      <c r="K60" s="43" t="s">
        <v>892</v>
      </c>
      <c r="L60" s="43" t="s">
        <v>86</v>
      </c>
      <c r="M60" s="44">
        <v>2982</v>
      </c>
      <c r="N60" s="44">
        <v>3003</v>
      </c>
      <c r="O60" s="45">
        <v>0.56000000000000005</v>
      </c>
      <c r="P60" s="46">
        <v>43.27</v>
      </c>
      <c r="Q60" s="46">
        <v>37.69</v>
      </c>
      <c r="R60" s="45">
        <v>0.88</v>
      </c>
      <c r="S60" s="47">
        <v>26</v>
      </c>
      <c r="T60" s="46">
        <v>28.33</v>
      </c>
      <c r="U60" s="46">
        <v>29.37</v>
      </c>
      <c r="V60" s="46">
        <v>30.85</v>
      </c>
      <c r="W60" s="45">
        <v>0.85250000000000004</v>
      </c>
      <c r="X60" s="46">
        <v>63.82</v>
      </c>
      <c r="Y60" s="48">
        <v>1268282.7933342336</v>
      </c>
      <c r="Z60" s="47">
        <f>SUM((Q60-U60)*N60)/W60</f>
        <v>29307.870967741925</v>
      </c>
      <c r="AA60" s="46">
        <f>Z60/2085.71</f>
        <v>14.051747830590985</v>
      </c>
    </row>
    <row r="61" spans="1:27" s="22" customFormat="1" x14ac:dyDescent="0.25">
      <c r="A61" s="7" t="str">
        <f t="shared" si="0"/>
        <v>2947Providence Alaska Medical Center5910Security</v>
      </c>
      <c r="B61" s="7"/>
      <c r="C61" s="29" t="s">
        <v>828</v>
      </c>
      <c r="D61" s="29" t="s">
        <v>828</v>
      </c>
      <c r="E61" s="29" t="s">
        <v>828</v>
      </c>
      <c r="F61" s="29">
        <v>2947</v>
      </c>
      <c r="G61" s="4" t="s">
        <v>829</v>
      </c>
      <c r="H61" s="5">
        <v>5910</v>
      </c>
      <c r="I61" s="4" t="s">
        <v>139</v>
      </c>
      <c r="J61" s="4" t="s">
        <v>136</v>
      </c>
      <c r="K61" s="4" t="s">
        <v>139</v>
      </c>
      <c r="L61" s="4" t="s">
        <v>140</v>
      </c>
      <c r="M61" s="37">
        <v>4508</v>
      </c>
      <c r="N61" s="37">
        <v>4508</v>
      </c>
      <c r="O61" s="38">
        <v>0.61539999999999995</v>
      </c>
      <c r="P61" s="39">
        <v>9.89</v>
      </c>
      <c r="Q61" s="39">
        <v>11.52</v>
      </c>
      <c r="R61" s="38">
        <v>0.52</v>
      </c>
      <c r="S61" s="40">
        <v>27</v>
      </c>
      <c r="T61" s="39">
        <v>9.09</v>
      </c>
      <c r="U61" s="39">
        <v>9.91</v>
      </c>
      <c r="V61" s="39">
        <v>11.5</v>
      </c>
      <c r="W61" s="38">
        <v>0.89270000000000005</v>
      </c>
      <c r="X61" s="39">
        <v>27.96</v>
      </c>
      <c r="Y61" s="41">
        <v>204397.07268425499</v>
      </c>
      <c r="Z61" s="40">
        <v>8272</v>
      </c>
      <c r="AA61" s="39">
        <v>3.9661363838343999</v>
      </c>
    </row>
    <row r="62" spans="1:27" s="22" customFormat="1" x14ac:dyDescent="0.25">
      <c r="A62" s="7" t="str">
        <f t="shared" si="0"/>
        <v>2947Providence Alaska Medical Center4640Infusion Therapy</v>
      </c>
      <c r="B62" s="7"/>
      <c r="C62" s="29" t="s">
        <v>828</v>
      </c>
      <c r="D62" s="29" t="s">
        <v>828</v>
      </c>
      <c r="E62" s="29" t="s">
        <v>828</v>
      </c>
      <c r="F62" s="29">
        <v>2947</v>
      </c>
      <c r="G62" s="4" t="s">
        <v>829</v>
      </c>
      <c r="H62" s="42">
        <v>4640</v>
      </c>
      <c r="I62" s="43" t="s">
        <v>82</v>
      </c>
      <c r="J62" s="43" t="s">
        <v>83</v>
      </c>
      <c r="K62" s="43" t="s">
        <v>891</v>
      </c>
      <c r="L62" s="43" t="s">
        <v>84</v>
      </c>
      <c r="M62" s="44">
        <v>11735</v>
      </c>
      <c r="N62" s="44">
        <v>12262</v>
      </c>
      <c r="O62" s="45">
        <v>0.47620000000000001</v>
      </c>
      <c r="P62" s="46">
        <v>1.18</v>
      </c>
      <c r="Q62" s="46">
        <f>13908.61/N62</f>
        <v>1.1342855977817647</v>
      </c>
      <c r="R62" s="45">
        <v>0.64739999999999998</v>
      </c>
      <c r="S62" s="47">
        <v>28</v>
      </c>
      <c r="T62" s="46">
        <v>1.1100000000000001</v>
      </c>
      <c r="U62" s="46">
        <v>1.34</v>
      </c>
      <c r="V62" s="46">
        <v>1.63</v>
      </c>
      <c r="W62" s="45">
        <v>0.86450000000000005</v>
      </c>
      <c r="X62" s="46">
        <v>7.67</v>
      </c>
      <c r="Y62" s="48">
        <f>46.4*Z62</f>
        <v>-135387.63215731646</v>
      </c>
      <c r="Z62" s="47">
        <f>SUM((Q62-U62)*N62)/W62</f>
        <v>-2917.836899942165</v>
      </c>
      <c r="AA62" s="46">
        <f>Z62/2085.71</f>
        <v>-1.3989657718197472</v>
      </c>
    </row>
    <row r="63" spans="1:27" s="22" customFormat="1" x14ac:dyDescent="0.25">
      <c r="A63" s="7" t="str">
        <f t="shared" si="0"/>
        <v>2947Providence Alaska Medical Center4220E K G (U)</v>
      </c>
      <c r="B63" s="7"/>
      <c r="C63" s="29" t="s">
        <v>828</v>
      </c>
      <c r="D63" s="29" t="s">
        <v>828</v>
      </c>
      <c r="E63" s="29" t="s">
        <v>828</v>
      </c>
      <c r="F63" s="29">
        <v>2947</v>
      </c>
      <c r="G63" s="4" t="s">
        <v>829</v>
      </c>
      <c r="H63" s="5">
        <v>4220</v>
      </c>
      <c r="I63" s="4" t="s">
        <v>98</v>
      </c>
      <c r="J63" s="4" t="s">
        <v>60</v>
      </c>
      <c r="K63" s="4" t="s">
        <v>861</v>
      </c>
      <c r="L63" s="4" t="s">
        <v>99</v>
      </c>
      <c r="M63" s="37">
        <v>11853.14</v>
      </c>
      <c r="N63" s="37">
        <v>31552.75</v>
      </c>
      <c r="O63" s="38">
        <v>0.32</v>
      </c>
      <c r="P63" s="39">
        <v>1.61</v>
      </c>
      <c r="Q63" s="39">
        <v>0.65</v>
      </c>
      <c r="R63" s="7"/>
      <c r="S63" s="40">
        <v>28</v>
      </c>
      <c r="T63" s="39">
        <v>0.23</v>
      </c>
      <c r="U63" s="39">
        <v>0.28000000000000003</v>
      </c>
      <c r="V63" s="39">
        <v>0.33</v>
      </c>
      <c r="W63" s="38">
        <v>0.8901</v>
      </c>
      <c r="X63" s="39">
        <v>11.1</v>
      </c>
      <c r="Y63" s="41">
        <v>313338.33297748299</v>
      </c>
      <c r="Z63" s="40">
        <v>13226</v>
      </c>
      <c r="AA63" s="39">
        <v>6.3411216234158498</v>
      </c>
    </row>
    <row r="64" spans="1:27" s="22" customFormat="1" x14ac:dyDescent="0.25">
      <c r="A64" s="7" t="str">
        <f t="shared" si="0"/>
        <v>2947Providence Alaska Medical Center1013Adult Critical Care Unit</v>
      </c>
      <c r="B64" s="7"/>
      <c r="C64" s="29" t="s">
        <v>828</v>
      </c>
      <c r="D64" s="29" t="s">
        <v>828</v>
      </c>
      <c r="E64" s="29" t="s">
        <v>828</v>
      </c>
      <c r="F64" s="29">
        <v>2947</v>
      </c>
      <c r="G64" s="4" t="s">
        <v>829</v>
      </c>
      <c r="H64" s="5">
        <v>1013</v>
      </c>
      <c r="I64" s="4" t="s">
        <v>73</v>
      </c>
      <c r="J64" s="4" t="s">
        <v>23</v>
      </c>
      <c r="K64" s="4" t="s">
        <v>888</v>
      </c>
      <c r="L64" s="4" t="s">
        <v>74</v>
      </c>
      <c r="M64" s="37">
        <v>7683</v>
      </c>
      <c r="N64" s="37">
        <v>5429</v>
      </c>
      <c r="O64" s="38">
        <v>0.52</v>
      </c>
      <c r="P64" s="39">
        <v>19.420000000000002</v>
      </c>
      <c r="Q64" s="39">
        <f>116939.23/N64</f>
        <v>21.539736599742124</v>
      </c>
      <c r="R64" s="38">
        <v>0.70369999999999999</v>
      </c>
      <c r="S64" s="40">
        <v>28</v>
      </c>
      <c r="T64" s="39">
        <v>17.88</v>
      </c>
      <c r="U64" s="39">
        <v>19.11</v>
      </c>
      <c r="V64" s="39">
        <v>21.03</v>
      </c>
      <c r="W64" s="38">
        <v>0.88149999999999995</v>
      </c>
      <c r="X64" s="39">
        <v>63.78</v>
      </c>
      <c r="Y64" s="41">
        <f>42.66*Z64</f>
        <v>638377.50017016416</v>
      </c>
      <c r="Z64" s="40">
        <f>SUM((Q64-U64)*N64)/W64</f>
        <v>14964.310833806006</v>
      </c>
      <c r="AA64" s="39">
        <f>Z64/2085.71</f>
        <v>7.1746843203542232</v>
      </c>
    </row>
    <row r="65" spans="1:27" s="22" customFormat="1" x14ac:dyDescent="0.25">
      <c r="A65" s="7" t="str">
        <f t="shared" si="0"/>
        <v>2947Providence Alaska Medical Center12124 North Surgical</v>
      </c>
      <c r="B65" s="7"/>
      <c r="C65" s="29" t="s">
        <v>828</v>
      </c>
      <c r="D65" s="29" t="s">
        <v>828</v>
      </c>
      <c r="E65" s="29" t="s">
        <v>828</v>
      </c>
      <c r="F65" s="29">
        <v>2947</v>
      </c>
      <c r="G65" s="4" t="s">
        <v>829</v>
      </c>
      <c r="H65" s="5">
        <v>1212</v>
      </c>
      <c r="I65" s="4" t="s">
        <v>160</v>
      </c>
      <c r="J65" s="4" t="s">
        <v>23</v>
      </c>
      <c r="K65" s="4" t="s">
        <v>889</v>
      </c>
      <c r="L65" s="4" t="s">
        <v>74</v>
      </c>
      <c r="M65" s="37">
        <v>9030</v>
      </c>
      <c r="N65" s="37">
        <v>9445</v>
      </c>
      <c r="O65" s="38">
        <v>0.5</v>
      </c>
      <c r="P65" s="39">
        <v>11.42</v>
      </c>
      <c r="Q65" s="39">
        <f>102530.29/N65</f>
        <v>10.855509793541556</v>
      </c>
      <c r="R65" s="38">
        <v>0.70369999999999999</v>
      </c>
      <c r="S65" s="40">
        <v>29</v>
      </c>
      <c r="T65" s="39">
        <v>10.29</v>
      </c>
      <c r="U65" s="39">
        <v>10.56</v>
      </c>
      <c r="V65" s="39">
        <v>10.84</v>
      </c>
      <c r="W65" s="38">
        <v>0.874</v>
      </c>
      <c r="X65" s="39">
        <v>56.41</v>
      </c>
      <c r="Y65" s="41">
        <f>29.49*Z65</f>
        <v>94175.336498855439</v>
      </c>
      <c r="Z65" s="40">
        <f>SUM((Q65-U65)*N65)/W65</f>
        <v>3193.4668192219547</v>
      </c>
      <c r="AA65" s="39">
        <f>Z65/2085.71</f>
        <v>1.5311173745256794</v>
      </c>
    </row>
    <row r="66" spans="1:27" s="22" customFormat="1" x14ac:dyDescent="0.25">
      <c r="A66" s="7" t="str">
        <f t="shared" si="0"/>
        <v>2947Providence Alaska Medical Center4411Medical Arts Pharmacy</v>
      </c>
      <c r="B66" s="7"/>
      <c r="C66" s="29" t="s">
        <v>828</v>
      </c>
      <c r="D66" s="29" t="s">
        <v>828</v>
      </c>
      <c r="E66" s="29" t="s">
        <v>828</v>
      </c>
      <c r="F66" s="89">
        <v>2947</v>
      </c>
      <c r="G66" s="43" t="s">
        <v>829</v>
      </c>
      <c r="H66" s="42">
        <v>4411</v>
      </c>
      <c r="I66" s="43" t="s">
        <v>154</v>
      </c>
      <c r="J66" s="43" t="s">
        <v>37</v>
      </c>
      <c r="K66" s="43" t="s">
        <v>902</v>
      </c>
      <c r="L66" s="43" t="s">
        <v>155</v>
      </c>
      <c r="M66" s="44">
        <v>47500</v>
      </c>
      <c r="N66" s="44">
        <v>42500</v>
      </c>
      <c r="O66" s="45">
        <v>0.6</v>
      </c>
      <c r="P66" s="46">
        <v>0.24</v>
      </c>
      <c r="Q66" s="46">
        <v>0.18863529411764707</v>
      </c>
      <c r="R66" s="45"/>
      <c r="S66" s="47">
        <v>31</v>
      </c>
      <c r="T66" s="46">
        <v>0.19</v>
      </c>
      <c r="U66" s="46">
        <v>0.2</v>
      </c>
      <c r="V66" s="46">
        <v>0.21</v>
      </c>
      <c r="W66" s="45">
        <v>0.85599999999999998</v>
      </c>
      <c r="X66" s="46">
        <v>5.9</v>
      </c>
      <c r="Y66" s="48">
        <f>Z66*53.86</f>
        <v>-30390.630841121503</v>
      </c>
      <c r="Z66" s="47">
        <f>SUM((Q66-U66)*N66)/W66</f>
        <v>-564.25233644859827</v>
      </c>
      <c r="AA66" s="46">
        <f>Z66/2085.71</f>
        <v>-0.27053249802158413</v>
      </c>
    </row>
    <row r="67" spans="1:27" s="22" customFormat="1" x14ac:dyDescent="0.25">
      <c r="A67" s="7" t="str">
        <f t="shared" ref="A67:A130" si="1">F67&amp;G67&amp;H67&amp;K67</f>
        <v>2947Providence Alaska Medical Center4010Radiation Oncology</v>
      </c>
      <c r="B67" s="7"/>
      <c r="C67" s="29" t="s">
        <v>828</v>
      </c>
      <c r="D67" s="29" t="s">
        <v>828</v>
      </c>
      <c r="E67" s="29" t="s">
        <v>828</v>
      </c>
      <c r="F67" s="29">
        <v>2947</v>
      </c>
      <c r="G67" s="4" t="s">
        <v>829</v>
      </c>
      <c r="H67" s="5">
        <v>4010</v>
      </c>
      <c r="I67" s="4" t="s">
        <v>152</v>
      </c>
      <c r="J67" s="4" t="s">
        <v>153</v>
      </c>
      <c r="K67" s="4" t="s">
        <v>862</v>
      </c>
      <c r="L67" s="4" t="s">
        <v>99</v>
      </c>
      <c r="M67" s="37">
        <v>43198.31</v>
      </c>
      <c r="N67" s="37">
        <v>49174.013700000003</v>
      </c>
      <c r="O67" s="38">
        <v>0.5161</v>
      </c>
      <c r="P67" s="39">
        <v>0.68</v>
      </c>
      <c r="Q67" s="39">
        <v>0.42</v>
      </c>
      <c r="R67" s="38">
        <v>0.9667</v>
      </c>
      <c r="S67" s="40">
        <v>32</v>
      </c>
      <c r="T67" s="39">
        <v>0.34</v>
      </c>
      <c r="U67" s="39">
        <v>0.35</v>
      </c>
      <c r="V67" s="39">
        <v>0.39</v>
      </c>
      <c r="W67" s="38">
        <v>0.86950000000000005</v>
      </c>
      <c r="X67" s="39">
        <v>11.36</v>
      </c>
      <c r="Y67" s="41">
        <v>174510.86909130053</v>
      </c>
      <c r="Z67" s="40">
        <v>3899.6405338700401</v>
      </c>
      <c r="AA67" s="39">
        <v>1.8696945087620236</v>
      </c>
    </row>
    <row r="68" spans="1:27" s="22" customFormat="1" x14ac:dyDescent="0.25">
      <c r="A68" s="7" t="str">
        <f t="shared" si="1"/>
        <v>2947Providence Alaska Medical Center3030CV Ambulatory</v>
      </c>
      <c r="B68" s="7"/>
      <c r="C68" s="29" t="s">
        <v>828</v>
      </c>
      <c r="D68" s="29" t="s">
        <v>828</v>
      </c>
      <c r="E68" s="29" t="s">
        <v>828</v>
      </c>
      <c r="F68" s="89">
        <v>2947</v>
      </c>
      <c r="G68" s="43" t="s">
        <v>829</v>
      </c>
      <c r="H68" s="30">
        <v>3030</v>
      </c>
      <c r="I68" s="43" t="s">
        <v>80</v>
      </c>
      <c r="J68" s="43" t="s">
        <v>47</v>
      </c>
      <c r="K68" s="43" t="s">
        <v>869</v>
      </c>
      <c r="L68" s="43" t="s">
        <v>49</v>
      </c>
      <c r="M68" s="134"/>
      <c r="N68" s="44">
        <v>10660</v>
      </c>
      <c r="O68" s="45">
        <v>0.5</v>
      </c>
      <c r="P68" s="71"/>
      <c r="Q68" s="46">
        <v>3.25</v>
      </c>
      <c r="R68" s="45">
        <v>1</v>
      </c>
      <c r="S68" s="47">
        <v>32</v>
      </c>
      <c r="T68" s="46">
        <v>2.21</v>
      </c>
      <c r="U68" s="46">
        <v>2.7</v>
      </c>
      <c r="V68" s="46">
        <v>3.07</v>
      </c>
      <c r="W68" s="45">
        <v>0.86329999999999996</v>
      </c>
      <c r="X68" s="46">
        <v>24.41</v>
      </c>
      <c r="Y68" s="48">
        <f>49.19*Z68</f>
        <v>334068.07598748972</v>
      </c>
      <c r="Z68" s="47">
        <f>SUM((Q68-U68)*N68)/W68</f>
        <v>6791.3819066373198</v>
      </c>
      <c r="AA68" s="46">
        <f>Z68/2085.71</f>
        <v>3.2561487007481</v>
      </c>
    </row>
    <row r="69" spans="1:27" s="22" customFormat="1" x14ac:dyDescent="0.25">
      <c r="A69" s="7" t="str">
        <f t="shared" si="1"/>
        <v>2947Providence Alaska Medical Center4812PHYSICAL THERAPY OP ONLY</v>
      </c>
      <c r="B69" s="7"/>
      <c r="C69" s="29" t="s">
        <v>828</v>
      </c>
      <c r="D69" s="29" t="s">
        <v>828</v>
      </c>
      <c r="E69" s="29" t="s">
        <v>828</v>
      </c>
      <c r="F69" s="29">
        <v>2947</v>
      </c>
      <c r="G69" s="4" t="s">
        <v>829</v>
      </c>
      <c r="H69" s="5">
        <v>4812</v>
      </c>
      <c r="I69" s="4" t="s">
        <v>78</v>
      </c>
      <c r="J69" s="4" t="s">
        <v>41</v>
      </c>
      <c r="K69" s="4" t="s">
        <v>850</v>
      </c>
      <c r="L69" s="4" t="s">
        <v>79</v>
      </c>
      <c r="M69" s="37">
        <v>742.51</v>
      </c>
      <c r="N69" s="37">
        <v>727.33</v>
      </c>
      <c r="O69" s="38">
        <v>0.51519999999999999</v>
      </c>
      <c r="P69" s="39">
        <v>28.98</v>
      </c>
      <c r="Q69" s="39">
        <v>25.48</v>
      </c>
      <c r="R69" s="38">
        <v>0.63639999999999997</v>
      </c>
      <c r="S69" s="40">
        <v>34</v>
      </c>
      <c r="T69" s="39">
        <v>19.61</v>
      </c>
      <c r="U69" s="39">
        <v>21.74</v>
      </c>
      <c r="V69" s="39">
        <v>22.97</v>
      </c>
      <c r="W69" s="38">
        <v>0.86339999999999995</v>
      </c>
      <c r="X69" s="39">
        <v>10.32</v>
      </c>
      <c r="Y69" s="41">
        <v>112877.47001149401</v>
      </c>
      <c r="Z69" s="40">
        <v>3211</v>
      </c>
      <c r="AA69" s="39">
        <v>1.5393401110792599</v>
      </c>
    </row>
    <row r="70" spans="1:27" s="22" customFormat="1" x14ac:dyDescent="0.25">
      <c r="A70" s="7" t="str">
        <f t="shared" si="1"/>
        <v>2947Providence Alaska Medical Center1350Mental Health Unit</v>
      </c>
      <c r="B70" s="7"/>
      <c r="C70" s="29" t="s">
        <v>828</v>
      </c>
      <c r="D70" s="29" t="s">
        <v>828</v>
      </c>
      <c r="E70" s="29" t="s">
        <v>828</v>
      </c>
      <c r="F70" s="89">
        <v>2947</v>
      </c>
      <c r="G70" s="43" t="s">
        <v>829</v>
      </c>
      <c r="H70" s="42">
        <v>1350</v>
      </c>
      <c r="I70" s="43" t="s">
        <v>893</v>
      </c>
      <c r="J70" s="43" t="s">
        <v>23</v>
      </c>
      <c r="K70" s="43" t="s">
        <v>894</v>
      </c>
      <c r="L70" s="43" t="s">
        <v>114</v>
      </c>
      <c r="M70" s="44"/>
      <c r="N70" s="44">
        <v>3631</v>
      </c>
      <c r="O70" s="45"/>
      <c r="P70" s="46"/>
      <c r="Q70" s="46">
        <f>46391.072/N70</f>
        <v>12.776389975213441</v>
      </c>
      <c r="R70" s="45">
        <v>0.58540000000000003</v>
      </c>
      <c r="S70" s="47">
        <v>34</v>
      </c>
      <c r="T70" s="46">
        <v>9.5399999999999991</v>
      </c>
      <c r="U70" s="46">
        <v>9.8800000000000008</v>
      </c>
      <c r="V70" s="46">
        <v>10.16</v>
      </c>
      <c r="W70" s="45">
        <v>0.89</v>
      </c>
      <c r="X70" s="46">
        <v>25.06</v>
      </c>
      <c r="Y70" s="48">
        <f>50.4*Z70</f>
        <v>595557.65932584263</v>
      </c>
      <c r="Z70" s="47">
        <f>SUM((Q70-U70)*N70)/W70</f>
        <v>11816.620224719099</v>
      </c>
      <c r="AA70" s="46">
        <f>Z70/2085.71</f>
        <v>5.6655144889361893</v>
      </c>
    </row>
    <row r="71" spans="1:27" s="22" customFormat="1" x14ac:dyDescent="0.25">
      <c r="A71" s="7" t="str">
        <f t="shared" si="1"/>
        <v>2947Providence Alaska Medical Center3020Post Anesthesia Care Unit</v>
      </c>
      <c r="B71" s="7"/>
      <c r="C71" s="29" t="s">
        <v>828</v>
      </c>
      <c r="D71" s="29" t="s">
        <v>828</v>
      </c>
      <c r="E71" s="29" t="s">
        <v>828</v>
      </c>
      <c r="F71" s="89">
        <v>2947</v>
      </c>
      <c r="G71" s="43" t="s">
        <v>829</v>
      </c>
      <c r="H71" s="30">
        <v>3020</v>
      </c>
      <c r="I71" s="43" t="s">
        <v>89</v>
      </c>
      <c r="J71" s="43" t="s">
        <v>47</v>
      </c>
      <c r="K71" s="43" t="s">
        <v>841</v>
      </c>
      <c r="L71" s="43" t="s">
        <v>90</v>
      </c>
      <c r="M71" s="44">
        <v>25294.6</v>
      </c>
      <c r="N71" s="44">
        <v>17458.07</v>
      </c>
      <c r="O71" s="45">
        <v>0.52939999999999998</v>
      </c>
      <c r="P71" s="46">
        <v>2.33</v>
      </c>
      <c r="Q71" s="46">
        <v>3.5</v>
      </c>
      <c r="R71" s="45">
        <v>0.9677</v>
      </c>
      <c r="S71" s="47">
        <v>35</v>
      </c>
      <c r="T71" s="46">
        <v>2.9</v>
      </c>
      <c r="U71" s="46">
        <v>3.22</v>
      </c>
      <c r="V71" s="46">
        <v>3.45</v>
      </c>
      <c r="W71" s="45">
        <v>0.91259999999999997</v>
      </c>
      <c r="X71" s="46">
        <v>32.21</v>
      </c>
      <c r="Y71" s="48">
        <f>49.9*Z71</f>
        <v>267284.8499232959</v>
      </c>
      <c r="Z71" s="47">
        <f>SUM((Q71-U71)*N71)/W71</f>
        <v>5356.4098181021227</v>
      </c>
      <c r="AA71" s="46">
        <f>Z71/2085.71</f>
        <v>2.5681469706249298</v>
      </c>
    </row>
    <row r="72" spans="1:27" s="22" customFormat="1" x14ac:dyDescent="0.25">
      <c r="A72" s="7" t="str">
        <f t="shared" si="1"/>
        <v>2947Providence Alaska Medical Center4220Echo (U)</v>
      </c>
      <c r="B72" s="7"/>
      <c r="C72" s="29" t="s">
        <v>828</v>
      </c>
      <c r="D72" s="29" t="s">
        <v>828</v>
      </c>
      <c r="E72" s="29" t="s">
        <v>828</v>
      </c>
      <c r="F72" s="29">
        <v>2947</v>
      </c>
      <c r="G72" s="4" t="s">
        <v>829</v>
      </c>
      <c r="H72" s="5">
        <v>4220</v>
      </c>
      <c r="I72" s="4" t="s">
        <v>98</v>
      </c>
      <c r="J72" s="4" t="s">
        <v>60</v>
      </c>
      <c r="K72" s="4" t="s">
        <v>863</v>
      </c>
      <c r="L72" s="4" t="s">
        <v>99</v>
      </c>
      <c r="M72" s="37">
        <v>38033.870000000003</v>
      </c>
      <c r="N72" s="37">
        <v>39418.089999999997</v>
      </c>
      <c r="O72" s="38">
        <v>0.5585</v>
      </c>
      <c r="P72" s="39">
        <v>0.3</v>
      </c>
      <c r="Q72" s="39">
        <v>0.3</v>
      </c>
      <c r="R72" s="38">
        <v>0.37119999999999997</v>
      </c>
      <c r="S72" s="40">
        <v>36</v>
      </c>
      <c r="T72" s="39">
        <v>0.25</v>
      </c>
      <c r="U72" s="39">
        <v>0.28999999999999998</v>
      </c>
      <c r="V72" s="39">
        <v>0.34</v>
      </c>
      <c r="W72" s="38">
        <v>0.89470000000000005</v>
      </c>
      <c r="X72" s="39">
        <v>6.4</v>
      </c>
      <c r="Y72" s="41">
        <v>30104.823460481399</v>
      </c>
      <c r="Z72" s="40">
        <v>572</v>
      </c>
      <c r="AA72" s="39">
        <v>0.27417908679904202</v>
      </c>
    </row>
    <row r="73" spans="1:27" s="22" customFormat="1" x14ac:dyDescent="0.25">
      <c r="A73" s="7" t="str">
        <f t="shared" si="1"/>
        <v>2947Providence Alaska Medical Center3460Nuclear Medicine</v>
      </c>
      <c r="B73" s="7"/>
      <c r="C73" s="29" t="s">
        <v>828</v>
      </c>
      <c r="D73" s="29" t="s">
        <v>828</v>
      </c>
      <c r="E73" s="29" t="s">
        <v>828</v>
      </c>
      <c r="F73" s="29">
        <v>2947</v>
      </c>
      <c r="G73" s="4" t="s">
        <v>829</v>
      </c>
      <c r="H73" s="5">
        <v>3460</v>
      </c>
      <c r="I73" s="4" t="s">
        <v>120</v>
      </c>
      <c r="J73" s="4" t="s">
        <v>57</v>
      </c>
      <c r="K73" s="4" t="s">
        <v>120</v>
      </c>
      <c r="L73" s="4" t="s">
        <v>99</v>
      </c>
      <c r="M73" s="37">
        <v>15144.05</v>
      </c>
      <c r="N73" s="37">
        <v>13234.78</v>
      </c>
      <c r="O73" s="38">
        <v>0.54290000000000005</v>
      </c>
      <c r="P73" s="39">
        <v>0.37</v>
      </c>
      <c r="Q73" s="39">
        <v>0.41</v>
      </c>
      <c r="R73" s="38">
        <v>0.86670000000000003</v>
      </c>
      <c r="S73" s="40">
        <v>36</v>
      </c>
      <c r="T73" s="39">
        <v>0.28000000000000003</v>
      </c>
      <c r="U73" s="39">
        <v>0.28999999999999998</v>
      </c>
      <c r="V73" s="39">
        <v>0.33</v>
      </c>
      <c r="W73" s="38">
        <v>0.89910000000000001</v>
      </c>
      <c r="X73" s="39">
        <v>2.93</v>
      </c>
      <c r="Y73" s="41">
        <v>91840.631750250104</v>
      </c>
      <c r="Z73" s="40">
        <v>1842</v>
      </c>
      <c r="AA73" s="39">
        <v>0.88329671992449799</v>
      </c>
    </row>
    <row r="74" spans="1:27" s="22" customFormat="1" x14ac:dyDescent="0.25">
      <c r="A74" s="7" t="str">
        <f t="shared" si="1"/>
        <v>2947Providence Alaska Medical Center3499N - Imaging Admin (U,N)</v>
      </c>
      <c r="B74" s="7"/>
      <c r="C74" s="29" t="s">
        <v>828</v>
      </c>
      <c r="D74" s="29" t="s">
        <v>828</v>
      </c>
      <c r="E74" s="29" t="s">
        <v>828</v>
      </c>
      <c r="F74" s="29">
        <v>2947</v>
      </c>
      <c r="G74" s="4" t="s">
        <v>829</v>
      </c>
      <c r="H74" s="5">
        <v>3499</v>
      </c>
      <c r="I74" s="4" t="s">
        <v>56</v>
      </c>
      <c r="J74" s="4" t="s">
        <v>57</v>
      </c>
      <c r="K74" s="4" t="s">
        <v>865</v>
      </c>
      <c r="L74" s="4" t="s">
        <v>58</v>
      </c>
      <c r="M74" s="37">
        <v>193343.65</v>
      </c>
      <c r="N74" s="37">
        <v>190240.78</v>
      </c>
      <c r="O74" s="38">
        <v>0.53439999999999999</v>
      </c>
      <c r="P74" s="39">
        <v>0.18</v>
      </c>
      <c r="Q74" s="39">
        <v>0.13</v>
      </c>
      <c r="R74" s="7"/>
      <c r="S74" s="40">
        <v>36</v>
      </c>
      <c r="T74" s="39">
        <v>0.06</v>
      </c>
      <c r="U74" s="39">
        <v>0.06</v>
      </c>
      <c r="V74" s="39">
        <v>7.0000000000000007E-2</v>
      </c>
      <c r="W74" s="38">
        <v>0.89910000000000001</v>
      </c>
      <c r="X74" s="39">
        <v>13.35</v>
      </c>
      <c r="Y74" s="41">
        <v>492149.79166222498</v>
      </c>
      <c r="Z74" s="40">
        <v>15149</v>
      </c>
      <c r="AA74" s="39">
        <v>7.2631159415316597</v>
      </c>
    </row>
    <row r="75" spans="1:27" s="22" customFormat="1" x14ac:dyDescent="0.25">
      <c r="A75" s="7" t="str">
        <f t="shared" si="1"/>
        <v>2947Providence Alaska Medical Center3420Cat Scanner</v>
      </c>
      <c r="B75" s="7"/>
      <c r="C75" s="29" t="s">
        <v>828</v>
      </c>
      <c r="D75" s="29" t="s">
        <v>828</v>
      </c>
      <c r="E75" s="29" t="s">
        <v>828</v>
      </c>
      <c r="F75" s="29">
        <v>2947</v>
      </c>
      <c r="G75" s="4" t="s">
        <v>829</v>
      </c>
      <c r="H75" s="5">
        <v>3420</v>
      </c>
      <c r="I75" s="4" t="s">
        <v>123</v>
      </c>
      <c r="J75" s="4" t="s">
        <v>57</v>
      </c>
      <c r="K75" s="4" t="s">
        <v>864</v>
      </c>
      <c r="L75" s="4" t="s">
        <v>99</v>
      </c>
      <c r="M75" s="37">
        <v>64476.24</v>
      </c>
      <c r="N75" s="37">
        <v>64366.45</v>
      </c>
      <c r="O75" s="38">
        <v>0.55000000000000004</v>
      </c>
      <c r="P75" s="39">
        <v>0.2</v>
      </c>
      <c r="Q75" s="39">
        <v>0.18</v>
      </c>
      <c r="R75" s="38">
        <v>5.4100000000000002E-2</v>
      </c>
      <c r="S75" s="40">
        <v>41</v>
      </c>
      <c r="T75" s="39">
        <v>0.24</v>
      </c>
      <c r="U75" s="39">
        <v>0.25</v>
      </c>
      <c r="V75" s="39">
        <v>0.26</v>
      </c>
      <c r="W75" s="38">
        <v>0.88980000000000004</v>
      </c>
      <c r="X75" s="39">
        <v>6.4</v>
      </c>
      <c r="Y75" s="41">
        <v>-194298.526796636</v>
      </c>
      <c r="Z75" s="40">
        <v>-4736</v>
      </c>
      <c r="AA75" s="39">
        <v>-2.2707232209294501</v>
      </c>
    </row>
    <row r="76" spans="1:27" s="22" customFormat="1" x14ac:dyDescent="0.25">
      <c r="A76" s="7" t="str">
        <f t="shared" si="1"/>
        <v>2947Providence Alaska Medical Center1390Mental Health Unit</v>
      </c>
      <c r="B76" s="7"/>
      <c r="C76" s="29" t="s">
        <v>828</v>
      </c>
      <c r="D76" s="29" t="s">
        <v>828</v>
      </c>
      <c r="E76" s="29" t="s">
        <v>828</v>
      </c>
      <c r="F76" s="89">
        <v>2947</v>
      </c>
      <c r="G76" s="43" t="s">
        <v>829</v>
      </c>
      <c r="H76" s="42">
        <v>1390</v>
      </c>
      <c r="I76" s="43" t="s">
        <v>174</v>
      </c>
      <c r="J76" s="43" t="s">
        <v>23</v>
      </c>
      <c r="K76" s="43" t="s">
        <v>894</v>
      </c>
      <c r="L76" s="43" t="s">
        <v>114</v>
      </c>
      <c r="M76" s="44">
        <v>6256</v>
      </c>
      <c r="N76" s="44">
        <v>3605</v>
      </c>
      <c r="O76" s="45">
        <v>0.6341</v>
      </c>
      <c r="P76" s="46">
        <v>11.14</v>
      </c>
      <c r="Q76" s="46">
        <f>38579.01/N76</f>
        <v>10.701528432732317</v>
      </c>
      <c r="R76" s="45">
        <v>0.58540000000000003</v>
      </c>
      <c r="S76" s="47">
        <v>42</v>
      </c>
      <c r="T76" s="46">
        <v>8.4700000000000006</v>
      </c>
      <c r="U76" s="46">
        <v>8.6999999999999993</v>
      </c>
      <c r="V76" s="46">
        <v>9.9700000000000006</v>
      </c>
      <c r="W76" s="45">
        <v>0.89</v>
      </c>
      <c r="X76" s="46">
        <v>20.84</v>
      </c>
      <c r="Y76" s="48">
        <f>41.79*Z76</f>
        <v>338804.67741573061</v>
      </c>
      <c r="Z76" s="47">
        <f>SUM((Q76-U76)*N76)/W76</f>
        <v>8107.3146067415801</v>
      </c>
      <c r="AA76" s="46">
        <f>Z76/2085.71</f>
        <v>3.8870766342116498</v>
      </c>
    </row>
    <row r="77" spans="1:27" s="22" customFormat="1" x14ac:dyDescent="0.25">
      <c r="A77" s="7" t="str">
        <f t="shared" si="1"/>
        <v>2947Providence Alaska Medical Center1272Mother Baby Unit</v>
      </c>
      <c r="B77" s="7"/>
      <c r="C77" s="29" t="s">
        <v>828</v>
      </c>
      <c r="D77" s="29" t="s">
        <v>828</v>
      </c>
      <c r="E77" s="29" t="s">
        <v>828</v>
      </c>
      <c r="F77" s="29">
        <v>2947</v>
      </c>
      <c r="G77" s="4" t="s">
        <v>829</v>
      </c>
      <c r="H77" s="5">
        <v>1272</v>
      </c>
      <c r="I77" s="4" t="s">
        <v>112</v>
      </c>
      <c r="J77" s="4" t="s">
        <v>23</v>
      </c>
      <c r="K77" s="4" t="s">
        <v>890</v>
      </c>
      <c r="L77" s="4" t="s">
        <v>74</v>
      </c>
      <c r="M77" s="37">
        <v>13846</v>
      </c>
      <c r="N77" s="37">
        <v>10639</v>
      </c>
      <c r="O77" s="38">
        <v>0.48780000000000001</v>
      </c>
      <c r="P77" s="39">
        <v>9.09</v>
      </c>
      <c r="Q77" s="39">
        <v>10.67</v>
      </c>
      <c r="R77" s="38">
        <v>0.94869999999999999</v>
      </c>
      <c r="S77" s="40">
        <v>42</v>
      </c>
      <c r="T77" s="39">
        <v>6.85</v>
      </c>
      <c r="U77" s="39">
        <v>7.35</v>
      </c>
      <c r="V77" s="39">
        <v>7.57</v>
      </c>
      <c r="W77" s="38">
        <v>0.89639999999999997</v>
      </c>
      <c r="X77" s="39">
        <v>60.89</v>
      </c>
      <c r="Y77" s="41">
        <v>1715387.53789118</v>
      </c>
      <c r="Z77" s="40">
        <v>39764</v>
      </c>
      <c r="AA77" s="39">
        <v>19.0651435590053</v>
      </c>
    </row>
    <row r="78" spans="1:27" s="22" customFormat="1" x14ac:dyDescent="0.25">
      <c r="A78" s="7" t="str">
        <f t="shared" si="1"/>
        <v>3525Providence Centralia Hospital582034087510 UTILIZATION REVIEW</v>
      </c>
      <c r="B78" s="7"/>
      <c r="C78" s="29" t="s">
        <v>185</v>
      </c>
      <c r="D78" s="29" t="s">
        <v>200</v>
      </c>
      <c r="E78" s="29" t="s">
        <v>186</v>
      </c>
      <c r="F78" s="29">
        <v>3525</v>
      </c>
      <c r="G78" s="4" t="s">
        <v>1590</v>
      </c>
      <c r="H78" s="5">
        <v>5820</v>
      </c>
      <c r="I78" s="4" t="s">
        <v>1594</v>
      </c>
      <c r="J78" s="4" t="s">
        <v>26</v>
      </c>
      <c r="K78" s="4" t="s">
        <v>1595</v>
      </c>
      <c r="L78" s="4" t="s">
        <v>1596</v>
      </c>
      <c r="M78" s="39">
        <v>8359</v>
      </c>
      <c r="N78" s="39">
        <v>5604</v>
      </c>
      <c r="O78" s="38">
        <v>0</v>
      </c>
      <c r="P78" s="39">
        <v>0.57999999999999996</v>
      </c>
      <c r="Q78" s="39">
        <v>1.17</v>
      </c>
      <c r="R78" s="38">
        <v>0.8</v>
      </c>
      <c r="S78" s="40">
        <v>7</v>
      </c>
      <c r="T78" s="39">
        <v>0.41</v>
      </c>
      <c r="U78" s="39">
        <v>0.47</v>
      </c>
      <c r="V78" s="39">
        <v>0.62</v>
      </c>
      <c r="W78" s="38">
        <v>0.91859999999999997</v>
      </c>
      <c r="X78" s="39">
        <v>3.43</v>
      </c>
      <c r="Y78" s="41">
        <v>211928.675207258</v>
      </c>
      <c r="Z78" s="39">
        <v>4287</v>
      </c>
      <c r="AA78" s="39">
        <v>2.0552690751275202</v>
      </c>
    </row>
    <row r="79" spans="1:27" s="22" customFormat="1" x14ac:dyDescent="0.25">
      <c r="A79" s="7" t="str">
        <f t="shared" si="1"/>
        <v>3525Providence Centralia Hospital191134087202, NURSING SUPERVISION</v>
      </c>
      <c r="B79" s="7"/>
      <c r="C79" s="29" t="s">
        <v>185</v>
      </c>
      <c r="D79" s="29" t="s">
        <v>200</v>
      </c>
      <c r="E79" s="29" t="s">
        <v>186</v>
      </c>
      <c r="F79" s="29">
        <v>3525</v>
      </c>
      <c r="G79" s="4" t="s">
        <v>1590</v>
      </c>
      <c r="H79" s="5">
        <v>1911</v>
      </c>
      <c r="I79" s="4" t="s">
        <v>171</v>
      </c>
      <c r="J79" s="4" t="s">
        <v>23</v>
      </c>
      <c r="K79" s="4" t="s">
        <v>1616</v>
      </c>
      <c r="L79" s="4" t="s">
        <v>35</v>
      </c>
      <c r="M79" s="39">
        <v>270</v>
      </c>
      <c r="N79" s="39">
        <v>263</v>
      </c>
      <c r="O79" s="38">
        <v>0.25</v>
      </c>
      <c r="P79" s="39">
        <v>70.430000000000007</v>
      </c>
      <c r="Q79" s="39">
        <v>67.5</v>
      </c>
      <c r="R79" s="38">
        <v>1</v>
      </c>
      <c r="S79" s="40">
        <v>9</v>
      </c>
      <c r="T79" s="39">
        <v>27</v>
      </c>
      <c r="U79" s="39">
        <v>29.81</v>
      </c>
      <c r="V79" s="39">
        <v>37.200000000000003</v>
      </c>
      <c r="W79" s="38">
        <v>0.70069999999999999</v>
      </c>
      <c r="X79" s="39">
        <v>8.49</v>
      </c>
      <c r="Y79" s="41">
        <v>290420.76020525699</v>
      </c>
      <c r="Z79" s="39">
        <v>6519</v>
      </c>
      <c r="AA79" s="39">
        <v>3.1254442138659799</v>
      </c>
    </row>
    <row r="80" spans="1:27" s="22" customFormat="1" x14ac:dyDescent="0.25">
      <c r="A80" s="7" t="str">
        <f t="shared" si="1"/>
        <v>3525Providence Centralia Hospital444034077110 OIS Pharmacy</v>
      </c>
      <c r="B80" s="7"/>
      <c r="C80" s="29" t="s">
        <v>185</v>
      </c>
      <c r="D80" s="29" t="s">
        <v>200</v>
      </c>
      <c r="E80" s="29" t="s">
        <v>186</v>
      </c>
      <c r="F80" s="29">
        <v>3525</v>
      </c>
      <c r="G80" s="4" t="s">
        <v>1590</v>
      </c>
      <c r="H80" s="5">
        <v>4440</v>
      </c>
      <c r="I80" s="4" t="s">
        <v>278</v>
      </c>
      <c r="J80" s="4" t="s">
        <v>37</v>
      </c>
      <c r="K80" s="4" t="s">
        <v>1622</v>
      </c>
      <c r="L80" s="4" t="s">
        <v>279</v>
      </c>
      <c r="M80" s="39">
        <v>75061</v>
      </c>
      <c r="N80" s="39">
        <v>83000</v>
      </c>
      <c r="O80" s="38">
        <v>0.55559999999999998</v>
      </c>
      <c r="P80" s="39">
        <v>0.14000000000000001</v>
      </c>
      <c r="Q80" s="39">
        <v>0.13</v>
      </c>
      <c r="R80" s="38">
        <v>0.66669999999999996</v>
      </c>
      <c r="S80" s="40">
        <v>10</v>
      </c>
      <c r="T80" s="39">
        <v>0.04</v>
      </c>
      <c r="U80" s="39">
        <v>0.05</v>
      </c>
      <c r="V80" s="39">
        <v>7.0000000000000007E-2</v>
      </c>
      <c r="W80" s="38">
        <v>0.89419999999999999</v>
      </c>
      <c r="X80" s="39">
        <v>5.97</v>
      </c>
      <c r="Y80" s="41">
        <v>331659.044725549</v>
      </c>
      <c r="Z80" s="39">
        <v>7811</v>
      </c>
      <c r="AA80" s="39">
        <v>3.7448382288626001</v>
      </c>
    </row>
    <row r="81" spans="1:27" s="22" customFormat="1" x14ac:dyDescent="0.25">
      <c r="A81" s="7" t="str">
        <f t="shared" si="1"/>
        <v>3525Providence Centralia Hospital661033386100-34086100-34086102 Hospital Administration</v>
      </c>
      <c r="B81" s="7"/>
      <c r="C81" s="29" t="s">
        <v>185</v>
      </c>
      <c r="D81" s="29" t="s">
        <v>200</v>
      </c>
      <c r="E81" s="29" t="s">
        <v>186</v>
      </c>
      <c r="F81" s="29">
        <v>3525</v>
      </c>
      <c r="G81" s="4" t="s">
        <v>1590</v>
      </c>
      <c r="H81" s="5">
        <v>6610</v>
      </c>
      <c r="I81" s="4" t="s">
        <v>72</v>
      </c>
      <c r="J81" s="4" t="s">
        <v>72</v>
      </c>
      <c r="K81" s="4" t="s">
        <v>1591</v>
      </c>
      <c r="L81" s="4" t="s">
        <v>14</v>
      </c>
      <c r="M81" s="39">
        <v>145.4</v>
      </c>
      <c r="N81" s="39">
        <v>127.9</v>
      </c>
      <c r="O81" s="38">
        <v>0.5</v>
      </c>
      <c r="P81" s="39">
        <v>114.38</v>
      </c>
      <c r="Q81" s="39">
        <v>108.35</v>
      </c>
      <c r="R81" s="38">
        <v>0.7</v>
      </c>
      <c r="S81" s="40">
        <v>11</v>
      </c>
      <c r="T81" s="39">
        <v>76.819999999999993</v>
      </c>
      <c r="U81" s="39">
        <v>85.29</v>
      </c>
      <c r="V81" s="39">
        <v>103.61</v>
      </c>
      <c r="W81" s="38">
        <v>0.88829999999999998</v>
      </c>
      <c r="X81" s="39">
        <v>7.5</v>
      </c>
      <c r="Y81" s="41">
        <v>230935.58880344601</v>
      </c>
      <c r="Z81" s="39">
        <v>3362</v>
      </c>
      <c r="AA81" s="39">
        <v>1.6121443284602901</v>
      </c>
    </row>
    <row r="82" spans="1:27" s="22" customFormat="1" x14ac:dyDescent="0.25">
      <c r="A82" s="7" t="str">
        <f t="shared" si="1"/>
        <v>3525Providence Centralia Hospital521134084400, ENVIRONMENTAL SERVICES</v>
      </c>
      <c r="B82" s="7"/>
      <c r="C82" s="29" t="s">
        <v>185</v>
      </c>
      <c r="D82" s="29" t="s">
        <v>200</v>
      </c>
      <c r="E82" s="29" t="s">
        <v>186</v>
      </c>
      <c r="F82" s="29">
        <v>3525</v>
      </c>
      <c r="G82" s="4" t="s">
        <v>1590</v>
      </c>
      <c r="H82" s="5">
        <v>5211</v>
      </c>
      <c r="I82" s="4" t="s">
        <v>50</v>
      </c>
      <c r="J82" s="4" t="s">
        <v>50</v>
      </c>
      <c r="K82" s="4" t="s">
        <v>1600</v>
      </c>
      <c r="L82" s="4" t="s">
        <v>51</v>
      </c>
      <c r="M82" s="39">
        <v>183.09</v>
      </c>
      <c r="N82" s="39">
        <v>183.09</v>
      </c>
      <c r="O82" s="38">
        <v>0.54549999999999998</v>
      </c>
      <c r="P82" s="39">
        <v>293.55</v>
      </c>
      <c r="Q82" s="39">
        <v>306.27</v>
      </c>
      <c r="R82" s="38">
        <v>0.90910000000000002</v>
      </c>
      <c r="S82" s="40">
        <v>12</v>
      </c>
      <c r="T82" s="39">
        <v>163.5</v>
      </c>
      <c r="U82" s="39">
        <v>174.31</v>
      </c>
      <c r="V82" s="39">
        <v>190.18</v>
      </c>
      <c r="W82" s="38">
        <v>0.89419999999999999</v>
      </c>
      <c r="X82" s="39">
        <v>30.15</v>
      </c>
      <c r="Y82" s="41">
        <v>473650.73034844</v>
      </c>
      <c r="Z82" s="39">
        <v>27194</v>
      </c>
      <c r="AA82" s="39">
        <v>13.0380138170643</v>
      </c>
    </row>
    <row r="83" spans="1:27" s="22" customFormat="1" x14ac:dyDescent="0.25">
      <c r="A83" s="7" t="str">
        <f t="shared" si="1"/>
        <v>3525Providence Centralia Hospital304034074300, AMBULATORY SURGERY SERVICES</v>
      </c>
      <c r="B83" s="7"/>
      <c r="C83" s="29" t="s">
        <v>185</v>
      </c>
      <c r="D83" s="29" t="s">
        <v>200</v>
      </c>
      <c r="E83" s="29" t="s">
        <v>186</v>
      </c>
      <c r="F83" s="29">
        <v>3525</v>
      </c>
      <c r="G83" s="4" t="s">
        <v>1590</v>
      </c>
      <c r="H83" s="5">
        <v>3040</v>
      </c>
      <c r="I83" s="4" t="s">
        <v>277</v>
      </c>
      <c r="J83" s="4" t="s">
        <v>47</v>
      </c>
      <c r="K83" s="4" t="s">
        <v>1638</v>
      </c>
      <c r="L83" s="4" t="s">
        <v>88</v>
      </c>
      <c r="M83" s="39">
        <v>2374.0700000000002</v>
      </c>
      <c r="N83" s="39">
        <v>2460.21</v>
      </c>
      <c r="O83" s="38">
        <v>0.54549999999999998</v>
      </c>
      <c r="P83" s="39">
        <v>11.61</v>
      </c>
      <c r="Q83" s="39">
        <v>11.91</v>
      </c>
      <c r="R83" s="38">
        <v>0</v>
      </c>
      <c r="S83" s="40">
        <v>12</v>
      </c>
      <c r="T83" s="39">
        <v>15.7</v>
      </c>
      <c r="U83" s="39">
        <v>17.239999999999998</v>
      </c>
      <c r="V83" s="39">
        <v>19.04</v>
      </c>
      <c r="W83" s="38">
        <v>0.88170000000000004</v>
      </c>
      <c r="X83" s="39">
        <v>15.98</v>
      </c>
      <c r="Y83" s="41">
        <v>-654164.99741855206</v>
      </c>
      <c r="Z83" s="39">
        <v>-14775</v>
      </c>
      <c r="AA83" s="39">
        <v>-7.0841130974294497</v>
      </c>
    </row>
    <row r="84" spans="1:27" s="22" customFormat="1" x14ac:dyDescent="0.25">
      <c r="A84" s="7" t="str">
        <f t="shared" si="1"/>
        <v>3525Providence Centralia Hospital101134060300, CRITICAL CARE UNIT (U)</v>
      </c>
      <c r="B84" s="7"/>
      <c r="C84" s="29" t="s">
        <v>185</v>
      </c>
      <c r="D84" s="29" t="s">
        <v>200</v>
      </c>
      <c r="E84" s="29" t="s">
        <v>186</v>
      </c>
      <c r="F84" s="29">
        <v>3525</v>
      </c>
      <c r="G84" s="4" t="s">
        <v>1590</v>
      </c>
      <c r="H84" s="5">
        <v>1011</v>
      </c>
      <c r="I84" s="4" t="s">
        <v>1205</v>
      </c>
      <c r="J84" s="4" t="s">
        <v>23</v>
      </c>
      <c r="K84" s="4" t="s">
        <v>1609</v>
      </c>
      <c r="L84" s="4" t="s">
        <v>74</v>
      </c>
      <c r="M84" s="39">
        <v>1415.83</v>
      </c>
      <c r="N84" s="39">
        <v>1423.65</v>
      </c>
      <c r="O84" s="38">
        <v>0.57299999999999995</v>
      </c>
      <c r="P84" s="39">
        <v>18.28</v>
      </c>
      <c r="Q84" s="39">
        <v>16.88</v>
      </c>
      <c r="R84" s="7"/>
      <c r="S84" s="40">
        <v>12</v>
      </c>
      <c r="T84" s="39">
        <v>19.36</v>
      </c>
      <c r="U84" s="39">
        <v>20.04</v>
      </c>
      <c r="V84" s="39">
        <v>22.32</v>
      </c>
      <c r="W84" s="38">
        <v>0.95979999999999999</v>
      </c>
      <c r="X84" s="39">
        <v>12.04</v>
      </c>
      <c r="Y84" s="41">
        <v>-209405.20577007401</v>
      </c>
      <c r="Z84" s="39">
        <v>-4613</v>
      </c>
      <c r="AA84" s="39">
        <v>-2.2117554944018298</v>
      </c>
    </row>
    <row r="85" spans="1:27" s="22" customFormat="1" x14ac:dyDescent="0.25">
      <c r="A85" s="7" t="str">
        <f t="shared" si="1"/>
        <v>3525Providence Centralia Hospital422034075910,34076200 ELECTROCARDIOLOGY and EEG</v>
      </c>
      <c r="B85" s="7"/>
      <c r="C85" s="29" t="s">
        <v>185</v>
      </c>
      <c r="D85" s="29" t="s">
        <v>200</v>
      </c>
      <c r="E85" s="29" t="s">
        <v>186</v>
      </c>
      <c r="F85" s="29">
        <v>3525</v>
      </c>
      <c r="G85" s="4" t="s">
        <v>1590</v>
      </c>
      <c r="H85" s="5">
        <v>4220</v>
      </c>
      <c r="I85" s="4" t="s">
        <v>98</v>
      </c>
      <c r="J85" s="4" t="s">
        <v>60</v>
      </c>
      <c r="K85" s="4" t="s">
        <v>1592</v>
      </c>
      <c r="L85" s="4" t="s">
        <v>99</v>
      </c>
      <c r="M85" s="39">
        <v>19470.29</v>
      </c>
      <c r="N85" s="39">
        <v>28508.720000000001</v>
      </c>
      <c r="O85" s="38">
        <v>0.54549999999999998</v>
      </c>
      <c r="P85" s="39">
        <v>0.25</v>
      </c>
      <c r="Q85" s="39">
        <v>0.17</v>
      </c>
      <c r="R85" s="38">
        <v>9.0899999999999995E-2</v>
      </c>
      <c r="S85" s="40">
        <v>12</v>
      </c>
      <c r="T85" s="39">
        <v>0.23</v>
      </c>
      <c r="U85" s="39">
        <v>0.25</v>
      </c>
      <c r="V85" s="39">
        <v>0.28000000000000003</v>
      </c>
      <c r="W85" s="38">
        <v>0.93430000000000002</v>
      </c>
      <c r="X85" s="39">
        <v>2.56</v>
      </c>
      <c r="Y85" s="41">
        <v>-81267.620485746404</v>
      </c>
      <c r="Z85" s="39">
        <v>-2289</v>
      </c>
      <c r="AA85" s="39">
        <v>-1.09745959662498</v>
      </c>
    </row>
    <row r="86" spans="1:27" s="22" customFormat="1" x14ac:dyDescent="0.25">
      <c r="A86" s="7" t="str">
        <f t="shared" si="1"/>
        <v>3525Providence Centralia Hospital121234061720, SURGICAL ACUTE</v>
      </c>
      <c r="B86" s="7"/>
      <c r="C86" s="29" t="s">
        <v>185</v>
      </c>
      <c r="D86" s="29" t="s">
        <v>200</v>
      </c>
      <c r="E86" s="29" t="s">
        <v>186</v>
      </c>
      <c r="F86" s="29">
        <v>3525</v>
      </c>
      <c r="G86" s="4" t="s">
        <v>1590</v>
      </c>
      <c r="H86" s="5">
        <v>1212</v>
      </c>
      <c r="I86" s="4" t="s">
        <v>160</v>
      </c>
      <c r="J86" s="4" t="s">
        <v>23</v>
      </c>
      <c r="K86" s="4" t="s">
        <v>1612</v>
      </c>
      <c r="L86" s="4" t="s">
        <v>74</v>
      </c>
      <c r="M86" s="39">
        <v>5030.3900000000003</v>
      </c>
      <c r="N86" s="39">
        <v>4890.33</v>
      </c>
      <c r="O86" s="38">
        <v>0.54549999999999998</v>
      </c>
      <c r="P86" s="39">
        <v>10.49</v>
      </c>
      <c r="Q86" s="39">
        <v>10.73</v>
      </c>
      <c r="R86" s="38">
        <v>0.1</v>
      </c>
      <c r="S86" s="40">
        <v>12</v>
      </c>
      <c r="T86" s="39">
        <v>10.97</v>
      </c>
      <c r="U86" s="39">
        <v>11.1</v>
      </c>
      <c r="V86" s="39">
        <v>11.44</v>
      </c>
      <c r="W86" s="38">
        <v>0.85419999999999996</v>
      </c>
      <c r="X86" s="39">
        <v>29.54</v>
      </c>
      <c r="Y86" s="41">
        <v>-81046.038584843904</v>
      </c>
      <c r="Z86" s="39">
        <v>-1936</v>
      </c>
      <c r="AA86" s="39">
        <v>-0.92840620008608699</v>
      </c>
    </row>
    <row r="87" spans="1:27" s="22" customFormat="1" x14ac:dyDescent="0.25">
      <c r="A87" s="7" t="str">
        <f t="shared" si="1"/>
        <v>3525Providence Centralia Hospital621034086520 EDUCATION</v>
      </c>
      <c r="B87" s="7"/>
      <c r="C87" s="29" t="s">
        <v>185</v>
      </c>
      <c r="D87" s="29" t="s">
        <v>200</v>
      </c>
      <c r="E87" s="29" t="s">
        <v>186</v>
      </c>
      <c r="F87" s="29">
        <v>3525</v>
      </c>
      <c r="G87" s="4" t="s">
        <v>1590</v>
      </c>
      <c r="H87" s="5">
        <v>6210</v>
      </c>
      <c r="I87" s="4" t="s">
        <v>28</v>
      </c>
      <c r="J87" s="4" t="s">
        <v>21</v>
      </c>
      <c r="K87" s="4" t="s">
        <v>1598</v>
      </c>
      <c r="L87" s="4" t="s">
        <v>18</v>
      </c>
      <c r="M87" s="39">
        <v>14540.1</v>
      </c>
      <c r="N87" s="39">
        <v>12790.03</v>
      </c>
      <c r="O87" s="38">
        <v>0.45450000000000002</v>
      </c>
      <c r="P87" s="39">
        <v>0.56999999999999995</v>
      </c>
      <c r="Q87" s="39">
        <v>0.54</v>
      </c>
      <c r="R87" s="38">
        <v>0.5</v>
      </c>
      <c r="S87" s="40">
        <v>12</v>
      </c>
      <c r="T87" s="39">
        <v>0.4</v>
      </c>
      <c r="U87" s="39">
        <v>0.5</v>
      </c>
      <c r="V87" s="39">
        <v>0.54</v>
      </c>
      <c r="W87" s="38">
        <v>0.88280000000000003</v>
      </c>
      <c r="X87" s="39">
        <v>3.78</v>
      </c>
      <c r="Y87" s="41">
        <v>28544.740462803202</v>
      </c>
      <c r="Z87" s="39">
        <v>640</v>
      </c>
      <c r="AA87" s="39">
        <v>0.30681911753322899</v>
      </c>
    </row>
    <row r="88" spans="1:27" s="22" customFormat="1" x14ac:dyDescent="0.25">
      <c r="A88" s="7" t="str">
        <f t="shared" si="1"/>
        <v>3525Providence Centralia Hospital1830Centralized Telemetry (U,N)</v>
      </c>
      <c r="B88" s="7"/>
      <c r="C88" s="29" t="s">
        <v>185</v>
      </c>
      <c r="D88" s="29" t="s">
        <v>200</v>
      </c>
      <c r="E88" s="29" t="s">
        <v>186</v>
      </c>
      <c r="F88" s="29">
        <v>3525</v>
      </c>
      <c r="G88" s="4" t="s">
        <v>1590</v>
      </c>
      <c r="H88" s="5">
        <v>1830</v>
      </c>
      <c r="I88" s="4" t="s">
        <v>22</v>
      </c>
      <c r="J88" s="4" t="s">
        <v>23</v>
      </c>
      <c r="K88" s="4" t="s">
        <v>255</v>
      </c>
      <c r="L88" s="4" t="s">
        <v>24</v>
      </c>
      <c r="M88" s="39">
        <v>4527</v>
      </c>
      <c r="N88" s="39">
        <v>12791</v>
      </c>
      <c r="O88" s="38">
        <v>0.54349999999999998</v>
      </c>
      <c r="P88" s="39">
        <v>2.3199999999999998</v>
      </c>
      <c r="Q88" s="39">
        <v>0.82</v>
      </c>
      <c r="R88" s="38">
        <v>0.48230000000000001</v>
      </c>
      <c r="S88" s="40">
        <v>13</v>
      </c>
      <c r="T88" s="39">
        <v>0.74</v>
      </c>
      <c r="U88" s="39">
        <v>0.77</v>
      </c>
      <c r="V88" s="39">
        <v>0.84</v>
      </c>
      <c r="W88" s="38">
        <v>0.87309999999999999</v>
      </c>
      <c r="X88" s="39">
        <v>5.79</v>
      </c>
      <c r="Y88" s="41">
        <v>18255.625502335501</v>
      </c>
      <c r="Z88" s="39">
        <v>796</v>
      </c>
      <c r="AA88" s="39">
        <v>0.38146811009430198</v>
      </c>
    </row>
    <row r="89" spans="1:27" s="22" customFormat="1" x14ac:dyDescent="0.25">
      <c r="A89" s="7" t="str">
        <f t="shared" si="1"/>
        <v>3525Providence Centralia Hospital136034064202, Chemical Dependency Detox</v>
      </c>
      <c r="B89" s="7"/>
      <c r="C89" s="29" t="s">
        <v>185</v>
      </c>
      <c r="D89" s="29" t="s">
        <v>200</v>
      </c>
      <c r="E89" s="29" t="s">
        <v>186</v>
      </c>
      <c r="F89" s="29">
        <v>3525</v>
      </c>
      <c r="G89" s="4" t="s">
        <v>1590</v>
      </c>
      <c r="H89" s="5">
        <v>1360</v>
      </c>
      <c r="I89" s="4" t="s">
        <v>189</v>
      </c>
      <c r="J89" s="4" t="s">
        <v>23</v>
      </c>
      <c r="K89" s="4" t="s">
        <v>1614</v>
      </c>
      <c r="L89" s="4" t="s">
        <v>114</v>
      </c>
      <c r="M89" s="7"/>
      <c r="N89" s="39">
        <v>916</v>
      </c>
      <c r="O89" s="7"/>
      <c r="P89" s="7"/>
      <c r="Q89" s="39">
        <v>18.059999999999999</v>
      </c>
      <c r="R89" s="38">
        <v>0.92310000000000003</v>
      </c>
      <c r="S89" s="40">
        <v>13</v>
      </c>
      <c r="T89" s="39">
        <v>5.85</v>
      </c>
      <c r="U89" s="39">
        <v>6.67</v>
      </c>
      <c r="V89" s="39">
        <v>7.91</v>
      </c>
      <c r="W89" s="38">
        <v>0.89710000000000001</v>
      </c>
      <c r="X89" s="39">
        <v>8.8699999999999992</v>
      </c>
      <c r="Y89" s="41">
        <v>439364.90588492103</v>
      </c>
      <c r="Z89" s="39">
        <v>11690</v>
      </c>
      <c r="AA89" s="39">
        <v>5.6046584860358797</v>
      </c>
    </row>
    <row r="90" spans="1:27" s="22" customFormat="1" x14ac:dyDescent="0.25">
      <c r="A90" s="7" t="str">
        <f t="shared" si="1"/>
        <v>3525Providence Centralia Hospital4490Pharmacy Support Services (U,N)</v>
      </c>
      <c r="B90" s="7"/>
      <c r="C90" s="29" t="s">
        <v>185</v>
      </c>
      <c r="D90" s="29" t="s">
        <v>200</v>
      </c>
      <c r="E90" s="29" t="s">
        <v>186</v>
      </c>
      <c r="F90" s="29">
        <v>3525</v>
      </c>
      <c r="G90" s="4" t="s">
        <v>1590</v>
      </c>
      <c r="H90" s="5">
        <v>4490</v>
      </c>
      <c r="I90" s="4" t="s">
        <v>36</v>
      </c>
      <c r="J90" s="4" t="s">
        <v>37</v>
      </c>
      <c r="K90" s="4" t="s">
        <v>1623</v>
      </c>
      <c r="L90" s="4" t="s">
        <v>39</v>
      </c>
      <c r="M90" s="39">
        <v>19101.330000000002</v>
      </c>
      <c r="N90" s="39">
        <v>15987.53</v>
      </c>
      <c r="O90" s="38">
        <v>0.48659999999999998</v>
      </c>
      <c r="P90" s="39">
        <v>1</v>
      </c>
      <c r="Q90" s="39">
        <v>1.19</v>
      </c>
      <c r="R90" s="7"/>
      <c r="S90" s="40">
        <v>13</v>
      </c>
      <c r="T90" s="39">
        <v>0.18</v>
      </c>
      <c r="U90" s="39">
        <v>0.22</v>
      </c>
      <c r="V90" s="39">
        <v>0.26</v>
      </c>
      <c r="W90" s="38">
        <v>0.91110000000000002</v>
      </c>
      <c r="X90" s="39">
        <v>10.029999999999999</v>
      </c>
      <c r="Y90" s="41">
        <v>733404.65244718804</v>
      </c>
      <c r="Z90" s="39">
        <v>17059</v>
      </c>
      <c r="AA90" s="39">
        <v>8.1790863192057905</v>
      </c>
    </row>
    <row r="91" spans="1:27" s="22" customFormat="1" x14ac:dyDescent="0.25">
      <c r="A91" s="7" t="str">
        <f t="shared" si="1"/>
        <v>3525Providence Centralia Hospital3099Surgical Services Administration (U,N)</v>
      </c>
      <c r="B91" s="7"/>
      <c r="C91" s="29" t="s">
        <v>185</v>
      </c>
      <c r="D91" s="29" t="s">
        <v>200</v>
      </c>
      <c r="E91" s="29" t="s">
        <v>186</v>
      </c>
      <c r="F91" s="29">
        <v>3525</v>
      </c>
      <c r="G91" s="4" t="s">
        <v>1590</v>
      </c>
      <c r="H91" s="5">
        <v>3099</v>
      </c>
      <c r="I91" s="4" t="s">
        <v>46</v>
      </c>
      <c r="J91" s="4" t="s">
        <v>47</v>
      </c>
      <c r="K91" s="4" t="s">
        <v>48</v>
      </c>
      <c r="L91" s="4" t="s">
        <v>49</v>
      </c>
      <c r="M91" s="39">
        <v>8756</v>
      </c>
      <c r="N91" s="39">
        <v>9986</v>
      </c>
      <c r="O91" s="38">
        <v>0.45369999999999999</v>
      </c>
      <c r="P91" s="39">
        <v>1.08</v>
      </c>
      <c r="Q91" s="39">
        <v>0.41</v>
      </c>
      <c r="R91" s="7"/>
      <c r="S91" s="40">
        <v>14</v>
      </c>
      <c r="T91" s="39">
        <v>0.99</v>
      </c>
      <c r="U91" s="39">
        <v>1.03</v>
      </c>
      <c r="V91" s="39">
        <v>1.65</v>
      </c>
      <c r="W91" s="38">
        <v>0.86929999999999996</v>
      </c>
      <c r="X91" s="39">
        <v>2.25</v>
      </c>
      <c r="Y91" s="41">
        <v>-315905.45610407699</v>
      </c>
      <c r="Z91" s="39">
        <v>-7139</v>
      </c>
      <c r="AA91" s="39">
        <v>-3.42292792245251</v>
      </c>
    </row>
    <row r="92" spans="1:27" s="22" customFormat="1" x14ac:dyDescent="0.25">
      <c r="A92" s="7" t="str">
        <f t="shared" si="1"/>
        <v>3525Providence Centralia Hospital481534077700, PHYSICAL THERAPY</v>
      </c>
      <c r="B92" s="7"/>
      <c r="C92" s="29" t="s">
        <v>185</v>
      </c>
      <c r="D92" s="29" t="s">
        <v>200</v>
      </c>
      <c r="E92" s="29" t="s">
        <v>186</v>
      </c>
      <c r="F92" s="29">
        <v>3525</v>
      </c>
      <c r="G92" s="4" t="s">
        <v>1590</v>
      </c>
      <c r="H92" s="5">
        <v>4815</v>
      </c>
      <c r="I92" s="4" t="s">
        <v>280</v>
      </c>
      <c r="J92" s="4" t="s">
        <v>41</v>
      </c>
      <c r="K92" s="4" t="s">
        <v>1631</v>
      </c>
      <c r="L92" s="4" t="s">
        <v>79</v>
      </c>
      <c r="M92" s="39">
        <v>509.95</v>
      </c>
      <c r="N92" s="39">
        <v>581.58000000000004</v>
      </c>
      <c r="O92" s="38">
        <v>0.53849999999999998</v>
      </c>
      <c r="P92" s="39">
        <v>21.53</v>
      </c>
      <c r="Q92" s="39">
        <v>20.78</v>
      </c>
      <c r="R92" s="38">
        <v>7.6899999999999996E-2</v>
      </c>
      <c r="S92" s="40">
        <v>14</v>
      </c>
      <c r="T92" s="39">
        <v>22.55</v>
      </c>
      <c r="U92" s="39">
        <v>24.28</v>
      </c>
      <c r="V92" s="39">
        <v>25.87</v>
      </c>
      <c r="W92" s="38">
        <v>0.88819999999999999</v>
      </c>
      <c r="X92" s="39">
        <v>6.54</v>
      </c>
      <c r="Y92" s="41">
        <v>-99001.182548351004</v>
      </c>
      <c r="Z92" s="39">
        <v>-2258</v>
      </c>
      <c r="AA92" s="39">
        <v>-1.0824666963423</v>
      </c>
    </row>
    <row r="93" spans="1:27" s="22" customFormat="1" x14ac:dyDescent="0.25">
      <c r="A93" s="7" t="str">
        <f t="shared" si="1"/>
        <v>3525Providence Centralia Hospital4199Respiratory &amp; Pulmonary Care Administration &amp; Support (U,N)</v>
      </c>
      <c r="B93" s="7"/>
      <c r="C93" s="29" t="s">
        <v>185</v>
      </c>
      <c r="D93" s="29" t="s">
        <v>200</v>
      </c>
      <c r="E93" s="29" t="s">
        <v>186</v>
      </c>
      <c r="F93" s="29">
        <v>3525</v>
      </c>
      <c r="G93" s="4" t="s">
        <v>1590</v>
      </c>
      <c r="H93" s="5">
        <v>4199</v>
      </c>
      <c r="I93" s="4" t="s">
        <v>1134</v>
      </c>
      <c r="J93" s="4" t="s">
        <v>44</v>
      </c>
      <c r="K93" s="4" t="s">
        <v>1135</v>
      </c>
      <c r="L93" s="4" t="s">
        <v>45</v>
      </c>
      <c r="M93" s="39">
        <v>6861.46</v>
      </c>
      <c r="N93" s="39">
        <v>6688.75</v>
      </c>
      <c r="O93" s="38">
        <v>0.13700000000000001</v>
      </c>
      <c r="P93" s="39">
        <v>0.94</v>
      </c>
      <c r="Q93" s="39">
        <v>0.75</v>
      </c>
      <c r="R93" s="7"/>
      <c r="S93" s="40">
        <v>14</v>
      </c>
      <c r="T93" s="39">
        <v>0.14000000000000001</v>
      </c>
      <c r="U93" s="39">
        <v>0.14000000000000001</v>
      </c>
      <c r="V93" s="39">
        <v>0.18</v>
      </c>
      <c r="W93" s="38">
        <v>0.90600000000000003</v>
      </c>
      <c r="X93" s="39">
        <v>2.68</v>
      </c>
      <c r="Y93" s="41">
        <v>84436.934319456093</v>
      </c>
      <c r="Z93" s="39">
        <v>4556</v>
      </c>
      <c r="AA93" s="39">
        <v>2.1844437466058402</v>
      </c>
    </row>
    <row r="94" spans="1:27" s="22" customFormat="1" x14ac:dyDescent="0.25">
      <c r="A94" s="7" t="str">
        <f t="shared" si="1"/>
        <v>3525Providence Centralia Hospital401034076451, Radiant Care Lacey</v>
      </c>
      <c r="B94" s="7"/>
      <c r="C94" s="29" t="s">
        <v>185</v>
      </c>
      <c r="D94" s="29" t="s">
        <v>200</v>
      </c>
      <c r="E94" s="29" t="s">
        <v>186</v>
      </c>
      <c r="F94" s="29">
        <v>3525</v>
      </c>
      <c r="G94" s="4" t="s">
        <v>1590</v>
      </c>
      <c r="H94" s="5">
        <v>4010</v>
      </c>
      <c r="I94" s="4" t="s">
        <v>152</v>
      </c>
      <c r="J94" s="4" t="s">
        <v>153</v>
      </c>
      <c r="K94" s="4" t="s">
        <v>1624</v>
      </c>
      <c r="L94" s="4" t="s">
        <v>99</v>
      </c>
      <c r="M94" s="7"/>
      <c r="N94" s="39">
        <v>81386.429999999993</v>
      </c>
      <c r="O94" s="38">
        <v>0.57140000000000002</v>
      </c>
      <c r="P94" s="7"/>
      <c r="Q94" s="39">
        <v>0.24</v>
      </c>
      <c r="R94" s="38">
        <v>0</v>
      </c>
      <c r="S94" s="40">
        <v>15</v>
      </c>
      <c r="T94" s="39">
        <v>0.32</v>
      </c>
      <c r="U94" s="39">
        <v>0.33</v>
      </c>
      <c r="V94" s="39">
        <v>0.38</v>
      </c>
      <c r="W94" s="38">
        <v>0.88980000000000004</v>
      </c>
      <c r="X94" s="39">
        <v>10.69</v>
      </c>
      <c r="Y94" s="41">
        <v>-316015.17937664897</v>
      </c>
      <c r="Z94" s="39">
        <v>-7888</v>
      </c>
      <c r="AA94" s="39">
        <v>-3.7817714769077</v>
      </c>
    </row>
    <row r="95" spans="1:27" s="22" customFormat="1" x14ac:dyDescent="0.25">
      <c r="A95" s="7" t="str">
        <f t="shared" si="1"/>
        <v>3525Providence Centralia Hospital441134095501, SATELLITE PHARMACY</v>
      </c>
      <c r="B95" s="7"/>
      <c r="C95" s="29" t="s">
        <v>185</v>
      </c>
      <c r="D95" s="29" t="s">
        <v>200</v>
      </c>
      <c r="E95" s="29" t="s">
        <v>186</v>
      </c>
      <c r="F95" s="29">
        <v>3525</v>
      </c>
      <c r="G95" s="4" t="s">
        <v>1590</v>
      </c>
      <c r="H95" s="5">
        <v>4411</v>
      </c>
      <c r="I95" s="4" t="s">
        <v>154</v>
      </c>
      <c r="J95" s="4" t="s">
        <v>37</v>
      </c>
      <c r="K95" s="4" t="s">
        <v>1621</v>
      </c>
      <c r="L95" s="4" t="s">
        <v>155</v>
      </c>
      <c r="M95" s="39">
        <v>15747</v>
      </c>
      <c r="N95" s="39">
        <v>17990</v>
      </c>
      <c r="O95" s="38">
        <v>0.57140000000000002</v>
      </c>
      <c r="P95" s="39">
        <v>0.2</v>
      </c>
      <c r="Q95" s="39">
        <v>0.31</v>
      </c>
      <c r="R95" s="38">
        <v>0.76919999999999999</v>
      </c>
      <c r="S95" s="40">
        <v>15</v>
      </c>
      <c r="T95" s="39">
        <v>0.22</v>
      </c>
      <c r="U95" s="39">
        <v>0.22</v>
      </c>
      <c r="V95" s="39">
        <v>0.24</v>
      </c>
      <c r="W95" s="38">
        <v>0.95299999999999996</v>
      </c>
      <c r="X95" s="39">
        <v>2.8</v>
      </c>
      <c r="Y95" s="41">
        <v>68913.228674437298</v>
      </c>
      <c r="Z95" s="39">
        <v>1687</v>
      </c>
      <c r="AA95" s="39">
        <v>0.80882650614253704</v>
      </c>
    </row>
    <row r="96" spans="1:27" s="22" customFormat="1" x14ac:dyDescent="0.25">
      <c r="A96" s="7" t="str">
        <f t="shared" si="1"/>
        <v>3525Providence Centralia Hospital127034074010-34065390 FBC &amp; Nursery Combined</v>
      </c>
      <c r="B96" s="7"/>
      <c r="C96" s="29" t="s">
        <v>185</v>
      </c>
      <c r="D96" s="29" t="s">
        <v>200</v>
      </c>
      <c r="E96" s="29" t="s">
        <v>186</v>
      </c>
      <c r="F96" s="29">
        <v>3525</v>
      </c>
      <c r="G96" s="4" t="s">
        <v>1590</v>
      </c>
      <c r="H96" s="5">
        <v>1270</v>
      </c>
      <c r="I96" s="4" t="s">
        <v>199</v>
      </c>
      <c r="J96" s="4" t="s">
        <v>23</v>
      </c>
      <c r="K96" s="4" t="s">
        <v>1613</v>
      </c>
      <c r="L96" s="4" t="s">
        <v>86</v>
      </c>
      <c r="M96" s="39">
        <v>675</v>
      </c>
      <c r="N96" s="39">
        <v>644</v>
      </c>
      <c r="O96" s="7"/>
      <c r="P96" s="39">
        <v>74.63</v>
      </c>
      <c r="Q96" s="39">
        <v>75.14</v>
      </c>
      <c r="R96" s="38">
        <v>0.73329999999999995</v>
      </c>
      <c r="S96" s="40">
        <v>15</v>
      </c>
      <c r="T96" s="39">
        <v>57.46</v>
      </c>
      <c r="U96" s="39">
        <v>62.48</v>
      </c>
      <c r="V96" s="39">
        <v>68.959999999999994</v>
      </c>
      <c r="W96" s="38">
        <v>0.8034</v>
      </c>
      <c r="X96" s="39">
        <v>28.96</v>
      </c>
      <c r="Y96" s="41">
        <v>478469.32223785901</v>
      </c>
      <c r="Z96" s="39">
        <v>10318</v>
      </c>
      <c r="AA96" s="39">
        <v>4.9471769985950198</v>
      </c>
    </row>
    <row r="97" spans="1:27" s="22" customFormat="1" x14ac:dyDescent="0.25">
      <c r="A97" s="7" t="str">
        <f t="shared" si="1"/>
        <v>3525Providence Centralia Hospital511234083400, Dietary</v>
      </c>
      <c r="B97" s="7"/>
      <c r="C97" s="29" t="s">
        <v>185</v>
      </c>
      <c r="D97" s="29" t="s">
        <v>200</v>
      </c>
      <c r="E97" s="29" t="s">
        <v>186</v>
      </c>
      <c r="F97" s="29">
        <v>3525</v>
      </c>
      <c r="G97" s="4" t="s">
        <v>1590</v>
      </c>
      <c r="H97" s="5">
        <v>5112</v>
      </c>
      <c r="I97" s="4" t="s">
        <v>281</v>
      </c>
      <c r="J97" s="4" t="s">
        <v>65</v>
      </c>
      <c r="K97" s="4" t="s">
        <v>1602</v>
      </c>
      <c r="L97" s="4" t="s">
        <v>282</v>
      </c>
      <c r="M97" s="7"/>
      <c r="N97" s="39">
        <v>888654.99</v>
      </c>
      <c r="O97" s="38">
        <v>0.57140000000000002</v>
      </c>
      <c r="P97" s="7"/>
      <c r="Q97" s="39">
        <v>0.05</v>
      </c>
      <c r="R97" s="7"/>
      <c r="S97" s="40">
        <v>15</v>
      </c>
      <c r="T97" s="39">
        <v>0.11</v>
      </c>
      <c r="U97" s="39">
        <v>0.12</v>
      </c>
      <c r="V97" s="39">
        <v>0.14000000000000001</v>
      </c>
      <c r="W97" s="38">
        <v>0.89470000000000005</v>
      </c>
      <c r="X97" s="39">
        <v>25.09</v>
      </c>
      <c r="Y97" s="41">
        <v>-1213555.88388967</v>
      </c>
      <c r="Z97" s="39">
        <v>-66859</v>
      </c>
      <c r="AA97" s="39">
        <v>-32.055909813234301</v>
      </c>
    </row>
    <row r="98" spans="1:27" s="22" customFormat="1" x14ac:dyDescent="0.25">
      <c r="A98" s="7" t="str">
        <f t="shared" si="1"/>
        <v>3525Providence Centralia Hospital111134061790 Progressive Care</v>
      </c>
      <c r="B98" s="7"/>
      <c r="C98" s="29" t="s">
        <v>185</v>
      </c>
      <c r="D98" s="29" t="s">
        <v>200</v>
      </c>
      <c r="E98" s="29" t="s">
        <v>186</v>
      </c>
      <c r="F98" s="29">
        <v>3525</v>
      </c>
      <c r="G98" s="4" t="s">
        <v>1590</v>
      </c>
      <c r="H98" s="5">
        <v>1111</v>
      </c>
      <c r="I98" s="4" t="s">
        <v>146</v>
      </c>
      <c r="J98" s="4" t="s">
        <v>23</v>
      </c>
      <c r="K98" s="4" t="s">
        <v>1610</v>
      </c>
      <c r="L98" s="4" t="s">
        <v>74</v>
      </c>
      <c r="M98" s="39">
        <v>5673.85</v>
      </c>
      <c r="N98" s="39">
        <v>5722.33</v>
      </c>
      <c r="O98" s="38">
        <v>0.5333</v>
      </c>
      <c r="P98" s="39">
        <v>11.91</v>
      </c>
      <c r="Q98" s="39">
        <v>10.26</v>
      </c>
      <c r="R98" s="38">
        <v>0</v>
      </c>
      <c r="S98" s="40">
        <v>16</v>
      </c>
      <c r="T98" s="39">
        <v>12.58</v>
      </c>
      <c r="U98" s="39">
        <v>13.66</v>
      </c>
      <c r="V98" s="39">
        <v>14.93</v>
      </c>
      <c r="W98" s="38">
        <v>0.71099999999999997</v>
      </c>
      <c r="X98" s="39">
        <v>39.69</v>
      </c>
      <c r="Y98" s="41">
        <v>-1330770.0355541799</v>
      </c>
      <c r="Z98" s="39">
        <v>-27158</v>
      </c>
      <c r="AA98" s="39">
        <v>-13.021109411775701</v>
      </c>
    </row>
    <row r="99" spans="1:27" s="22" customFormat="1" x14ac:dyDescent="0.25">
      <c r="A99" s="7" t="str">
        <f t="shared" si="1"/>
        <v>3525Providence Centralia Hospital500134084500, PLANT OPERATIONS</v>
      </c>
      <c r="B99" s="7"/>
      <c r="C99" s="29" t="s">
        <v>185</v>
      </c>
      <c r="D99" s="29" t="s">
        <v>200</v>
      </c>
      <c r="E99" s="29" t="s">
        <v>186</v>
      </c>
      <c r="F99" s="29">
        <v>3525</v>
      </c>
      <c r="G99" s="4" t="s">
        <v>1590</v>
      </c>
      <c r="H99" s="5">
        <v>5001</v>
      </c>
      <c r="I99" s="4" t="s">
        <v>141</v>
      </c>
      <c r="J99" s="4" t="s">
        <v>62</v>
      </c>
      <c r="K99" s="4" t="s">
        <v>1601</v>
      </c>
      <c r="L99" s="4" t="s">
        <v>63</v>
      </c>
      <c r="M99" s="39">
        <v>461.29</v>
      </c>
      <c r="N99" s="39">
        <v>461.29</v>
      </c>
      <c r="O99" s="38">
        <v>0.4667</v>
      </c>
      <c r="P99" s="39">
        <v>20.87</v>
      </c>
      <c r="Q99" s="39">
        <v>23.98</v>
      </c>
      <c r="R99" s="38">
        <v>0.1333</v>
      </c>
      <c r="S99" s="40">
        <v>16</v>
      </c>
      <c r="T99" s="39">
        <v>25.15</v>
      </c>
      <c r="U99" s="39">
        <v>26.93</v>
      </c>
      <c r="V99" s="39">
        <v>29.1</v>
      </c>
      <c r="W99" s="38">
        <v>0.88319999999999999</v>
      </c>
      <c r="X99" s="39">
        <v>6.02</v>
      </c>
      <c r="Y99" s="41">
        <v>-54132.6138929269</v>
      </c>
      <c r="Z99" s="39">
        <v>-1509</v>
      </c>
      <c r="AA99" s="39">
        <v>-0.72371940649335498</v>
      </c>
    </row>
    <row r="100" spans="1:27" s="22" customFormat="1" x14ac:dyDescent="0.25">
      <c r="A100" s="7" t="str">
        <f t="shared" si="1"/>
        <v>3525Providence Centralia Hospital481233377704 PHYSICAL THERAPY TUMWATER</v>
      </c>
      <c r="B100" s="7"/>
      <c r="C100" s="29" t="s">
        <v>185</v>
      </c>
      <c r="D100" s="29" t="s">
        <v>200</v>
      </c>
      <c r="E100" s="29" t="s">
        <v>186</v>
      </c>
      <c r="F100" s="29">
        <v>3525</v>
      </c>
      <c r="G100" s="4" t="s">
        <v>1590</v>
      </c>
      <c r="H100" s="5">
        <v>4812</v>
      </c>
      <c r="I100" s="4" t="s">
        <v>78</v>
      </c>
      <c r="J100" s="4" t="s">
        <v>41</v>
      </c>
      <c r="K100" s="4" t="s">
        <v>1628</v>
      </c>
      <c r="L100" s="4" t="s">
        <v>79</v>
      </c>
      <c r="M100" s="39">
        <v>750.54</v>
      </c>
      <c r="N100" s="39">
        <v>797.1</v>
      </c>
      <c r="O100" s="38">
        <v>0.4667</v>
      </c>
      <c r="P100" s="39">
        <v>20.25</v>
      </c>
      <c r="Q100" s="39">
        <v>19.54</v>
      </c>
      <c r="R100" s="38">
        <v>0.2</v>
      </c>
      <c r="S100" s="40">
        <v>16</v>
      </c>
      <c r="T100" s="39">
        <v>20.51</v>
      </c>
      <c r="U100" s="39">
        <v>21.79</v>
      </c>
      <c r="V100" s="39">
        <v>22.97</v>
      </c>
      <c r="W100" s="38">
        <v>0.8528</v>
      </c>
      <c r="X100" s="39">
        <v>8.7799999999999994</v>
      </c>
      <c r="Y100" s="41">
        <v>-95731.754493874396</v>
      </c>
      <c r="Z100" s="39">
        <v>-2054</v>
      </c>
      <c r="AA100" s="39">
        <v>-0.98497209488970106</v>
      </c>
    </row>
    <row r="101" spans="1:27" s="22" customFormat="1" x14ac:dyDescent="0.25">
      <c r="A101" s="7" t="str">
        <f t="shared" si="1"/>
        <v>3525Providence Centralia Hospital481233377703 PHYSICAL THERAPY CENTRALIA</v>
      </c>
      <c r="B101" s="7"/>
      <c r="C101" s="29" t="s">
        <v>185</v>
      </c>
      <c r="D101" s="29" t="s">
        <v>200</v>
      </c>
      <c r="E101" s="29" t="s">
        <v>186</v>
      </c>
      <c r="F101" s="29">
        <v>3525</v>
      </c>
      <c r="G101" s="4" t="s">
        <v>1590</v>
      </c>
      <c r="H101" s="5">
        <v>4812</v>
      </c>
      <c r="I101" s="4" t="s">
        <v>78</v>
      </c>
      <c r="J101" s="4" t="s">
        <v>41</v>
      </c>
      <c r="K101" s="4" t="s">
        <v>1627</v>
      </c>
      <c r="L101" s="4" t="s">
        <v>79</v>
      </c>
      <c r="M101" s="39">
        <v>367.03</v>
      </c>
      <c r="N101" s="39">
        <v>453.88</v>
      </c>
      <c r="O101" s="38">
        <v>0.4667</v>
      </c>
      <c r="P101" s="39">
        <v>21.05</v>
      </c>
      <c r="Q101" s="39">
        <v>20.65</v>
      </c>
      <c r="R101" s="38">
        <v>0.27779999999999999</v>
      </c>
      <c r="S101" s="40">
        <v>16</v>
      </c>
      <c r="T101" s="39">
        <v>20.190000000000001</v>
      </c>
      <c r="U101" s="39">
        <v>22.23</v>
      </c>
      <c r="V101" s="39">
        <v>24.34</v>
      </c>
      <c r="W101" s="38">
        <v>0.92010000000000003</v>
      </c>
      <c r="X101" s="39">
        <v>4.9000000000000004</v>
      </c>
      <c r="Y101" s="41">
        <v>-32076.843949369799</v>
      </c>
      <c r="Z101" s="39">
        <v>-746</v>
      </c>
      <c r="AA101" s="39">
        <v>-0.35767379056218301</v>
      </c>
    </row>
    <row r="102" spans="1:27" s="22" customFormat="1" x14ac:dyDescent="0.25">
      <c r="A102" s="7" t="str">
        <f t="shared" si="1"/>
        <v>3525Providence Centralia Hospital651034087100, MEDICAL STAFF ADMINISTRATION</v>
      </c>
      <c r="B102" s="7"/>
      <c r="C102" s="29" t="s">
        <v>185</v>
      </c>
      <c r="D102" s="29" t="s">
        <v>200</v>
      </c>
      <c r="E102" s="29" t="s">
        <v>186</v>
      </c>
      <c r="F102" s="29">
        <v>3525</v>
      </c>
      <c r="G102" s="4" t="s">
        <v>1590</v>
      </c>
      <c r="H102" s="5">
        <v>6510</v>
      </c>
      <c r="I102" s="4" t="s">
        <v>19</v>
      </c>
      <c r="J102" s="4" t="s">
        <v>19</v>
      </c>
      <c r="K102" s="4" t="s">
        <v>1608</v>
      </c>
      <c r="L102" s="4" t="s">
        <v>20</v>
      </c>
      <c r="M102" s="39">
        <v>88</v>
      </c>
      <c r="N102" s="39">
        <v>93</v>
      </c>
      <c r="O102" s="38">
        <v>0.4667</v>
      </c>
      <c r="P102" s="39">
        <v>58.95</v>
      </c>
      <c r="Q102" s="39">
        <v>65.069999999999993</v>
      </c>
      <c r="R102" s="38">
        <v>0.5333</v>
      </c>
      <c r="S102" s="40">
        <v>16</v>
      </c>
      <c r="T102" s="39">
        <v>51.62</v>
      </c>
      <c r="U102" s="39">
        <v>54.45</v>
      </c>
      <c r="V102" s="39">
        <v>60.21</v>
      </c>
      <c r="W102" s="38">
        <v>0.86880000000000002</v>
      </c>
      <c r="X102" s="39">
        <v>3.35</v>
      </c>
      <c r="Y102" s="41">
        <v>38851.270723609901</v>
      </c>
      <c r="Z102" s="39">
        <v>1159</v>
      </c>
      <c r="AA102" s="39">
        <v>0.55546740670553996</v>
      </c>
    </row>
    <row r="103" spans="1:27" s="22" customFormat="1" x14ac:dyDescent="0.25">
      <c r="A103" s="7" t="str">
        <f t="shared" si="1"/>
        <v>3525Providence Centralia Hospital3399Laboratory Services - Administration And Support (U,N)</v>
      </c>
      <c r="B103" s="7"/>
      <c r="C103" s="29" t="s">
        <v>185</v>
      </c>
      <c r="D103" s="29" t="s">
        <v>200</v>
      </c>
      <c r="E103" s="29" t="s">
        <v>186</v>
      </c>
      <c r="F103" s="29">
        <v>3525</v>
      </c>
      <c r="G103" s="4" t="s">
        <v>1590</v>
      </c>
      <c r="H103" s="5">
        <v>3399</v>
      </c>
      <c r="I103" s="4" t="s">
        <v>52</v>
      </c>
      <c r="J103" s="4" t="s">
        <v>53</v>
      </c>
      <c r="K103" s="4" t="s">
        <v>256</v>
      </c>
      <c r="L103" s="4" t="s">
        <v>55</v>
      </c>
      <c r="M103" s="39">
        <v>3898.75</v>
      </c>
      <c r="N103" s="39">
        <v>3093.06</v>
      </c>
      <c r="O103" s="38">
        <v>0.55910000000000004</v>
      </c>
      <c r="P103" s="39">
        <v>2.86</v>
      </c>
      <c r="Q103" s="39">
        <v>3.48</v>
      </c>
      <c r="R103" s="7"/>
      <c r="S103" s="40">
        <v>16</v>
      </c>
      <c r="T103" s="39">
        <v>0.68</v>
      </c>
      <c r="U103" s="39">
        <v>1.23</v>
      </c>
      <c r="V103" s="39">
        <v>1.89</v>
      </c>
      <c r="W103" s="38">
        <v>0.88460000000000005</v>
      </c>
      <c r="X103" s="39">
        <v>5.84</v>
      </c>
      <c r="Y103" s="41">
        <v>230717.60310174199</v>
      </c>
      <c r="Z103" s="39">
        <v>7880</v>
      </c>
      <c r="AA103" s="39">
        <v>3.7779714221853999</v>
      </c>
    </row>
    <row r="104" spans="1:27" s="22" customFormat="1" x14ac:dyDescent="0.25">
      <c r="A104" s="7" t="str">
        <f t="shared" si="1"/>
        <v>3525Providence Centralia Hospital581034083600-34083601 Social Work Services</v>
      </c>
      <c r="B104" s="7"/>
      <c r="C104" s="29" t="s">
        <v>185</v>
      </c>
      <c r="D104" s="29" t="s">
        <v>200</v>
      </c>
      <c r="E104" s="29" t="s">
        <v>186</v>
      </c>
      <c r="F104" s="29">
        <v>3525</v>
      </c>
      <c r="G104" s="4" t="s">
        <v>1590</v>
      </c>
      <c r="H104" s="5">
        <v>5810</v>
      </c>
      <c r="I104" s="4" t="s">
        <v>133</v>
      </c>
      <c r="J104" s="4" t="s">
        <v>26</v>
      </c>
      <c r="K104" s="4" t="s">
        <v>1593</v>
      </c>
      <c r="L104" s="4" t="s">
        <v>134</v>
      </c>
      <c r="M104" s="39">
        <v>3375</v>
      </c>
      <c r="N104" s="39">
        <v>5604</v>
      </c>
      <c r="O104" s="38">
        <v>0.625</v>
      </c>
      <c r="P104" s="39">
        <v>2.39</v>
      </c>
      <c r="Q104" s="39">
        <v>1.6</v>
      </c>
      <c r="R104" s="38">
        <v>0.125</v>
      </c>
      <c r="S104" s="40">
        <v>17</v>
      </c>
      <c r="T104" s="39">
        <v>1.87</v>
      </c>
      <c r="U104" s="39">
        <v>2.06</v>
      </c>
      <c r="V104" s="39">
        <v>2.27</v>
      </c>
      <c r="W104" s="38">
        <v>0.90620000000000001</v>
      </c>
      <c r="X104" s="39">
        <v>4.76</v>
      </c>
      <c r="Y104" s="41">
        <v>-99885.778021419697</v>
      </c>
      <c r="Z104" s="39">
        <v>-2811</v>
      </c>
      <c r="AA104" s="39">
        <v>-1.34786526113486</v>
      </c>
    </row>
    <row r="105" spans="1:27" s="22" customFormat="1" x14ac:dyDescent="0.25">
      <c r="A105" s="7" t="str">
        <f t="shared" si="1"/>
        <v>3525Providence Centralia Hospital401034076453, Radiant Care Aberdeen</v>
      </c>
      <c r="B105" s="7"/>
      <c r="C105" s="29" t="s">
        <v>185</v>
      </c>
      <c r="D105" s="29" t="s">
        <v>200</v>
      </c>
      <c r="E105" s="29" t="s">
        <v>186</v>
      </c>
      <c r="F105" s="29">
        <v>3525</v>
      </c>
      <c r="G105" s="4" t="s">
        <v>1590</v>
      </c>
      <c r="H105" s="5">
        <v>4010</v>
      </c>
      <c r="I105" s="4" t="s">
        <v>152</v>
      </c>
      <c r="J105" s="4" t="s">
        <v>153</v>
      </c>
      <c r="K105" s="4" t="s">
        <v>1626</v>
      </c>
      <c r="L105" s="4" t="s">
        <v>99</v>
      </c>
      <c r="M105" s="7"/>
      <c r="N105" s="39">
        <v>22920.37</v>
      </c>
      <c r="O105" s="38">
        <v>0.4375</v>
      </c>
      <c r="P105" s="7"/>
      <c r="Q105" s="39">
        <v>0.27</v>
      </c>
      <c r="R105" s="38">
        <v>6.6699999999999995E-2</v>
      </c>
      <c r="S105" s="40">
        <v>17</v>
      </c>
      <c r="T105" s="39">
        <v>0.35</v>
      </c>
      <c r="U105" s="39">
        <v>0.35</v>
      </c>
      <c r="V105" s="39">
        <v>0.39</v>
      </c>
      <c r="W105" s="38">
        <v>0.91549999999999998</v>
      </c>
      <c r="X105" s="39">
        <v>3.28</v>
      </c>
      <c r="Y105" s="41">
        <v>-81551.270599034106</v>
      </c>
      <c r="Z105" s="39">
        <v>-1921</v>
      </c>
      <c r="AA105" s="39">
        <v>-0.92125922097227297</v>
      </c>
    </row>
    <row r="106" spans="1:27" s="22" customFormat="1" x14ac:dyDescent="0.25">
      <c r="A106" s="7" t="str">
        <f t="shared" si="1"/>
        <v>3525Providence Centralia Hospital201034070100, EMERGENCY SERVICES</v>
      </c>
      <c r="B106" s="7"/>
      <c r="C106" s="29" t="s">
        <v>185</v>
      </c>
      <c r="D106" s="29" t="s">
        <v>200</v>
      </c>
      <c r="E106" s="29" t="s">
        <v>186</v>
      </c>
      <c r="F106" s="29">
        <v>3525</v>
      </c>
      <c r="G106" s="4" t="s">
        <v>1590</v>
      </c>
      <c r="H106" s="5">
        <v>2010</v>
      </c>
      <c r="I106" s="4" t="s">
        <v>75</v>
      </c>
      <c r="J106" s="4" t="s">
        <v>76</v>
      </c>
      <c r="K106" s="4" t="s">
        <v>1599</v>
      </c>
      <c r="L106" s="4" t="s">
        <v>77</v>
      </c>
      <c r="M106" s="39">
        <v>32903</v>
      </c>
      <c r="N106" s="39">
        <v>35484</v>
      </c>
      <c r="O106" s="38">
        <v>0.5</v>
      </c>
      <c r="P106" s="39">
        <v>2.54</v>
      </c>
      <c r="Q106" s="39">
        <v>2.34</v>
      </c>
      <c r="R106" s="38">
        <v>0.125</v>
      </c>
      <c r="S106" s="40">
        <v>17</v>
      </c>
      <c r="T106" s="39">
        <v>2.42</v>
      </c>
      <c r="U106" s="39">
        <v>2.46</v>
      </c>
      <c r="V106" s="39">
        <v>2.64</v>
      </c>
      <c r="W106" s="38">
        <v>0.85309999999999997</v>
      </c>
      <c r="X106" s="39">
        <v>46.73</v>
      </c>
      <c r="Y106" s="41">
        <v>-212048.69955797499</v>
      </c>
      <c r="Z106" s="39">
        <v>-4857</v>
      </c>
      <c r="AA106" s="39">
        <v>-2.3286840576862402</v>
      </c>
    </row>
    <row r="107" spans="1:27" s="22" customFormat="1" x14ac:dyDescent="0.25">
      <c r="A107" s="7" t="str">
        <f t="shared" si="1"/>
        <v>3525Providence Centralia Hospital486134077800 Speech - Language Pathology</v>
      </c>
      <c r="B107" s="7"/>
      <c r="C107" s="29" t="s">
        <v>185</v>
      </c>
      <c r="D107" s="29" t="s">
        <v>200</v>
      </c>
      <c r="E107" s="29" t="s">
        <v>186</v>
      </c>
      <c r="F107" s="29">
        <v>3525</v>
      </c>
      <c r="G107" s="4" t="s">
        <v>1590</v>
      </c>
      <c r="H107" s="5">
        <v>4861</v>
      </c>
      <c r="I107" s="4" t="s">
        <v>125</v>
      </c>
      <c r="J107" s="4" t="s">
        <v>41</v>
      </c>
      <c r="K107" s="4" t="s">
        <v>1633</v>
      </c>
      <c r="L107" s="4" t="s">
        <v>79</v>
      </c>
      <c r="M107" s="39">
        <v>233.44</v>
      </c>
      <c r="N107" s="39">
        <v>241.58</v>
      </c>
      <c r="O107" s="38">
        <v>0.5</v>
      </c>
      <c r="P107" s="39">
        <v>21.65</v>
      </c>
      <c r="Q107" s="39">
        <v>21.39</v>
      </c>
      <c r="R107" s="38">
        <v>0.1333</v>
      </c>
      <c r="S107" s="40">
        <v>17</v>
      </c>
      <c r="T107" s="39">
        <v>22.46</v>
      </c>
      <c r="U107" s="39">
        <v>23.24</v>
      </c>
      <c r="V107" s="39">
        <v>23.54</v>
      </c>
      <c r="W107" s="38">
        <v>0.90659999999999996</v>
      </c>
      <c r="X107" s="39">
        <v>2.74</v>
      </c>
      <c r="Y107" s="41">
        <v>-19756.339381657701</v>
      </c>
      <c r="Z107" s="39">
        <v>-478</v>
      </c>
      <c r="AA107" s="39">
        <v>-0.22913226759708699</v>
      </c>
    </row>
    <row r="108" spans="1:27" s="22" customFormat="1" x14ac:dyDescent="0.25">
      <c r="A108" s="7" t="str">
        <f t="shared" si="1"/>
        <v>3525Providence Centralia Hospital343034076608 Magnetic Resonance Imaging</v>
      </c>
      <c r="B108" s="7"/>
      <c r="C108" s="29" t="s">
        <v>185</v>
      </c>
      <c r="D108" s="29" t="s">
        <v>200</v>
      </c>
      <c r="E108" s="29" t="s">
        <v>186</v>
      </c>
      <c r="F108" s="29">
        <v>3525</v>
      </c>
      <c r="G108" s="4" t="s">
        <v>1590</v>
      </c>
      <c r="H108" s="5">
        <v>3430</v>
      </c>
      <c r="I108" s="4" t="s">
        <v>121</v>
      </c>
      <c r="J108" s="4" t="s">
        <v>57</v>
      </c>
      <c r="K108" s="4" t="s">
        <v>1604</v>
      </c>
      <c r="L108" s="4" t="s">
        <v>99</v>
      </c>
      <c r="M108" s="39">
        <v>8648.89</v>
      </c>
      <c r="N108" s="39">
        <v>10274.83</v>
      </c>
      <c r="O108" s="38">
        <v>0.5</v>
      </c>
      <c r="P108" s="39">
        <v>0.48</v>
      </c>
      <c r="Q108" s="39">
        <v>0.5</v>
      </c>
      <c r="R108" s="38">
        <v>0.9375</v>
      </c>
      <c r="S108" s="40">
        <v>17</v>
      </c>
      <c r="T108" s="39">
        <v>0.32</v>
      </c>
      <c r="U108" s="39">
        <v>0.36</v>
      </c>
      <c r="V108" s="39">
        <v>0.39</v>
      </c>
      <c r="W108" s="38">
        <v>0.85929999999999995</v>
      </c>
      <c r="X108" s="39">
        <v>2.9</v>
      </c>
      <c r="Y108" s="41">
        <v>62700.846902858902</v>
      </c>
      <c r="Z108" s="39">
        <v>1744</v>
      </c>
      <c r="AA108" s="39">
        <v>0.83613876956271105</v>
      </c>
    </row>
    <row r="109" spans="1:27" s="22" customFormat="1" x14ac:dyDescent="0.25">
      <c r="A109" s="7" t="str">
        <f t="shared" si="1"/>
        <v>3525Providence Centralia Hospital413034077200 Respiratory Therapy</v>
      </c>
      <c r="B109" s="7"/>
      <c r="C109" s="29" t="s">
        <v>185</v>
      </c>
      <c r="D109" s="29" t="s">
        <v>200</v>
      </c>
      <c r="E109" s="29" t="s">
        <v>186</v>
      </c>
      <c r="F109" s="29">
        <v>3525</v>
      </c>
      <c r="G109" s="4" t="s">
        <v>1590</v>
      </c>
      <c r="H109" s="5">
        <v>4130</v>
      </c>
      <c r="I109" s="4" t="s">
        <v>184</v>
      </c>
      <c r="J109" s="4" t="s">
        <v>44</v>
      </c>
      <c r="K109" s="4" t="s">
        <v>1635</v>
      </c>
      <c r="L109" s="4" t="s">
        <v>45</v>
      </c>
      <c r="M109" s="39">
        <v>6861.46</v>
      </c>
      <c r="N109" s="39">
        <v>6688.75</v>
      </c>
      <c r="O109" s="38">
        <v>0.25</v>
      </c>
      <c r="P109" s="39">
        <v>3.83</v>
      </c>
      <c r="Q109" s="39">
        <v>4.05</v>
      </c>
      <c r="R109" s="38">
        <v>0.88239999999999996</v>
      </c>
      <c r="S109" s="40">
        <v>17</v>
      </c>
      <c r="T109" s="39">
        <v>2.31</v>
      </c>
      <c r="U109" s="39">
        <v>2.59</v>
      </c>
      <c r="V109" s="39">
        <v>2.86</v>
      </c>
      <c r="W109" s="38">
        <v>0.85170000000000001</v>
      </c>
      <c r="X109" s="39">
        <v>15.3</v>
      </c>
      <c r="Y109" s="41">
        <v>393505.645835615</v>
      </c>
      <c r="Z109" s="39">
        <v>11571</v>
      </c>
      <c r="AA109" s="39">
        <v>5.5477182539163197</v>
      </c>
    </row>
    <row r="110" spans="1:27" s="22" customFormat="1" x14ac:dyDescent="0.25">
      <c r="A110" s="7" t="str">
        <f t="shared" si="1"/>
        <v>3525Providence Centralia Hospital191034087200, NURSING ADMINISTRATION</v>
      </c>
      <c r="B110" s="7"/>
      <c r="C110" s="29" t="s">
        <v>185</v>
      </c>
      <c r="D110" s="29" t="s">
        <v>200</v>
      </c>
      <c r="E110" s="29" t="s">
        <v>186</v>
      </c>
      <c r="F110" s="29">
        <v>3525</v>
      </c>
      <c r="G110" s="4" t="s">
        <v>1590</v>
      </c>
      <c r="H110" s="5">
        <v>1910</v>
      </c>
      <c r="I110" s="4" t="s">
        <v>34</v>
      </c>
      <c r="J110" s="4" t="s">
        <v>23</v>
      </c>
      <c r="K110" s="4" t="s">
        <v>1615</v>
      </c>
      <c r="L110" s="4" t="s">
        <v>35</v>
      </c>
      <c r="M110" s="39">
        <v>270</v>
      </c>
      <c r="N110" s="39">
        <v>263</v>
      </c>
      <c r="O110" s="38">
        <v>0.52939999999999998</v>
      </c>
      <c r="P110" s="39">
        <v>67.61</v>
      </c>
      <c r="Q110" s="39">
        <v>61.67</v>
      </c>
      <c r="R110" s="38">
        <v>0.25</v>
      </c>
      <c r="S110" s="40">
        <v>18</v>
      </c>
      <c r="T110" s="39">
        <v>61.67</v>
      </c>
      <c r="U110" s="39">
        <v>75.87</v>
      </c>
      <c r="V110" s="39">
        <v>80.75</v>
      </c>
      <c r="W110" s="38">
        <v>0.91510000000000002</v>
      </c>
      <c r="X110" s="39">
        <v>6.1</v>
      </c>
      <c r="Y110" s="41">
        <v>-359190.13660047</v>
      </c>
      <c r="Z110" s="39">
        <v>-9082</v>
      </c>
      <c r="AA110" s="39">
        <v>-4.3545522157226104</v>
      </c>
    </row>
    <row r="111" spans="1:27" s="22" customFormat="1" x14ac:dyDescent="0.25">
      <c r="A111" s="7" t="str">
        <f t="shared" si="1"/>
        <v>3525Providence Centralia Hospital302034074270, RECOVERY ROOM SERVICES</v>
      </c>
      <c r="B111" s="7"/>
      <c r="C111" s="29" t="s">
        <v>185</v>
      </c>
      <c r="D111" s="29" t="s">
        <v>200</v>
      </c>
      <c r="E111" s="29" t="s">
        <v>186</v>
      </c>
      <c r="F111" s="29">
        <v>3525</v>
      </c>
      <c r="G111" s="4" t="s">
        <v>1590</v>
      </c>
      <c r="H111" s="5">
        <v>3020</v>
      </c>
      <c r="I111" s="4" t="s">
        <v>89</v>
      </c>
      <c r="J111" s="4" t="s">
        <v>47</v>
      </c>
      <c r="K111" s="4" t="s">
        <v>1637</v>
      </c>
      <c r="L111" s="4" t="s">
        <v>90</v>
      </c>
      <c r="M111" s="39">
        <v>3847.45</v>
      </c>
      <c r="N111" s="39">
        <v>3412.19</v>
      </c>
      <c r="O111" s="38">
        <v>0.52939999999999998</v>
      </c>
      <c r="P111" s="39">
        <v>2.37</v>
      </c>
      <c r="Q111" s="39">
        <v>2.21</v>
      </c>
      <c r="R111" s="38">
        <v>5.8799999999999998E-2</v>
      </c>
      <c r="S111" s="40">
        <v>18</v>
      </c>
      <c r="T111" s="39">
        <v>3.21</v>
      </c>
      <c r="U111" s="39">
        <v>3.71</v>
      </c>
      <c r="V111" s="39">
        <v>3.96</v>
      </c>
      <c r="W111" s="38">
        <v>0.62039999999999995</v>
      </c>
      <c r="X111" s="39">
        <v>5.85</v>
      </c>
      <c r="Y111" s="41">
        <v>-473871.375457394</v>
      </c>
      <c r="Z111" s="39">
        <v>-8204</v>
      </c>
      <c r="AA111" s="39">
        <v>-3.93325751540061</v>
      </c>
    </row>
    <row r="112" spans="1:27" s="22" customFormat="1" x14ac:dyDescent="0.25">
      <c r="A112" s="7" t="str">
        <f t="shared" si="1"/>
        <v>3525Providence Centralia Hospital482534077900, OCCUPATIONAL THERAPY</v>
      </c>
      <c r="B112" s="7"/>
      <c r="C112" s="29" t="s">
        <v>185</v>
      </c>
      <c r="D112" s="29" t="s">
        <v>200</v>
      </c>
      <c r="E112" s="29" t="s">
        <v>186</v>
      </c>
      <c r="F112" s="29">
        <v>3525</v>
      </c>
      <c r="G112" s="4" t="s">
        <v>1590</v>
      </c>
      <c r="H112" s="5">
        <v>4825</v>
      </c>
      <c r="I112" s="4" t="s">
        <v>128</v>
      </c>
      <c r="J112" s="4" t="s">
        <v>41</v>
      </c>
      <c r="K112" s="4" t="s">
        <v>1632</v>
      </c>
      <c r="L112" s="4" t="s">
        <v>79</v>
      </c>
      <c r="M112" s="39">
        <v>238.93</v>
      </c>
      <c r="N112" s="39">
        <v>208.46</v>
      </c>
      <c r="O112" s="38">
        <v>0.47060000000000002</v>
      </c>
      <c r="P112" s="39">
        <v>18.12</v>
      </c>
      <c r="Q112" s="39">
        <v>24.39</v>
      </c>
      <c r="R112" s="38">
        <v>0.47060000000000002</v>
      </c>
      <c r="S112" s="40">
        <v>18</v>
      </c>
      <c r="T112" s="39">
        <v>22.61</v>
      </c>
      <c r="U112" s="39">
        <v>23.04</v>
      </c>
      <c r="V112" s="39">
        <v>24.85</v>
      </c>
      <c r="W112" s="38">
        <v>0.90269999999999995</v>
      </c>
      <c r="X112" s="39">
        <v>2.71</v>
      </c>
      <c r="Y112" s="41">
        <v>13983.980887882701</v>
      </c>
      <c r="Z112" s="39">
        <v>332</v>
      </c>
      <c r="AA112" s="39">
        <v>0.159003136823408</v>
      </c>
    </row>
    <row r="113" spans="1:27" s="22" customFormat="1" x14ac:dyDescent="0.25">
      <c r="A113" s="7" t="str">
        <f t="shared" si="1"/>
        <v>3525Providence Centralia Hospital591034084200, Security &amp; Safety</v>
      </c>
      <c r="B113" s="7"/>
      <c r="C113" s="29" t="s">
        <v>185</v>
      </c>
      <c r="D113" s="29" t="s">
        <v>200</v>
      </c>
      <c r="E113" s="29" t="s">
        <v>186</v>
      </c>
      <c r="F113" s="29">
        <v>3525</v>
      </c>
      <c r="G113" s="4" t="s">
        <v>1590</v>
      </c>
      <c r="H113" s="5">
        <v>5910</v>
      </c>
      <c r="I113" s="4" t="s">
        <v>139</v>
      </c>
      <c r="J113" s="4" t="s">
        <v>136</v>
      </c>
      <c r="K113" s="4" t="s">
        <v>1618</v>
      </c>
      <c r="L113" s="4" t="s">
        <v>140</v>
      </c>
      <c r="M113" s="39">
        <v>648.29999999999995</v>
      </c>
      <c r="N113" s="39">
        <v>648.29999999999995</v>
      </c>
      <c r="O113" s="38">
        <v>0.52939999999999998</v>
      </c>
      <c r="P113" s="39">
        <v>23.72</v>
      </c>
      <c r="Q113" s="39">
        <v>26.32</v>
      </c>
      <c r="R113" s="38">
        <v>0.42859999999999998</v>
      </c>
      <c r="S113" s="40">
        <v>18</v>
      </c>
      <c r="T113" s="39">
        <v>24.08</v>
      </c>
      <c r="U113" s="39">
        <v>25.59</v>
      </c>
      <c r="V113" s="39">
        <v>27.39</v>
      </c>
      <c r="W113" s="38">
        <v>0.86899999999999999</v>
      </c>
      <c r="X113" s="39">
        <v>9.44</v>
      </c>
      <c r="Y113" s="41">
        <v>13160.9769304439</v>
      </c>
      <c r="Z113" s="39">
        <v>598</v>
      </c>
      <c r="AA113" s="39">
        <v>0.28676337025213</v>
      </c>
    </row>
    <row r="114" spans="1:27" s="22" customFormat="1" x14ac:dyDescent="0.25">
      <c r="A114" s="7" t="str">
        <f t="shared" si="1"/>
        <v>3525Providence Centralia Hospital401034076452, Radiant Care Centralia</v>
      </c>
      <c r="B114" s="7"/>
      <c r="C114" s="29" t="s">
        <v>185</v>
      </c>
      <c r="D114" s="29" t="s">
        <v>200</v>
      </c>
      <c r="E114" s="29" t="s">
        <v>186</v>
      </c>
      <c r="F114" s="29">
        <v>3525</v>
      </c>
      <c r="G114" s="4" t="s">
        <v>1590</v>
      </c>
      <c r="H114" s="5">
        <v>4010</v>
      </c>
      <c r="I114" s="4" t="s">
        <v>152</v>
      </c>
      <c r="J114" s="4" t="s">
        <v>153</v>
      </c>
      <c r="K114" s="4" t="s">
        <v>1625</v>
      </c>
      <c r="L114" s="4" t="s">
        <v>99</v>
      </c>
      <c r="M114" s="7"/>
      <c r="N114" s="39">
        <v>19185.310000000001</v>
      </c>
      <c r="O114" s="38">
        <v>0.5</v>
      </c>
      <c r="P114" s="7"/>
      <c r="Q114" s="39">
        <v>0.3</v>
      </c>
      <c r="R114" s="38">
        <v>0.1176</v>
      </c>
      <c r="S114" s="40">
        <v>19</v>
      </c>
      <c r="T114" s="39">
        <v>0.35</v>
      </c>
      <c r="U114" s="39">
        <v>0.38</v>
      </c>
      <c r="V114" s="39">
        <v>0.44</v>
      </c>
      <c r="W114" s="38">
        <v>0.9143</v>
      </c>
      <c r="X114" s="39">
        <v>3.07</v>
      </c>
      <c r="Y114" s="41">
        <v>-62349.783436320598</v>
      </c>
      <c r="Z114" s="39">
        <v>-1571</v>
      </c>
      <c r="AA114" s="39">
        <v>-0.75306653813858504</v>
      </c>
    </row>
    <row r="115" spans="1:27" s="22" customFormat="1" x14ac:dyDescent="0.25">
      <c r="A115" s="7" t="str">
        <f t="shared" si="1"/>
        <v>3525Providence Centralia Hospital4899Rehabilitation Administration And Support (U,N)</v>
      </c>
      <c r="B115" s="7"/>
      <c r="C115" s="29" t="s">
        <v>185</v>
      </c>
      <c r="D115" s="29" t="s">
        <v>200</v>
      </c>
      <c r="E115" s="29" t="s">
        <v>186</v>
      </c>
      <c r="F115" s="29">
        <v>3525</v>
      </c>
      <c r="G115" s="4" t="s">
        <v>1590</v>
      </c>
      <c r="H115" s="5">
        <v>4899</v>
      </c>
      <c r="I115" s="4" t="s">
        <v>40</v>
      </c>
      <c r="J115" s="4" t="s">
        <v>41</v>
      </c>
      <c r="K115" s="4" t="s">
        <v>1634</v>
      </c>
      <c r="L115" s="4" t="s">
        <v>43</v>
      </c>
      <c r="M115" s="39">
        <v>2706.06</v>
      </c>
      <c r="N115" s="39">
        <v>2904.79</v>
      </c>
      <c r="O115" s="38">
        <v>0.5161</v>
      </c>
      <c r="P115" s="39">
        <v>6.22</v>
      </c>
      <c r="Q115" s="39">
        <v>4.5999999999999996</v>
      </c>
      <c r="R115" s="38">
        <v>0.65269999999999995</v>
      </c>
      <c r="S115" s="40">
        <v>20</v>
      </c>
      <c r="T115" s="39">
        <v>2.31</v>
      </c>
      <c r="U115" s="39">
        <v>2.5099999999999998</v>
      </c>
      <c r="V115" s="39">
        <v>3.91</v>
      </c>
      <c r="W115" s="38">
        <v>0.87549999999999994</v>
      </c>
      <c r="X115" s="39">
        <v>7.34</v>
      </c>
      <c r="Y115" s="41">
        <v>142643.457309688</v>
      </c>
      <c r="Z115" s="39">
        <v>6981</v>
      </c>
      <c r="AA115" s="39">
        <v>3.3471732104562202</v>
      </c>
    </row>
    <row r="116" spans="1:27" s="22" customFormat="1" x14ac:dyDescent="0.25">
      <c r="A116" s="7" t="str">
        <f t="shared" si="1"/>
        <v>3525Providence Centralia Hospital5608Centralized Scheduling (U,N)</v>
      </c>
      <c r="B116" s="7"/>
      <c r="C116" s="29" t="s">
        <v>185</v>
      </c>
      <c r="D116" s="29" t="s">
        <v>200</v>
      </c>
      <c r="E116" s="29" t="s">
        <v>186</v>
      </c>
      <c r="F116" s="29">
        <v>3525</v>
      </c>
      <c r="G116" s="4" t="s">
        <v>1590</v>
      </c>
      <c r="H116" s="5">
        <v>5608</v>
      </c>
      <c r="I116" s="4" t="s">
        <v>257</v>
      </c>
      <c r="J116" s="4" t="s">
        <v>12</v>
      </c>
      <c r="K116" s="4" t="s">
        <v>258</v>
      </c>
      <c r="L116" s="4" t="s">
        <v>18</v>
      </c>
      <c r="M116" s="39">
        <v>14540.1</v>
      </c>
      <c r="N116" s="39">
        <v>12790.03</v>
      </c>
      <c r="O116" s="38">
        <v>0.4642</v>
      </c>
      <c r="P116" s="39">
        <v>1.46</v>
      </c>
      <c r="Q116" s="39">
        <v>1.57</v>
      </c>
      <c r="R116" s="38">
        <v>0.89790000000000003</v>
      </c>
      <c r="S116" s="40">
        <v>20</v>
      </c>
      <c r="T116" s="39">
        <v>0.69</v>
      </c>
      <c r="U116" s="39">
        <v>0.8</v>
      </c>
      <c r="V116" s="39">
        <v>1.19</v>
      </c>
      <c r="W116" s="38">
        <v>0.89129999999999998</v>
      </c>
      <c r="X116" s="39">
        <v>10.81</v>
      </c>
      <c r="Y116" s="41">
        <v>250129.48847668601</v>
      </c>
      <c r="Z116" s="39">
        <v>11067</v>
      </c>
      <c r="AA116" s="39">
        <v>5.3059065041325404</v>
      </c>
    </row>
    <row r="117" spans="1:27" s="22" customFormat="1" x14ac:dyDescent="0.25">
      <c r="A117" s="7" t="str">
        <f t="shared" si="1"/>
        <v>3525Providence Centralia Hospital5925Patient Transport Normalized Only Dept (U,N)</v>
      </c>
      <c r="B117" s="7"/>
      <c r="C117" s="29" t="s">
        <v>185</v>
      </c>
      <c r="D117" s="29" t="s">
        <v>200</v>
      </c>
      <c r="E117" s="29" t="s">
        <v>186</v>
      </c>
      <c r="F117" s="29">
        <v>3525</v>
      </c>
      <c r="G117" s="4" t="s">
        <v>1590</v>
      </c>
      <c r="H117" s="5">
        <v>5925</v>
      </c>
      <c r="I117" s="4" t="s">
        <v>135</v>
      </c>
      <c r="J117" s="4" t="s">
        <v>136</v>
      </c>
      <c r="K117" s="4" t="s">
        <v>1619</v>
      </c>
      <c r="L117" s="4" t="s">
        <v>137</v>
      </c>
      <c r="M117" s="39">
        <v>45.65</v>
      </c>
      <c r="N117" s="39">
        <v>381.16</v>
      </c>
      <c r="O117" s="38">
        <v>0.50349999999999995</v>
      </c>
      <c r="P117" s="39">
        <v>137.26</v>
      </c>
      <c r="Q117" s="39">
        <v>18.38</v>
      </c>
      <c r="R117" s="7"/>
      <c r="S117" s="40">
        <v>21</v>
      </c>
      <c r="T117" s="39">
        <v>52.07</v>
      </c>
      <c r="U117" s="39">
        <v>53.98</v>
      </c>
      <c r="V117" s="39">
        <v>57.81</v>
      </c>
      <c r="W117" s="38">
        <v>0.89929999999999999</v>
      </c>
      <c r="X117" s="39">
        <v>3.74</v>
      </c>
      <c r="Y117" s="41">
        <v>-540276.54726337898</v>
      </c>
      <c r="Z117" s="39">
        <v>-15078</v>
      </c>
      <c r="AA117" s="39">
        <v>-7.22942249452504</v>
      </c>
    </row>
    <row r="118" spans="1:27" s="22" customFormat="1" x14ac:dyDescent="0.25">
      <c r="A118" s="7" t="str">
        <f t="shared" si="1"/>
        <v>3525Providence Centralia Hospital481233377705 PHYSICAL THERAPY CHEHALIS</v>
      </c>
      <c r="B118" s="7"/>
      <c r="C118" s="29" t="s">
        <v>185</v>
      </c>
      <c r="D118" s="29" t="s">
        <v>200</v>
      </c>
      <c r="E118" s="29" t="s">
        <v>186</v>
      </c>
      <c r="F118" s="29">
        <v>3525</v>
      </c>
      <c r="G118" s="4" t="s">
        <v>1590</v>
      </c>
      <c r="H118" s="5">
        <v>4812</v>
      </c>
      <c r="I118" s="4" t="s">
        <v>78</v>
      </c>
      <c r="J118" s="4" t="s">
        <v>41</v>
      </c>
      <c r="K118" s="4" t="s">
        <v>1629</v>
      </c>
      <c r="L118" s="4" t="s">
        <v>79</v>
      </c>
      <c r="M118" s="39">
        <v>238.21</v>
      </c>
      <c r="N118" s="39">
        <v>279.22000000000003</v>
      </c>
      <c r="O118" s="38">
        <v>0.55000000000000004</v>
      </c>
      <c r="P118" s="39">
        <v>20.92</v>
      </c>
      <c r="Q118" s="39">
        <v>19.21</v>
      </c>
      <c r="R118" s="38">
        <v>0.05</v>
      </c>
      <c r="S118" s="40">
        <v>21</v>
      </c>
      <c r="T118" s="39">
        <v>20.25</v>
      </c>
      <c r="U118" s="39">
        <v>21.28</v>
      </c>
      <c r="V118" s="39">
        <v>23.39</v>
      </c>
      <c r="W118" s="38">
        <v>0.90849999999999997</v>
      </c>
      <c r="X118" s="39">
        <v>2.84</v>
      </c>
      <c r="Y118" s="41">
        <v>-29273.1471827942</v>
      </c>
      <c r="Z118" s="39">
        <v>-617</v>
      </c>
      <c r="AA118" s="39">
        <v>-0.29574958593872902</v>
      </c>
    </row>
    <row r="119" spans="1:27" s="22" customFormat="1" x14ac:dyDescent="0.25">
      <c r="A119" s="7" t="str">
        <f t="shared" si="1"/>
        <v>3525Providence Centralia Hospital301134074200, SURGERY SERVICES</v>
      </c>
      <c r="B119" s="7"/>
      <c r="C119" s="29" t="s">
        <v>185</v>
      </c>
      <c r="D119" s="29" t="s">
        <v>200</v>
      </c>
      <c r="E119" s="29" t="s">
        <v>186</v>
      </c>
      <c r="F119" s="29">
        <v>3525</v>
      </c>
      <c r="G119" s="4" t="s">
        <v>1590</v>
      </c>
      <c r="H119" s="5">
        <v>3011</v>
      </c>
      <c r="I119" s="4" t="s">
        <v>87</v>
      </c>
      <c r="J119" s="4" t="s">
        <v>47</v>
      </c>
      <c r="K119" s="4" t="s">
        <v>1636</v>
      </c>
      <c r="L119" s="4" t="s">
        <v>88</v>
      </c>
      <c r="M119" s="39">
        <v>2388.5500000000002</v>
      </c>
      <c r="N119" s="39">
        <v>2198.19</v>
      </c>
      <c r="O119" s="38">
        <v>0.47620000000000001</v>
      </c>
      <c r="P119" s="39">
        <v>9.48</v>
      </c>
      <c r="Q119" s="39">
        <v>10.6</v>
      </c>
      <c r="R119" s="38">
        <v>0.16669999999999999</v>
      </c>
      <c r="S119" s="40">
        <v>22</v>
      </c>
      <c r="T119" s="39">
        <v>10.71</v>
      </c>
      <c r="U119" s="39">
        <v>10.98</v>
      </c>
      <c r="V119" s="39">
        <v>11.68</v>
      </c>
      <c r="W119" s="38">
        <v>0.75209999999999999</v>
      </c>
      <c r="X119" s="39">
        <v>14.9</v>
      </c>
      <c r="Y119" s="41">
        <v>-39853.212006991103</v>
      </c>
      <c r="Z119" s="39">
        <v>-1015</v>
      </c>
      <c r="AA119" s="39">
        <v>-0.48651052117598698</v>
      </c>
    </row>
    <row r="120" spans="1:27" s="22" customFormat="1" x14ac:dyDescent="0.25">
      <c r="A120" s="7" t="str">
        <f t="shared" si="1"/>
        <v>3525Providence Centralia Hospital441034077100, PHARMACY</v>
      </c>
      <c r="B120" s="7"/>
      <c r="C120" s="29" t="s">
        <v>185</v>
      </c>
      <c r="D120" s="29" t="s">
        <v>200</v>
      </c>
      <c r="E120" s="29" t="s">
        <v>186</v>
      </c>
      <c r="F120" s="29">
        <v>3525</v>
      </c>
      <c r="G120" s="4" t="s">
        <v>1590</v>
      </c>
      <c r="H120" s="5">
        <v>4410</v>
      </c>
      <c r="I120" s="4" t="s">
        <v>37</v>
      </c>
      <c r="J120" s="4" t="s">
        <v>37</v>
      </c>
      <c r="K120" s="4" t="s">
        <v>1620</v>
      </c>
      <c r="L120" s="4" t="s">
        <v>100</v>
      </c>
      <c r="M120" s="39">
        <v>11143.28</v>
      </c>
      <c r="N120" s="39">
        <v>10910.28</v>
      </c>
      <c r="O120" s="38">
        <v>0.52380000000000004</v>
      </c>
      <c r="P120" s="39">
        <v>2.13</v>
      </c>
      <c r="Q120" s="39">
        <v>2.17</v>
      </c>
      <c r="R120" s="38">
        <v>0.52629999999999999</v>
      </c>
      <c r="S120" s="40">
        <v>22</v>
      </c>
      <c r="T120" s="39">
        <v>2.0099999999999998</v>
      </c>
      <c r="U120" s="39">
        <v>2.06</v>
      </c>
      <c r="V120" s="39">
        <v>2.12</v>
      </c>
      <c r="W120" s="38">
        <v>0.88859999999999995</v>
      </c>
      <c r="X120" s="39">
        <v>12.79</v>
      </c>
      <c r="Y120" s="41">
        <v>61480.332714726501</v>
      </c>
      <c r="Z120" s="39">
        <v>1383</v>
      </c>
      <c r="AA120" s="39">
        <v>0.663234857329012</v>
      </c>
    </row>
    <row r="121" spans="1:27" s="22" customFormat="1" x14ac:dyDescent="0.25">
      <c r="A121" s="7" t="str">
        <f t="shared" si="1"/>
        <v>3525Providence Centralia Hospital3499Imaging Services - Administration and Support (U,N)</v>
      </c>
      <c r="B121" s="7"/>
      <c r="C121" s="29" t="s">
        <v>185</v>
      </c>
      <c r="D121" s="29" t="s">
        <v>200</v>
      </c>
      <c r="E121" s="29" t="s">
        <v>186</v>
      </c>
      <c r="F121" s="29">
        <v>3525</v>
      </c>
      <c r="G121" s="4" t="s">
        <v>1590</v>
      </c>
      <c r="H121" s="5">
        <v>3499</v>
      </c>
      <c r="I121" s="4" t="s">
        <v>56</v>
      </c>
      <c r="J121" s="4" t="s">
        <v>57</v>
      </c>
      <c r="K121" s="4" t="s">
        <v>1606</v>
      </c>
      <c r="L121" s="4" t="s">
        <v>58</v>
      </c>
      <c r="M121" s="39">
        <v>105618.9</v>
      </c>
      <c r="N121" s="39">
        <v>150023.65</v>
      </c>
      <c r="O121" s="38">
        <v>0.4919</v>
      </c>
      <c r="P121" s="39">
        <v>0.06</v>
      </c>
      <c r="Q121" s="39">
        <v>0.03</v>
      </c>
      <c r="R121" s="38">
        <v>1.67E-2</v>
      </c>
      <c r="S121" s="40">
        <v>23</v>
      </c>
      <c r="T121" s="39">
        <v>0.06</v>
      </c>
      <c r="U121" s="39">
        <v>7.0000000000000007E-2</v>
      </c>
      <c r="V121" s="39">
        <v>0.09</v>
      </c>
      <c r="W121" s="38">
        <v>0.88180000000000003</v>
      </c>
      <c r="X121" s="39">
        <v>2.44</v>
      </c>
      <c r="Y121" s="41">
        <v>-221069.90010231599</v>
      </c>
      <c r="Z121" s="39">
        <v>-6820</v>
      </c>
      <c r="AA121" s="39">
        <v>-3.2699963654262199</v>
      </c>
    </row>
    <row r="122" spans="1:27" s="22" customFormat="1" x14ac:dyDescent="0.25">
      <c r="A122" s="7" t="str">
        <f t="shared" si="1"/>
        <v>3525Providence Centralia Hospital464034076450 Outpatient Infusion Services</v>
      </c>
      <c r="B122" s="7"/>
      <c r="C122" s="29" t="s">
        <v>185</v>
      </c>
      <c r="D122" s="29" t="s">
        <v>200</v>
      </c>
      <c r="E122" s="29" t="s">
        <v>186</v>
      </c>
      <c r="F122" s="29">
        <v>3525</v>
      </c>
      <c r="G122" s="4" t="s">
        <v>1590</v>
      </c>
      <c r="H122" s="5">
        <v>4640</v>
      </c>
      <c r="I122" s="4" t="s">
        <v>82</v>
      </c>
      <c r="J122" s="4" t="s">
        <v>83</v>
      </c>
      <c r="K122" s="4" t="s">
        <v>1617</v>
      </c>
      <c r="L122" s="4" t="s">
        <v>84</v>
      </c>
      <c r="M122" s="39">
        <v>16551</v>
      </c>
      <c r="N122" s="39">
        <v>16841</v>
      </c>
      <c r="O122" s="38">
        <v>0.45450000000000002</v>
      </c>
      <c r="P122" s="39">
        <v>2.0499999999999998</v>
      </c>
      <c r="Q122" s="39">
        <v>1.82</v>
      </c>
      <c r="R122" s="38">
        <v>0.36359999999999998</v>
      </c>
      <c r="S122" s="40">
        <v>23</v>
      </c>
      <c r="T122" s="39">
        <v>1.64</v>
      </c>
      <c r="U122" s="39">
        <v>1.77</v>
      </c>
      <c r="V122" s="39">
        <v>2.0699999999999998</v>
      </c>
      <c r="W122" s="38">
        <v>0.85429999999999995</v>
      </c>
      <c r="X122" s="39">
        <v>17.21</v>
      </c>
      <c r="Y122" s="41">
        <v>45183.547728022</v>
      </c>
      <c r="Z122" s="39">
        <v>1003</v>
      </c>
      <c r="AA122" s="39">
        <v>0.480656646890054</v>
      </c>
    </row>
    <row r="123" spans="1:27" s="22" customFormat="1" x14ac:dyDescent="0.25">
      <c r="A123" s="7" t="str">
        <f t="shared" si="1"/>
        <v>3525Providence Centralia Hospital582534087520 Quality Assurance</v>
      </c>
      <c r="B123" s="7"/>
      <c r="C123" s="29" t="s">
        <v>185</v>
      </c>
      <c r="D123" s="29" t="s">
        <v>200</v>
      </c>
      <c r="E123" s="29" t="s">
        <v>186</v>
      </c>
      <c r="F123" s="29">
        <v>3525</v>
      </c>
      <c r="G123" s="4" t="s">
        <v>1590</v>
      </c>
      <c r="H123" s="5">
        <v>5825</v>
      </c>
      <c r="I123" s="4" t="s">
        <v>25</v>
      </c>
      <c r="J123" s="4" t="s">
        <v>26</v>
      </c>
      <c r="K123" s="4" t="s">
        <v>1597</v>
      </c>
      <c r="L123" s="4" t="s">
        <v>27</v>
      </c>
      <c r="M123" s="39">
        <v>85558</v>
      </c>
      <c r="N123" s="39">
        <v>110974</v>
      </c>
      <c r="O123" s="38">
        <v>0.56520000000000004</v>
      </c>
      <c r="P123" s="39">
        <v>0.12</v>
      </c>
      <c r="Q123" s="39">
        <v>0.09</v>
      </c>
      <c r="R123" s="38">
        <v>0.54549999999999998</v>
      </c>
      <c r="S123" s="40">
        <v>24</v>
      </c>
      <c r="T123" s="39">
        <v>0.06</v>
      </c>
      <c r="U123" s="39">
        <v>7.0000000000000007E-2</v>
      </c>
      <c r="V123" s="39">
        <v>0.08</v>
      </c>
      <c r="W123" s="38">
        <v>0.88390000000000002</v>
      </c>
      <c r="X123" s="39">
        <v>5.57</v>
      </c>
      <c r="Y123" s="41">
        <v>123352.80858384</v>
      </c>
      <c r="Z123" s="39">
        <v>2829</v>
      </c>
      <c r="AA123" s="39">
        <v>1.35629327609913</v>
      </c>
    </row>
    <row r="124" spans="1:27" s="22" customFormat="1" x14ac:dyDescent="0.25">
      <c r="A124" s="7" t="str">
        <f t="shared" si="1"/>
        <v>3525Providence Centralia Hospital345034076700, ULTRASOUND</v>
      </c>
      <c r="B124" s="7"/>
      <c r="C124" s="29" t="s">
        <v>185</v>
      </c>
      <c r="D124" s="29" t="s">
        <v>200</v>
      </c>
      <c r="E124" s="29" t="s">
        <v>186</v>
      </c>
      <c r="F124" s="29">
        <v>3525</v>
      </c>
      <c r="G124" s="4" t="s">
        <v>1590</v>
      </c>
      <c r="H124" s="5">
        <v>3450</v>
      </c>
      <c r="I124" s="4" t="s">
        <v>122</v>
      </c>
      <c r="J124" s="4" t="s">
        <v>57</v>
      </c>
      <c r="K124" s="4" t="s">
        <v>1605</v>
      </c>
      <c r="L124" s="4" t="s">
        <v>99</v>
      </c>
      <c r="M124" s="39">
        <v>20823.03</v>
      </c>
      <c r="N124" s="39">
        <v>21983.55</v>
      </c>
      <c r="O124" s="38">
        <v>0.54169999999999996</v>
      </c>
      <c r="P124" s="39">
        <v>0.37</v>
      </c>
      <c r="Q124" s="39">
        <v>0.41</v>
      </c>
      <c r="R124" s="38">
        <v>0.375</v>
      </c>
      <c r="S124" s="40">
        <v>25</v>
      </c>
      <c r="T124" s="39">
        <v>0.37</v>
      </c>
      <c r="U124" s="39">
        <v>0.4</v>
      </c>
      <c r="V124" s="39">
        <v>0.43</v>
      </c>
      <c r="W124" s="38">
        <v>0.81669999999999998</v>
      </c>
      <c r="X124" s="39">
        <v>5.29</v>
      </c>
      <c r="Y124" s="41">
        <v>12547.948386767401</v>
      </c>
      <c r="Z124" s="39">
        <v>266</v>
      </c>
      <c r="AA124" s="39">
        <v>0.127697851425426</v>
      </c>
    </row>
    <row r="125" spans="1:27" s="22" customFormat="1" x14ac:dyDescent="0.25">
      <c r="A125" s="7" t="str">
        <f t="shared" si="1"/>
        <v>3525Providence Centralia Hospital341134076300,34076800 DIAGNOSTIC IMAGING_CT</v>
      </c>
      <c r="B125" s="7"/>
      <c r="C125" s="29" t="s">
        <v>185</v>
      </c>
      <c r="D125" s="29" t="s">
        <v>200</v>
      </c>
      <c r="E125" s="29" t="s">
        <v>186</v>
      </c>
      <c r="F125" s="29">
        <v>3525</v>
      </c>
      <c r="G125" s="4" t="s">
        <v>1590</v>
      </c>
      <c r="H125" s="5">
        <v>3411</v>
      </c>
      <c r="I125" s="4" t="s">
        <v>117</v>
      </c>
      <c r="J125" s="4" t="s">
        <v>57</v>
      </c>
      <c r="K125" s="4" t="s">
        <v>1603</v>
      </c>
      <c r="L125" s="4" t="s">
        <v>99</v>
      </c>
      <c r="M125" s="39">
        <v>61777.43</v>
      </c>
      <c r="N125" s="39">
        <v>63884.44</v>
      </c>
      <c r="O125" s="38">
        <v>0.54169999999999996</v>
      </c>
      <c r="P125" s="39">
        <v>0.62</v>
      </c>
      <c r="Q125" s="39">
        <v>0.7</v>
      </c>
      <c r="R125" s="38">
        <v>0.5</v>
      </c>
      <c r="S125" s="40">
        <v>25</v>
      </c>
      <c r="T125" s="39">
        <v>0.62</v>
      </c>
      <c r="U125" s="39">
        <v>0.64</v>
      </c>
      <c r="V125" s="39">
        <v>0.7</v>
      </c>
      <c r="W125" s="38">
        <v>0.90769999999999995</v>
      </c>
      <c r="X125" s="39">
        <v>23.73</v>
      </c>
      <c r="Y125" s="41">
        <v>145766.66876387299</v>
      </c>
      <c r="Z125" s="39">
        <v>4450</v>
      </c>
      <c r="AA125" s="39">
        <v>2.1336235266394699</v>
      </c>
    </row>
    <row r="126" spans="1:27" s="22" customFormat="1" x14ac:dyDescent="0.25">
      <c r="A126" s="7" t="str">
        <f t="shared" si="1"/>
        <v>3525Providence Centralia Hospital335034075000-34075091-34075097 Laboratory Services Combined</v>
      </c>
      <c r="B126" s="7"/>
      <c r="C126" s="29" t="s">
        <v>185</v>
      </c>
      <c r="D126" s="29" t="s">
        <v>200</v>
      </c>
      <c r="E126" s="29" t="s">
        <v>186</v>
      </c>
      <c r="F126" s="29">
        <v>3525</v>
      </c>
      <c r="G126" s="4" t="s">
        <v>1590</v>
      </c>
      <c r="H126" s="5">
        <v>3350</v>
      </c>
      <c r="I126" s="4" t="s">
        <v>93</v>
      </c>
      <c r="J126" s="4" t="s">
        <v>53</v>
      </c>
      <c r="K126" s="4" t="s">
        <v>1607</v>
      </c>
      <c r="L126" s="4" t="s">
        <v>94</v>
      </c>
      <c r="M126" s="39">
        <v>3398.69</v>
      </c>
      <c r="N126" s="39">
        <v>2691.25</v>
      </c>
      <c r="O126" s="38">
        <v>0.5</v>
      </c>
      <c r="P126" s="39">
        <v>18.72</v>
      </c>
      <c r="Q126" s="39">
        <v>22.48</v>
      </c>
      <c r="R126" s="38">
        <v>0.90910000000000002</v>
      </c>
      <c r="S126" s="40">
        <v>25</v>
      </c>
      <c r="T126" s="39">
        <v>14.99</v>
      </c>
      <c r="U126" s="39">
        <v>16.43</v>
      </c>
      <c r="V126" s="39">
        <v>17.73</v>
      </c>
      <c r="W126" s="38">
        <v>0.9</v>
      </c>
      <c r="X126" s="39">
        <v>32.32</v>
      </c>
      <c r="Y126" s="41">
        <v>524793.04422557703</v>
      </c>
      <c r="Z126" s="39">
        <v>18280</v>
      </c>
      <c r="AA126" s="39">
        <v>8.7642326850031704</v>
      </c>
    </row>
    <row r="127" spans="1:27" s="22" customFormat="1" x14ac:dyDescent="0.25">
      <c r="A127" s="7" t="str">
        <f t="shared" si="1"/>
        <v>3525Providence Centralia Hospital121134061710, MEDICAL ACUTE</v>
      </c>
      <c r="B127" s="7"/>
      <c r="C127" s="29" t="s">
        <v>185</v>
      </c>
      <c r="D127" s="29" t="s">
        <v>200</v>
      </c>
      <c r="E127" s="29" t="s">
        <v>186</v>
      </c>
      <c r="F127" s="29">
        <v>3525</v>
      </c>
      <c r="G127" s="4" t="s">
        <v>1590</v>
      </c>
      <c r="H127" s="5">
        <v>1211</v>
      </c>
      <c r="I127" s="4" t="s">
        <v>161</v>
      </c>
      <c r="J127" s="4" t="s">
        <v>23</v>
      </c>
      <c r="K127" s="4" t="s">
        <v>1611</v>
      </c>
      <c r="L127" s="4" t="s">
        <v>74</v>
      </c>
      <c r="M127" s="39">
        <v>6146.76</v>
      </c>
      <c r="N127" s="39">
        <v>6265.29</v>
      </c>
      <c r="O127" s="38">
        <v>0.56000000000000005</v>
      </c>
      <c r="P127" s="39">
        <v>11.55</v>
      </c>
      <c r="Q127" s="39">
        <v>10.43</v>
      </c>
      <c r="R127" s="38">
        <v>0.375</v>
      </c>
      <c r="S127" s="40">
        <v>26</v>
      </c>
      <c r="T127" s="39">
        <v>10.1</v>
      </c>
      <c r="U127" s="39">
        <v>10.43</v>
      </c>
      <c r="V127" s="39">
        <v>10.85</v>
      </c>
      <c r="W127" s="38">
        <v>0.84099999999999997</v>
      </c>
      <c r="X127" s="39">
        <v>37.35</v>
      </c>
      <c r="Y127" s="41">
        <v>7483.3955906987603</v>
      </c>
      <c r="Z127" s="39">
        <v>199</v>
      </c>
      <c r="AA127" s="39">
        <v>9.5593471927657006E-2</v>
      </c>
    </row>
    <row r="128" spans="1:27" s="22" customFormat="1" x14ac:dyDescent="0.25">
      <c r="A128" s="7" t="str">
        <f t="shared" si="1"/>
        <v>3525Providence Centralia Hospital307034074701 Sterile Processing</v>
      </c>
      <c r="B128" s="7"/>
      <c r="C128" s="29" t="s">
        <v>185</v>
      </c>
      <c r="D128" s="29" t="s">
        <v>200</v>
      </c>
      <c r="E128" s="29" t="s">
        <v>186</v>
      </c>
      <c r="F128" s="29">
        <v>3525</v>
      </c>
      <c r="G128" s="4" t="s">
        <v>1590</v>
      </c>
      <c r="H128" s="5">
        <v>3070</v>
      </c>
      <c r="I128" s="4" t="s">
        <v>91</v>
      </c>
      <c r="J128" s="4" t="s">
        <v>47</v>
      </c>
      <c r="K128" s="4" t="s">
        <v>1639</v>
      </c>
      <c r="L128" s="4" t="s">
        <v>92</v>
      </c>
      <c r="M128" s="39">
        <v>335.1</v>
      </c>
      <c r="N128" s="39">
        <v>321.17</v>
      </c>
      <c r="O128" s="38">
        <v>0.56000000000000005</v>
      </c>
      <c r="P128" s="39">
        <v>18.55</v>
      </c>
      <c r="Q128" s="39">
        <v>21.15</v>
      </c>
      <c r="R128" s="38">
        <v>0.52170000000000005</v>
      </c>
      <c r="S128" s="40">
        <v>26</v>
      </c>
      <c r="T128" s="39">
        <v>16.52</v>
      </c>
      <c r="U128" s="39">
        <v>16.82</v>
      </c>
      <c r="V128" s="39">
        <v>19.940000000000001</v>
      </c>
      <c r="W128" s="38">
        <v>0.85719999999999996</v>
      </c>
      <c r="X128" s="39">
        <v>3.81</v>
      </c>
      <c r="Y128" s="41">
        <v>38388.903127909703</v>
      </c>
      <c r="Z128" s="39">
        <v>1645</v>
      </c>
      <c r="AA128" s="39">
        <v>0.78846965865442198</v>
      </c>
    </row>
    <row r="129" spans="1:27" s="22" customFormat="1" x14ac:dyDescent="0.25">
      <c r="A129" s="7" t="str">
        <f t="shared" si="1"/>
        <v>3525Providence Centralia Hospital481233377706 PHYSICAL THERAPY ANNEX</v>
      </c>
      <c r="B129" s="7"/>
      <c r="C129" s="29" t="s">
        <v>185</v>
      </c>
      <c r="D129" s="29" t="s">
        <v>200</v>
      </c>
      <c r="E129" s="29" t="s">
        <v>186</v>
      </c>
      <c r="F129" s="29">
        <v>3525</v>
      </c>
      <c r="G129" s="4" t="s">
        <v>1590</v>
      </c>
      <c r="H129" s="5">
        <v>4812</v>
      </c>
      <c r="I129" s="4" t="s">
        <v>78</v>
      </c>
      <c r="J129" s="4" t="s">
        <v>41</v>
      </c>
      <c r="K129" s="4" t="s">
        <v>1630</v>
      </c>
      <c r="L129" s="4" t="s">
        <v>79</v>
      </c>
      <c r="M129" s="39">
        <v>367.98</v>
      </c>
      <c r="N129" s="39">
        <v>342.97</v>
      </c>
      <c r="O129" s="38">
        <v>0.51519999999999999</v>
      </c>
      <c r="P129" s="39">
        <v>18.91</v>
      </c>
      <c r="Q129" s="39">
        <v>19.329999999999998</v>
      </c>
      <c r="R129" s="38">
        <v>9.0899999999999995E-2</v>
      </c>
      <c r="S129" s="40">
        <v>34</v>
      </c>
      <c r="T129" s="39">
        <v>22.61</v>
      </c>
      <c r="U129" s="39">
        <v>23.27</v>
      </c>
      <c r="V129" s="39">
        <v>24.79</v>
      </c>
      <c r="W129" s="38">
        <v>0.86670000000000003</v>
      </c>
      <c r="X129" s="39">
        <v>3.68</v>
      </c>
      <c r="Y129" s="41">
        <v>-69934.557255141102</v>
      </c>
      <c r="Z129" s="39">
        <v>-1533</v>
      </c>
      <c r="AA129" s="39">
        <v>-0.73501190542317296</v>
      </c>
    </row>
    <row r="130" spans="1:27" s="22" customFormat="1" x14ac:dyDescent="0.25">
      <c r="A130" s="7" t="str">
        <f t="shared" si="1"/>
        <v>3523Providence Everett Medical Center221731670775, Autism</v>
      </c>
      <c r="B130" s="7"/>
      <c r="C130" s="29" t="s">
        <v>185</v>
      </c>
      <c r="D130" s="29" t="s">
        <v>1640</v>
      </c>
      <c r="E130" s="29" t="s">
        <v>186</v>
      </c>
      <c r="F130" s="29">
        <v>3523</v>
      </c>
      <c r="G130" s="4" t="s">
        <v>1641</v>
      </c>
      <c r="H130" s="5">
        <v>2217</v>
      </c>
      <c r="I130" s="4" t="s">
        <v>1643</v>
      </c>
      <c r="J130" s="4" t="s">
        <v>176</v>
      </c>
      <c r="K130" s="4" t="s">
        <v>1644</v>
      </c>
      <c r="L130" s="4" t="s">
        <v>77</v>
      </c>
      <c r="M130" s="39">
        <v>967</v>
      </c>
      <c r="N130" s="39">
        <v>1496</v>
      </c>
      <c r="O130" s="38">
        <v>0.25</v>
      </c>
      <c r="P130" s="39">
        <v>3.5</v>
      </c>
      <c r="Q130" s="39">
        <v>4.7300000000000004</v>
      </c>
      <c r="R130" s="38">
        <v>1</v>
      </c>
      <c r="S130" s="40">
        <v>5</v>
      </c>
      <c r="T130" s="39">
        <v>1.71</v>
      </c>
      <c r="U130" s="39">
        <v>1.82</v>
      </c>
      <c r="V130" s="39">
        <v>2.44</v>
      </c>
      <c r="W130" s="38">
        <v>0.92449999999999999</v>
      </c>
      <c r="X130" s="39">
        <v>3.68</v>
      </c>
      <c r="Y130" s="41">
        <v>157243.12400134699</v>
      </c>
      <c r="Z130" s="39">
        <v>4730</v>
      </c>
      <c r="AA130" s="39">
        <v>2.2679690212210999</v>
      </c>
    </row>
    <row r="131" spans="1:27" s="22" customFormat="1" x14ac:dyDescent="0.25">
      <c r="A131" s="7" t="str">
        <f t="shared" ref="A131:A194" si="2">F131&amp;G131&amp;H131&amp;K131</f>
        <v>3523Providence Everett Medical Center422231675910 Electrocardiology</v>
      </c>
      <c r="B131" s="7"/>
      <c r="C131" s="29" t="s">
        <v>185</v>
      </c>
      <c r="D131" s="29" t="s">
        <v>1640</v>
      </c>
      <c r="E131" s="29" t="s">
        <v>186</v>
      </c>
      <c r="F131" s="29">
        <v>3523</v>
      </c>
      <c r="G131" s="4" t="s">
        <v>1641</v>
      </c>
      <c r="H131" s="5">
        <v>4222</v>
      </c>
      <c r="I131" s="4" t="s">
        <v>1653</v>
      </c>
      <c r="J131" s="4" t="s">
        <v>60</v>
      </c>
      <c r="K131" s="4" t="s">
        <v>1654</v>
      </c>
      <c r="L131" s="4" t="s">
        <v>99</v>
      </c>
      <c r="M131" s="7"/>
      <c r="N131" s="39">
        <v>50317</v>
      </c>
      <c r="O131" s="38">
        <v>1</v>
      </c>
      <c r="P131" s="7"/>
      <c r="Q131" s="39">
        <v>0.14000000000000001</v>
      </c>
      <c r="R131" s="38">
        <v>0</v>
      </c>
      <c r="S131" s="40">
        <v>7</v>
      </c>
      <c r="T131" s="39">
        <v>0.18</v>
      </c>
      <c r="U131" s="39">
        <v>0.19</v>
      </c>
      <c r="V131" s="39">
        <v>0.26</v>
      </c>
      <c r="W131" s="38">
        <v>0.9415</v>
      </c>
      <c r="X131" s="39">
        <v>3.52</v>
      </c>
      <c r="Y131" s="41">
        <v>-78709.730457259197</v>
      </c>
      <c r="Z131" s="39">
        <v>-2813</v>
      </c>
      <c r="AA131" s="39">
        <v>-1.3485112193695099</v>
      </c>
    </row>
    <row r="132" spans="1:27" s="22" customFormat="1" x14ac:dyDescent="0.25">
      <c r="A132" s="7" t="str">
        <f t="shared" si="2"/>
        <v>3523Providence Everett Medical Center121231672308 2N-Pacific</v>
      </c>
      <c r="B132" s="7"/>
      <c r="C132" s="29" t="s">
        <v>185</v>
      </c>
      <c r="D132" s="29" t="s">
        <v>1640</v>
      </c>
      <c r="E132" s="29" t="s">
        <v>186</v>
      </c>
      <c r="F132" s="29">
        <v>3523</v>
      </c>
      <c r="G132" s="4" t="s">
        <v>1641</v>
      </c>
      <c r="H132" s="5">
        <v>1212</v>
      </c>
      <c r="I132" s="4" t="s">
        <v>160</v>
      </c>
      <c r="J132" s="4" t="s">
        <v>23</v>
      </c>
      <c r="K132" s="4" t="s">
        <v>1699</v>
      </c>
      <c r="L132" s="4" t="s">
        <v>74</v>
      </c>
      <c r="M132" s="39">
        <v>963.58</v>
      </c>
      <c r="N132" s="39">
        <v>1331</v>
      </c>
      <c r="O132" s="7"/>
      <c r="P132" s="39">
        <v>16.260000000000002</v>
      </c>
      <c r="Q132" s="39">
        <v>16.43</v>
      </c>
      <c r="R132" s="38">
        <v>1</v>
      </c>
      <c r="S132" s="40">
        <v>7</v>
      </c>
      <c r="T132" s="39">
        <v>11.1</v>
      </c>
      <c r="U132" s="39">
        <v>11.94</v>
      </c>
      <c r="V132" s="39">
        <v>13.08</v>
      </c>
      <c r="W132" s="38">
        <v>0.91910000000000003</v>
      </c>
      <c r="X132" s="39">
        <v>11.44</v>
      </c>
      <c r="Y132" s="41">
        <v>281369.27514017501</v>
      </c>
      <c r="Z132" s="39">
        <v>6569</v>
      </c>
      <c r="AA132" s="39">
        <v>3.1497471799290899</v>
      </c>
    </row>
    <row r="133" spans="1:27" s="22" customFormat="1" x14ac:dyDescent="0.25">
      <c r="A133" s="7" t="str">
        <f t="shared" si="2"/>
        <v>3523Providence Everett Medical Center181031677150, Iv Therapy</v>
      </c>
      <c r="B133" s="7"/>
      <c r="C133" s="29" t="s">
        <v>185</v>
      </c>
      <c r="D133" s="29" t="s">
        <v>1640</v>
      </c>
      <c r="E133" s="29" t="s">
        <v>186</v>
      </c>
      <c r="F133" s="29">
        <v>3523</v>
      </c>
      <c r="G133" s="4" t="s">
        <v>1641</v>
      </c>
      <c r="H133" s="5">
        <v>1810</v>
      </c>
      <c r="I133" s="4" t="s">
        <v>162</v>
      </c>
      <c r="J133" s="4" t="s">
        <v>23</v>
      </c>
      <c r="K133" s="4" t="s">
        <v>1708</v>
      </c>
      <c r="L133" s="4" t="s">
        <v>163</v>
      </c>
      <c r="M133" s="39">
        <v>808.39</v>
      </c>
      <c r="N133" s="39">
        <v>861.36</v>
      </c>
      <c r="O133" s="38">
        <v>0.28570000000000001</v>
      </c>
      <c r="P133" s="39">
        <v>26.56</v>
      </c>
      <c r="Q133" s="39">
        <v>30.59</v>
      </c>
      <c r="R133" s="38">
        <v>0.28570000000000001</v>
      </c>
      <c r="S133" s="40">
        <v>8</v>
      </c>
      <c r="T133" s="39">
        <v>28.83</v>
      </c>
      <c r="U133" s="39">
        <v>33.17</v>
      </c>
      <c r="V133" s="39">
        <v>36.33</v>
      </c>
      <c r="W133" s="38">
        <v>0.90249999999999997</v>
      </c>
      <c r="X133" s="39">
        <v>14.04</v>
      </c>
      <c r="Y133" s="41">
        <v>-121121.17736120299</v>
      </c>
      <c r="Z133" s="39">
        <v>-2375</v>
      </c>
      <c r="AA133" s="39">
        <v>-1.13857915734596</v>
      </c>
    </row>
    <row r="134" spans="1:27" s="22" customFormat="1" x14ac:dyDescent="0.25">
      <c r="A134" s="7" t="str">
        <f t="shared" si="2"/>
        <v>3523Providence Everett Medical Center509931684503, Facilities Administration</v>
      </c>
      <c r="B134" s="7"/>
      <c r="C134" s="29" t="s">
        <v>185</v>
      </c>
      <c r="D134" s="29" t="s">
        <v>1640</v>
      </c>
      <c r="E134" s="29" t="s">
        <v>186</v>
      </c>
      <c r="F134" s="29">
        <v>3523</v>
      </c>
      <c r="G134" s="4" t="s">
        <v>1641</v>
      </c>
      <c r="H134" s="5">
        <v>5099</v>
      </c>
      <c r="I134" s="4" t="s">
        <v>61</v>
      </c>
      <c r="J134" s="4" t="s">
        <v>62</v>
      </c>
      <c r="K134" s="4" t="s">
        <v>1669</v>
      </c>
      <c r="L134" s="4" t="s">
        <v>63</v>
      </c>
      <c r="M134" s="39">
        <v>3169.45</v>
      </c>
      <c r="N134" s="39">
        <v>3183</v>
      </c>
      <c r="O134" s="38">
        <v>0.71430000000000005</v>
      </c>
      <c r="P134" s="39">
        <v>1.86</v>
      </c>
      <c r="Q134" s="39">
        <v>2.52</v>
      </c>
      <c r="R134" s="38">
        <v>0.16669999999999999</v>
      </c>
      <c r="S134" s="40">
        <v>8</v>
      </c>
      <c r="T134" s="39">
        <v>2.77</v>
      </c>
      <c r="U134" s="39">
        <v>3.13</v>
      </c>
      <c r="V134" s="39">
        <v>4.13</v>
      </c>
      <c r="W134" s="38">
        <v>0.95589999999999997</v>
      </c>
      <c r="X134" s="39">
        <v>4.04</v>
      </c>
      <c r="Y134" s="41">
        <v>-62197.613803153501</v>
      </c>
      <c r="Z134" s="39">
        <v>-1996</v>
      </c>
      <c r="AA134" s="39">
        <v>-0.95708427052791201</v>
      </c>
    </row>
    <row r="135" spans="1:27" s="22" customFormat="1" x14ac:dyDescent="0.25">
      <c r="A135" s="7" t="str">
        <f t="shared" si="2"/>
        <v>3523Providence Everett Medical Center584031683600, Care Management</v>
      </c>
      <c r="B135" s="7"/>
      <c r="C135" s="29" t="s">
        <v>185</v>
      </c>
      <c r="D135" s="29" t="s">
        <v>1640</v>
      </c>
      <c r="E135" s="29" t="s">
        <v>186</v>
      </c>
      <c r="F135" s="29">
        <v>3523</v>
      </c>
      <c r="G135" s="4" t="s">
        <v>1641</v>
      </c>
      <c r="H135" s="5">
        <v>5840</v>
      </c>
      <c r="I135" s="4" t="s">
        <v>1091</v>
      </c>
      <c r="J135" s="4" t="s">
        <v>26</v>
      </c>
      <c r="K135" s="4" t="s">
        <v>1660</v>
      </c>
      <c r="L135" s="4" t="s">
        <v>1093</v>
      </c>
      <c r="M135" s="7"/>
      <c r="N135" s="39">
        <v>48903</v>
      </c>
      <c r="O135" s="38">
        <v>0.85709999999999997</v>
      </c>
      <c r="P135" s="7"/>
      <c r="Q135" s="39">
        <v>1.28</v>
      </c>
      <c r="R135" s="38">
        <v>0.33329999999999999</v>
      </c>
      <c r="S135" s="40">
        <v>8</v>
      </c>
      <c r="T135" s="39">
        <v>1.22</v>
      </c>
      <c r="U135" s="39">
        <v>1.3</v>
      </c>
      <c r="V135" s="39">
        <v>1.49</v>
      </c>
      <c r="W135" s="38">
        <v>0.91059999999999997</v>
      </c>
      <c r="X135" s="39">
        <v>32.99</v>
      </c>
      <c r="Y135" s="41">
        <v>-42037.880410560698</v>
      </c>
      <c r="Z135" s="39">
        <v>-1008</v>
      </c>
      <c r="AA135" s="39">
        <v>-0.48336454998630501</v>
      </c>
    </row>
    <row r="136" spans="1:27" s="22" customFormat="1" x14ac:dyDescent="0.25">
      <c r="A136" s="7" t="str">
        <f t="shared" si="2"/>
        <v>3523Providence Everett Medical Center504031684601, 31684602 Biomed</v>
      </c>
      <c r="B136" s="7"/>
      <c r="C136" s="29" t="s">
        <v>185</v>
      </c>
      <c r="D136" s="29" t="s">
        <v>1640</v>
      </c>
      <c r="E136" s="29" t="s">
        <v>186</v>
      </c>
      <c r="F136" s="29">
        <v>3523</v>
      </c>
      <c r="G136" s="4" t="s">
        <v>1641</v>
      </c>
      <c r="H136" s="5">
        <v>5040</v>
      </c>
      <c r="I136" s="4" t="s">
        <v>142</v>
      </c>
      <c r="J136" s="4" t="s">
        <v>62</v>
      </c>
      <c r="K136" s="4" t="s">
        <v>1668</v>
      </c>
      <c r="L136" s="4" t="s">
        <v>143</v>
      </c>
      <c r="M136" s="39">
        <v>132.5</v>
      </c>
      <c r="N136" s="39">
        <v>136.72999999999999</v>
      </c>
      <c r="O136" s="38">
        <v>0.85709999999999997</v>
      </c>
      <c r="P136" s="39">
        <v>158.71</v>
      </c>
      <c r="Q136" s="39">
        <v>171.09</v>
      </c>
      <c r="R136" s="38">
        <v>0.57140000000000002</v>
      </c>
      <c r="S136" s="40">
        <v>8</v>
      </c>
      <c r="T136" s="39">
        <v>134.87</v>
      </c>
      <c r="U136" s="39">
        <v>140.47</v>
      </c>
      <c r="V136" s="39">
        <v>156.61000000000001</v>
      </c>
      <c r="W136" s="38">
        <v>0.89510000000000001</v>
      </c>
      <c r="X136" s="39">
        <v>12.56</v>
      </c>
      <c r="Y136" s="41">
        <v>209130.23436062</v>
      </c>
      <c r="Z136" s="39">
        <v>4739</v>
      </c>
      <c r="AA136" s="39">
        <v>2.2721648178800602</v>
      </c>
    </row>
    <row r="137" spans="1:27" s="22" customFormat="1" x14ac:dyDescent="0.25">
      <c r="A137" s="7" t="str">
        <f t="shared" si="2"/>
        <v>3523Providence Everett Medical Center449004490 Pharmacy Administration and Support (U,N)</v>
      </c>
      <c r="B137" s="7"/>
      <c r="C137" s="29" t="s">
        <v>185</v>
      </c>
      <c r="D137" s="29" t="s">
        <v>1640</v>
      </c>
      <c r="E137" s="29" t="s">
        <v>186</v>
      </c>
      <c r="F137" s="29">
        <v>3523</v>
      </c>
      <c r="G137" s="4" t="s">
        <v>1641</v>
      </c>
      <c r="H137" s="5">
        <v>4490</v>
      </c>
      <c r="I137" s="4" t="s">
        <v>36</v>
      </c>
      <c r="J137" s="4" t="s">
        <v>37</v>
      </c>
      <c r="K137" s="4" t="s">
        <v>1720</v>
      </c>
      <c r="L137" s="4" t="s">
        <v>39</v>
      </c>
      <c r="M137" s="7"/>
      <c r="N137" s="39">
        <v>74183.05</v>
      </c>
      <c r="O137" s="38">
        <v>0.75470000000000004</v>
      </c>
      <c r="P137" s="7"/>
      <c r="Q137" s="39">
        <v>0.28999999999999998</v>
      </c>
      <c r="R137" s="38">
        <v>0.60929999999999995</v>
      </c>
      <c r="S137" s="40">
        <v>8</v>
      </c>
      <c r="T137" s="39">
        <v>0.16</v>
      </c>
      <c r="U137" s="39">
        <v>0.2</v>
      </c>
      <c r="V137" s="39">
        <v>0.25</v>
      </c>
      <c r="W137" s="38">
        <v>0.89070000000000005</v>
      </c>
      <c r="X137" s="39">
        <v>11.78</v>
      </c>
      <c r="Y137" s="41">
        <v>372430.33074729401</v>
      </c>
      <c r="Z137" s="39">
        <v>7912</v>
      </c>
      <c r="AA137" s="39">
        <v>3.7935939449511502</v>
      </c>
    </row>
    <row r="138" spans="1:27" s="22" customFormat="1" x14ac:dyDescent="0.25">
      <c r="A138" s="7" t="str">
        <f t="shared" si="2"/>
        <v>3523Providence Everett Medical Center224131687718 Sexual Assault Center</v>
      </c>
      <c r="B138" s="7"/>
      <c r="C138" s="29" t="s">
        <v>185</v>
      </c>
      <c r="D138" s="29" t="s">
        <v>1640</v>
      </c>
      <c r="E138" s="29" t="s">
        <v>186</v>
      </c>
      <c r="F138" s="29">
        <v>3523</v>
      </c>
      <c r="G138" s="4" t="s">
        <v>1641</v>
      </c>
      <c r="H138" s="5">
        <v>2241</v>
      </c>
      <c r="I138" s="4" t="s">
        <v>190</v>
      </c>
      <c r="J138" s="4" t="s">
        <v>176</v>
      </c>
      <c r="K138" s="4" t="s">
        <v>1647</v>
      </c>
      <c r="L138" s="4" t="s">
        <v>77</v>
      </c>
      <c r="M138" s="39">
        <v>1267</v>
      </c>
      <c r="N138" s="39">
        <v>1587</v>
      </c>
      <c r="O138" s="38">
        <v>0.1429</v>
      </c>
      <c r="P138" s="39">
        <v>9.7799999999999994</v>
      </c>
      <c r="Q138" s="39">
        <v>8.25</v>
      </c>
      <c r="R138" s="38">
        <v>1</v>
      </c>
      <c r="S138" s="40">
        <v>8</v>
      </c>
      <c r="T138" s="39">
        <v>0.84</v>
      </c>
      <c r="U138" s="39">
        <v>1.18</v>
      </c>
      <c r="V138" s="39">
        <v>1.3</v>
      </c>
      <c r="W138" s="38">
        <v>0.92349999999999999</v>
      </c>
      <c r="X138" s="39">
        <v>6.82</v>
      </c>
      <c r="Y138" s="41">
        <v>656728.24110685301</v>
      </c>
      <c r="Z138" s="39">
        <v>12197</v>
      </c>
      <c r="AA138" s="39">
        <v>5.8477673691003202</v>
      </c>
    </row>
    <row r="139" spans="1:27" s="22" customFormat="1" x14ac:dyDescent="0.25">
      <c r="A139" s="7" t="str">
        <f t="shared" si="2"/>
        <v>3523Providence Everett Medical Center511131678700, Nutritional Therapy</v>
      </c>
      <c r="B139" s="7"/>
      <c r="C139" s="29" t="s">
        <v>185</v>
      </c>
      <c r="D139" s="29" t="s">
        <v>1640</v>
      </c>
      <c r="E139" s="29" t="s">
        <v>186</v>
      </c>
      <c r="F139" s="29">
        <v>3523</v>
      </c>
      <c r="G139" s="4" t="s">
        <v>1641</v>
      </c>
      <c r="H139" s="5">
        <v>5111</v>
      </c>
      <c r="I139" s="4" t="s">
        <v>64</v>
      </c>
      <c r="J139" s="4" t="s">
        <v>65</v>
      </c>
      <c r="K139" s="4" t="s">
        <v>1671</v>
      </c>
      <c r="L139" s="4" t="s">
        <v>67</v>
      </c>
      <c r="M139" s="7"/>
      <c r="N139" s="39">
        <v>64957</v>
      </c>
      <c r="O139" s="38">
        <v>0.85709999999999997</v>
      </c>
      <c r="P139" s="7"/>
      <c r="Q139" s="39">
        <v>0.36</v>
      </c>
      <c r="R139" s="38">
        <v>0.33329999999999999</v>
      </c>
      <c r="S139" s="40">
        <v>8</v>
      </c>
      <c r="T139" s="39">
        <v>0.35</v>
      </c>
      <c r="U139" s="39">
        <v>0.37</v>
      </c>
      <c r="V139" s="39">
        <v>0.44</v>
      </c>
      <c r="W139" s="38">
        <v>0.92179999999999995</v>
      </c>
      <c r="X139" s="39">
        <v>12.2</v>
      </c>
      <c r="Y139" s="41">
        <v>-21065.314065112801</v>
      </c>
      <c r="Z139" s="39">
        <v>-627</v>
      </c>
      <c r="AA139" s="39">
        <v>-0.30083831866153998</v>
      </c>
    </row>
    <row r="140" spans="1:27" s="22" customFormat="1" x14ac:dyDescent="0.25">
      <c r="A140" s="7" t="str">
        <f t="shared" si="2"/>
        <v>3523Providence Everett Medical Center349903499 Mammography Admin (U,N)</v>
      </c>
      <c r="B140" s="7"/>
      <c r="C140" s="29" t="s">
        <v>185</v>
      </c>
      <c r="D140" s="29" t="s">
        <v>1640</v>
      </c>
      <c r="E140" s="29" t="s">
        <v>186</v>
      </c>
      <c r="F140" s="29">
        <v>3523</v>
      </c>
      <c r="G140" s="4" t="s">
        <v>1641</v>
      </c>
      <c r="H140" s="5">
        <v>3499</v>
      </c>
      <c r="I140" s="4" t="s">
        <v>56</v>
      </c>
      <c r="J140" s="4" t="s">
        <v>57</v>
      </c>
      <c r="K140" s="4" t="s">
        <v>1683</v>
      </c>
      <c r="L140" s="4" t="s">
        <v>58</v>
      </c>
      <c r="M140" s="39">
        <v>40550.29</v>
      </c>
      <c r="N140" s="39">
        <v>52190.14</v>
      </c>
      <c r="O140" s="38">
        <v>0.3725</v>
      </c>
      <c r="P140" s="39">
        <v>0.3</v>
      </c>
      <c r="Q140" s="39">
        <v>0.37</v>
      </c>
      <c r="R140" s="7"/>
      <c r="S140" s="40">
        <v>8</v>
      </c>
      <c r="T140" s="39">
        <v>0.05</v>
      </c>
      <c r="U140" s="39">
        <v>0.05</v>
      </c>
      <c r="V140" s="39">
        <v>7.0000000000000007E-2</v>
      </c>
      <c r="W140" s="38">
        <v>0.87080000000000002</v>
      </c>
      <c r="X140" s="39">
        <v>10.78</v>
      </c>
      <c r="Y140" s="41">
        <v>406115.06422442599</v>
      </c>
      <c r="Z140" s="39">
        <v>19487</v>
      </c>
      <c r="AA140" s="39">
        <v>9.3432268458694701</v>
      </c>
    </row>
    <row r="141" spans="1:27" s="22" customFormat="1" x14ac:dyDescent="0.25">
      <c r="A141" s="7" t="str">
        <f t="shared" si="2"/>
        <v>3523Providence Everett Medical Center463031677610, Endoscopy</v>
      </c>
      <c r="B141" s="7"/>
      <c r="C141" s="29" t="s">
        <v>185</v>
      </c>
      <c r="D141" s="29" t="s">
        <v>1640</v>
      </c>
      <c r="E141" s="29" t="s">
        <v>186</v>
      </c>
      <c r="F141" s="29">
        <v>3523</v>
      </c>
      <c r="G141" s="4" t="s">
        <v>1641</v>
      </c>
      <c r="H141" s="5">
        <v>4630</v>
      </c>
      <c r="I141" s="4" t="s">
        <v>104</v>
      </c>
      <c r="J141" s="4" t="s">
        <v>83</v>
      </c>
      <c r="K141" s="4" t="s">
        <v>1711</v>
      </c>
      <c r="L141" s="4" t="s">
        <v>99</v>
      </c>
      <c r="M141" s="7"/>
      <c r="N141" s="39">
        <v>1090.69</v>
      </c>
      <c r="O141" s="38">
        <v>0.28570000000000001</v>
      </c>
      <c r="P141" s="7"/>
      <c r="Q141" s="39">
        <v>16.489999999999998</v>
      </c>
      <c r="R141" s="38">
        <v>0.71430000000000005</v>
      </c>
      <c r="S141" s="40">
        <v>8</v>
      </c>
      <c r="T141" s="39">
        <v>0.45</v>
      </c>
      <c r="U141" s="39">
        <v>0.51</v>
      </c>
      <c r="V141" s="39">
        <v>2.4900000000000002</v>
      </c>
      <c r="W141" s="38">
        <v>0.89129999999999998</v>
      </c>
      <c r="X141" s="39">
        <v>9.6999999999999993</v>
      </c>
      <c r="Y141" s="41">
        <v>820194.75765514898</v>
      </c>
      <c r="Z141" s="39">
        <v>19607</v>
      </c>
      <c r="AA141" s="39">
        <v>9.4007764578294708</v>
      </c>
    </row>
    <row r="142" spans="1:27" s="22" customFormat="1" x14ac:dyDescent="0.25">
      <c r="A142" s="7" t="str">
        <f t="shared" si="2"/>
        <v>3523Providence Everett Medical Center111031661710, Med Tele Tower S 8</v>
      </c>
      <c r="B142" s="7"/>
      <c r="C142" s="29" t="s">
        <v>185</v>
      </c>
      <c r="D142" s="29" t="s">
        <v>1640</v>
      </c>
      <c r="E142" s="29" t="s">
        <v>186</v>
      </c>
      <c r="F142" s="29">
        <v>3523</v>
      </c>
      <c r="G142" s="4" t="s">
        <v>1641</v>
      </c>
      <c r="H142" s="5">
        <v>1110</v>
      </c>
      <c r="I142" s="4" t="s">
        <v>111</v>
      </c>
      <c r="J142" s="4" t="s">
        <v>23</v>
      </c>
      <c r="K142" s="4" t="s">
        <v>1693</v>
      </c>
      <c r="L142" s="4" t="s">
        <v>74</v>
      </c>
      <c r="M142" s="7"/>
      <c r="N142" s="39">
        <v>2244</v>
      </c>
      <c r="O142" s="38">
        <v>1</v>
      </c>
      <c r="P142" s="7"/>
      <c r="Q142" s="39">
        <v>7.13</v>
      </c>
      <c r="R142" s="38">
        <v>0</v>
      </c>
      <c r="S142" s="40">
        <v>9</v>
      </c>
      <c r="T142" s="39">
        <v>10.46</v>
      </c>
      <c r="U142" s="39">
        <v>11.67</v>
      </c>
      <c r="V142" s="39">
        <v>12.19</v>
      </c>
      <c r="W142" s="38">
        <v>0.93969999999999998</v>
      </c>
      <c r="X142" s="39">
        <v>8.19</v>
      </c>
      <c r="Y142" s="41">
        <v>-423723.61235080799</v>
      </c>
      <c r="Z142" s="39">
        <v>-10786</v>
      </c>
      <c r="AA142" s="39">
        <v>-5.1714207662245304</v>
      </c>
    </row>
    <row r="143" spans="1:27" s="22" customFormat="1" x14ac:dyDescent="0.25">
      <c r="A143" s="7" t="str">
        <f t="shared" si="2"/>
        <v>3523Providence Everett Medical Center581031682904, Social Services</v>
      </c>
      <c r="B143" s="7"/>
      <c r="C143" s="29" t="s">
        <v>185</v>
      </c>
      <c r="D143" s="29" t="s">
        <v>1640</v>
      </c>
      <c r="E143" s="29" t="s">
        <v>186</v>
      </c>
      <c r="F143" s="29">
        <v>3523</v>
      </c>
      <c r="G143" s="4" t="s">
        <v>1641</v>
      </c>
      <c r="H143" s="5">
        <v>5810</v>
      </c>
      <c r="I143" s="4" t="s">
        <v>133</v>
      </c>
      <c r="J143" s="4" t="s">
        <v>26</v>
      </c>
      <c r="K143" s="4" t="s">
        <v>1658</v>
      </c>
      <c r="L143" s="4" t="s">
        <v>134</v>
      </c>
      <c r="M143" s="39">
        <v>8152</v>
      </c>
      <c r="N143" s="39">
        <v>5729</v>
      </c>
      <c r="O143" s="38">
        <v>0.625</v>
      </c>
      <c r="P143" s="39">
        <v>1.68</v>
      </c>
      <c r="Q143" s="39">
        <v>2.44</v>
      </c>
      <c r="R143" s="38">
        <v>0.5</v>
      </c>
      <c r="S143" s="40">
        <v>9</v>
      </c>
      <c r="T143" s="39">
        <v>2</v>
      </c>
      <c r="U143" s="39">
        <v>2.15</v>
      </c>
      <c r="V143" s="39">
        <v>2.44</v>
      </c>
      <c r="W143" s="38">
        <v>0.90300000000000002</v>
      </c>
      <c r="X143" s="39">
        <v>7.45</v>
      </c>
      <c r="Y143" s="41">
        <v>75725.551189282094</v>
      </c>
      <c r="Z143" s="39">
        <v>1898</v>
      </c>
      <c r="AA143" s="39">
        <v>0.91000086758584997</v>
      </c>
    </row>
    <row r="144" spans="1:27" s="22" customFormat="1" x14ac:dyDescent="0.25">
      <c r="A144" s="7" t="str">
        <f t="shared" si="2"/>
        <v>3523Providence Everett Medical Center466531674291 Pre Admit-Phone Triage Clinic</v>
      </c>
      <c r="B144" s="7"/>
      <c r="C144" s="29" t="s">
        <v>185</v>
      </c>
      <c r="D144" s="29" t="s">
        <v>1640</v>
      </c>
      <c r="E144" s="29" t="s">
        <v>186</v>
      </c>
      <c r="F144" s="29">
        <v>3523</v>
      </c>
      <c r="G144" s="4" t="s">
        <v>1641</v>
      </c>
      <c r="H144" s="5">
        <v>4665</v>
      </c>
      <c r="I144" s="4" t="s">
        <v>192</v>
      </c>
      <c r="J144" s="4" t="s">
        <v>83</v>
      </c>
      <c r="K144" s="4" t="s">
        <v>1713</v>
      </c>
      <c r="L144" s="4" t="s">
        <v>77</v>
      </c>
      <c r="M144" s="39">
        <v>17601</v>
      </c>
      <c r="N144" s="39">
        <v>18811</v>
      </c>
      <c r="O144" s="38">
        <v>0.44440000000000002</v>
      </c>
      <c r="P144" s="39">
        <v>0.61</v>
      </c>
      <c r="Q144" s="39">
        <v>0.57999999999999996</v>
      </c>
      <c r="R144" s="38">
        <v>0</v>
      </c>
      <c r="S144" s="40">
        <v>10</v>
      </c>
      <c r="T144" s="39">
        <v>1.08</v>
      </c>
      <c r="U144" s="39">
        <v>1.24</v>
      </c>
      <c r="V144" s="39">
        <v>1.37</v>
      </c>
      <c r="W144" s="38">
        <v>0.85929999999999995</v>
      </c>
      <c r="X144" s="39">
        <v>6.14</v>
      </c>
      <c r="Y144" s="41">
        <v>-740554.462806931</v>
      </c>
      <c r="Z144" s="39">
        <v>-14339</v>
      </c>
      <c r="AA144" s="39">
        <v>-6.8747825292857598</v>
      </c>
    </row>
    <row r="145" spans="1:27" s="22" customFormat="1" x14ac:dyDescent="0.25">
      <c r="A145" s="7" t="str">
        <f t="shared" si="2"/>
        <v>3523Providence Everett Medical Center136031664200, Chemical Dependency</v>
      </c>
      <c r="B145" s="7"/>
      <c r="C145" s="29" t="s">
        <v>185</v>
      </c>
      <c r="D145" s="29" t="s">
        <v>1640</v>
      </c>
      <c r="E145" s="29" t="s">
        <v>186</v>
      </c>
      <c r="F145" s="29">
        <v>3523</v>
      </c>
      <c r="G145" s="4" t="s">
        <v>1641</v>
      </c>
      <c r="H145" s="5">
        <v>1360</v>
      </c>
      <c r="I145" s="4" t="s">
        <v>189</v>
      </c>
      <c r="J145" s="4" t="s">
        <v>23</v>
      </c>
      <c r="K145" s="4" t="s">
        <v>1705</v>
      </c>
      <c r="L145" s="4" t="s">
        <v>114</v>
      </c>
      <c r="M145" s="39">
        <v>4297</v>
      </c>
      <c r="N145" s="39">
        <v>3978</v>
      </c>
      <c r="O145" s="38">
        <v>0.55559999999999998</v>
      </c>
      <c r="P145" s="39">
        <v>4.9400000000000004</v>
      </c>
      <c r="Q145" s="39">
        <v>5.46</v>
      </c>
      <c r="R145" s="38">
        <v>0.125</v>
      </c>
      <c r="S145" s="40">
        <v>10</v>
      </c>
      <c r="T145" s="39">
        <v>6.44</v>
      </c>
      <c r="U145" s="39">
        <v>6.78</v>
      </c>
      <c r="V145" s="39">
        <v>7.45</v>
      </c>
      <c r="W145" s="38">
        <v>0.90990000000000004</v>
      </c>
      <c r="X145" s="39">
        <v>11.48</v>
      </c>
      <c r="Y145" s="41">
        <v>-274788.44513581001</v>
      </c>
      <c r="Z145" s="39">
        <v>-5698</v>
      </c>
      <c r="AA145" s="39">
        <v>-2.7317960525033498</v>
      </c>
    </row>
    <row r="146" spans="1:27" s="22" customFormat="1" x14ac:dyDescent="0.25">
      <c r="A146" s="7" t="str">
        <f t="shared" si="2"/>
        <v>3523Providence Everett Medical Center621031682901 Clinical Education</v>
      </c>
      <c r="B146" s="7"/>
      <c r="C146" s="29" t="s">
        <v>185</v>
      </c>
      <c r="D146" s="29" t="s">
        <v>1640</v>
      </c>
      <c r="E146" s="29" t="s">
        <v>186</v>
      </c>
      <c r="F146" s="29">
        <v>3523</v>
      </c>
      <c r="G146" s="4" t="s">
        <v>1641</v>
      </c>
      <c r="H146" s="5">
        <v>6210</v>
      </c>
      <c r="I146" s="4" t="s">
        <v>28</v>
      </c>
      <c r="J146" s="4" t="s">
        <v>21</v>
      </c>
      <c r="K146" s="4" t="s">
        <v>1663</v>
      </c>
      <c r="L146" s="4" t="s">
        <v>18</v>
      </c>
      <c r="M146" s="39">
        <v>50983.06</v>
      </c>
      <c r="N146" s="39">
        <v>46998.89</v>
      </c>
      <c r="O146" s="38">
        <v>0.77780000000000005</v>
      </c>
      <c r="P146" s="39">
        <v>0.27</v>
      </c>
      <c r="Q146" s="39">
        <v>0.38</v>
      </c>
      <c r="R146" s="38">
        <v>0.375</v>
      </c>
      <c r="S146" s="40">
        <v>10</v>
      </c>
      <c r="T146" s="39">
        <v>0.36</v>
      </c>
      <c r="U146" s="39">
        <v>0.38</v>
      </c>
      <c r="V146" s="39">
        <v>0.43</v>
      </c>
      <c r="W146" s="38">
        <v>0.88739999999999997</v>
      </c>
      <c r="X146" s="39">
        <v>9.76</v>
      </c>
      <c r="Y146" s="41">
        <v>11044.325390767201</v>
      </c>
      <c r="Z146" s="39">
        <v>231</v>
      </c>
      <c r="AA146" s="39">
        <v>0.110608389059346</v>
      </c>
    </row>
    <row r="147" spans="1:27" s="22" customFormat="1" x14ac:dyDescent="0.25">
      <c r="A147" s="7" t="str">
        <f t="shared" si="2"/>
        <v>3523Providence Everett Medical Center500131684500, Facility Services</v>
      </c>
      <c r="B147" s="7"/>
      <c r="C147" s="29" t="s">
        <v>185</v>
      </c>
      <c r="D147" s="29" t="s">
        <v>1640</v>
      </c>
      <c r="E147" s="29" t="s">
        <v>186</v>
      </c>
      <c r="F147" s="29">
        <v>3523</v>
      </c>
      <c r="G147" s="4" t="s">
        <v>1641</v>
      </c>
      <c r="H147" s="5">
        <v>5001</v>
      </c>
      <c r="I147" s="4" t="s">
        <v>141</v>
      </c>
      <c r="J147" s="4" t="s">
        <v>62</v>
      </c>
      <c r="K147" s="4" t="s">
        <v>1667</v>
      </c>
      <c r="L147" s="4" t="s">
        <v>63</v>
      </c>
      <c r="M147" s="39">
        <v>2931.56</v>
      </c>
      <c r="N147" s="39">
        <v>3183</v>
      </c>
      <c r="O147" s="38">
        <v>0.9</v>
      </c>
      <c r="P147" s="39">
        <v>25.63</v>
      </c>
      <c r="Q147" s="39">
        <v>21.38</v>
      </c>
      <c r="R147" s="38">
        <v>0.1111</v>
      </c>
      <c r="S147" s="40">
        <v>11</v>
      </c>
      <c r="T147" s="39">
        <v>22.63</v>
      </c>
      <c r="U147" s="39">
        <v>23.54</v>
      </c>
      <c r="V147" s="39">
        <v>24.97</v>
      </c>
      <c r="W147" s="38">
        <v>0.87560000000000004</v>
      </c>
      <c r="X147" s="39">
        <v>37.369999999999997</v>
      </c>
      <c r="Y147" s="41">
        <v>-224892.14986042099</v>
      </c>
      <c r="Z147" s="39">
        <v>-7631</v>
      </c>
      <c r="AA147" s="39">
        <v>-3.6584871160231298</v>
      </c>
    </row>
    <row r="148" spans="1:27" s="22" customFormat="1" x14ac:dyDescent="0.25">
      <c r="A148" s="7" t="str">
        <f t="shared" si="2"/>
        <v>3523Providence Everett Medical Center651031687100 Medical Staff Administration</v>
      </c>
      <c r="B148" s="7"/>
      <c r="C148" s="29" t="s">
        <v>185</v>
      </c>
      <c r="D148" s="29" t="s">
        <v>1640</v>
      </c>
      <c r="E148" s="29" t="s">
        <v>186</v>
      </c>
      <c r="F148" s="29">
        <v>3523</v>
      </c>
      <c r="G148" s="4" t="s">
        <v>1641</v>
      </c>
      <c r="H148" s="5">
        <v>6510</v>
      </c>
      <c r="I148" s="4" t="s">
        <v>19</v>
      </c>
      <c r="J148" s="4" t="s">
        <v>19</v>
      </c>
      <c r="K148" s="4" t="s">
        <v>1687</v>
      </c>
      <c r="L148" s="4" t="s">
        <v>20</v>
      </c>
      <c r="M148" s="39">
        <v>583</v>
      </c>
      <c r="N148" s="39">
        <v>604</v>
      </c>
      <c r="O148" s="38">
        <v>0.9</v>
      </c>
      <c r="P148" s="39">
        <v>13.55</v>
      </c>
      <c r="Q148" s="39">
        <v>12.84</v>
      </c>
      <c r="R148" s="38">
        <v>0.22220000000000001</v>
      </c>
      <c r="S148" s="40">
        <v>11</v>
      </c>
      <c r="T148" s="39">
        <v>15.3</v>
      </c>
      <c r="U148" s="39">
        <v>22.98</v>
      </c>
      <c r="V148" s="39">
        <v>25.23</v>
      </c>
      <c r="W148" s="38">
        <v>0.88880000000000003</v>
      </c>
      <c r="X148" s="39">
        <v>4.2</v>
      </c>
      <c r="Y148" s="41">
        <v>-210506.91945582401</v>
      </c>
      <c r="Z148" s="39">
        <v>-6857</v>
      </c>
      <c r="AA148" s="39">
        <v>-3.2874007034399599</v>
      </c>
    </row>
    <row r="149" spans="1:27" s="22" customFormat="1" x14ac:dyDescent="0.25">
      <c r="A149" s="7" t="str">
        <f t="shared" si="2"/>
        <v>3523Providence Everett Medical Center412031677300 Pulmonary Diagnostics</v>
      </c>
      <c r="B149" s="7"/>
      <c r="C149" s="29" t="s">
        <v>185</v>
      </c>
      <c r="D149" s="29" t="s">
        <v>1640</v>
      </c>
      <c r="E149" s="29" t="s">
        <v>186</v>
      </c>
      <c r="F149" s="29">
        <v>3523</v>
      </c>
      <c r="G149" s="4" t="s">
        <v>1641</v>
      </c>
      <c r="H149" s="5">
        <v>4120</v>
      </c>
      <c r="I149" s="4" t="s">
        <v>1112</v>
      </c>
      <c r="J149" s="4" t="s">
        <v>44</v>
      </c>
      <c r="K149" s="4" t="s">
        <v>1726</v>
      </c>
      <c r="L149" s="4" t="s">
        <v>45</v>
      </c>
      <c r="M149" s="39">
        <v>48981.16</v>
      </c>
      <c r="N149" s="39">
        <v>46318.15</v>
      </c>
      <c r="O149" s="38">
        <v>0.9</v>
      </c>
      <c r="P149" s="39">
        <v>0.1</v>
      </c>
      <c r="Q149" s="39">
        <v>0.11</v>
      </c>
      <c r="R149" s="38">
        <v>0.4</v>
      </c>
      <c r="S149" s="40">
        <v>11</v>
      </c>
      <c r="T149" s="39">
        <v>7.0000000000000007E-2</v>
      </c>
      <c r="U149" s="39">
        <v>0.1</v>
      </c>
      <c r="V149" s="39">
        <v>0.11</v>
      </c>
      <c r="W149" s="38">
        <v>0.9385</v>
      </c>
      <c r="X149" s="39">
        <v>2.58</v>
      </c>
      <c r="Y149" s="41">
        <v>17264.4373814303</v>
      </c>
      <c r="Z149" s="39">
        <v>446</v>
      </c>
      <c r="AA149" s="39">
        <v>0.21372570081644501</v>
      </c>
    </row>
    <row r="150" spans="1:27" s="22" customFormat="1" x14ac:dyDescent="0.25">
      <c r="A150" s="7" t="str">
        <f t="shared" si="2"/>
        <v>3523Providence Everett Medical Center441131695503, Valley View Pharmacy</v>
      </c>
      <c r="B150" s="7"/>
      <c r="C150" s="29" t="s">
        <v>185</v>
      </c>
      <c r="D150" s="29" t="s">
        <v>1640</v>
      </c>
      <c r="E150" s="29" t="s">
        <v>186</v>
      </c>
      <c r="F150" s="29">
        <v>3523</v>
      </c>
      <c r="G150" s="4" t="s">
        <v>1641</v>
      </c>
      <c r="H150" s="5">
        <v>4411</v>
      </c>
      <c r="I150" s="4" t="s">
        <v>154</v>
      </c>
      <c r="J150" s="4" t="s">
        <v>37</v>
      </c>
      <c r="K150" s="4" t="s">
        <v>1719</v>
      </c>
      <c r="L150" s="4" t="s">
        <v>155</v>
      </c>
      <c r="M150" s="39">
        <v>106978</v>
      </c>
      <c r="N150" s="39">
        <v>110557</v>
      </c>
      <c r="O150" s="38">
        <v>0.81820000000000004</v>
      </c>
      <c r="P150" s="39">
        <v>0.21</v>
      </c>
      <c r="Q150" s="39">
        <v>0.2</v>
      </c>
      <c r="R150" s="38">
        <v>0.18179999999999999</v>
      </c>
      <c r="S150" s="40">
        <v>12</v>
      </c>
      <c r="T150" s="39">
        <v>0.21</v>
      </c>
      <c r="U150" s="39">
        <v>0.22</v>
      </c>
      <c r="V150" s="39">
        <v>0.25</v>
      </c>
      <c r="W150" s="38">
        <v>0.9143</v>
      </c>
      <c r="X150" s="39">
        <v>11.68</v>
      </c>
      <c r="Y150" s="41">
        <v>-71265.738084627403</v>
      </c>
      <c r="Z150" s="39">
        <v>-2241</v>
      </c>
      <c r="AA150" s="39">
        <v>-1.0746447058956301</v>
      </c>
    </row>
    <row r="151" spans="1:27" s="22" customFormat="1" x14ac:dyDescent="0.25">
      <c r="A151" s="7" t="str">
        <f t="shared" si="2"/>
        <v>3523Providence Everett Medical Center637031686700 Volunteer Services</v>
      </c>
      <c r="B151" s="7"/>
      <c r="C151" s="29" t="s">
        <v>185</v>
      </c>
      <c r="D151" s="29" t="s">
        <v>1640</v>
      </c>
      <c r="E151" s="29" t="s">
        <v>186</v>
      </c>
      <c r="F151" s="29">
        <v>3523</v>
      </c>
      <c r="G151" s="4" t="s">
        <v>1641</v>
      </c>
      <c r="H151" s="5">
        <v>6370</v>
      </c>
      <c r="I151" s="4" t="s">
        <v>15</v>
      </c>
      <c r="J151" s="4" t="s">
        <v>16</v>
      </c>
      <c r="K151" s="4" t="s">
        <v>1662</v>
      </c>
      <c r="L151" s="4" t="s">
        <v>17</v>
      </c>
      <c r="M151" s="39">
        <v>750.64</v>
      </c>
      <c r="N151" s="39">
        <v>871.81</v>
      </c>
      <c r="O151" s="38">
        <v>0.81820000000000004</v>
      </c>
      <c r="P151" s="39">
        <v>6.97</v>
      </c>
      <c r="Q151" s="39">
        <v>5.85</v>
      </c>
      <c r="R151" s="38">
        <v>0.3</v>
      </c>
      <c r="S151" s="40">
        <v>12</v>
      </c>
      <c r="T151" s="39">
        <v>5.82</v>
      </c>
      <c r="U151" s="39">
        <v>7.3</v>
      </c>
      <c r="V151" s="39">
        <v>9.41</v>
      </c>
      <c r="W151" s="38">
        <v>0.90649999999999997</v>
      </c>
      <c r="X151" s="39">
        <v>2.7</v>
      </c>
      <c r="Y151" s="41">
        <v>-39250.015748940903</v>
      </c>
      <c r="Z151" s="39">
        <v>-1389</v>
      </c>
      <c r="AA151" s="39">
        <v>-0.66608483143733299</v>
      </c>
    </row>
    <row r="152" spans="1:27" s="22" customFormat="1" x14ac:dyDescent="0.25">
      <c r="A152" s="7" t="str">
        <f t="shared" si="2"/>
        <v>3523Providence Everett Medical Center441131695501, MOB Pharmacy</v>
      </c>
      <c r="B152" s="7"/>
      <c r="C152" s="29" t="s">
        <v>185</v>
      </c>
      <c r="D152" s="29" t="s">
        <v>1640</v>
      </c>
      <c r="E152" s="29" t="s">
        <v>186</v>
      </c>
      <c r="F152" s="29">
        <v>3523</v>
      </c>
      <c r="G152" s="4" t="s">
        <v>1641</v>
      </c>
      <c r="H152" s="5">
        <v>4411</v>
      </c>
      <c r="I152" s="4" t="s">
        <v>154</v>
      </c>
      <c r="J152" s="4" t="s">
        <v>37</v>
      </c>
      <c r="K152" s="4" t="s">
        <v>1718</v>
      </c>
      <c r="L152" s="4" t="s">
        <v>155</v>
      </c>
      <c r="M152" s="39">
        <v>46314</v>
      </c>
      <c r="N152" s="39">
        <v>50162</v>
      </c>
      <c r="O152" s="38">
        <v>0.63639999999999997</v>
      </c>
      <c r="P152" s="39">
        <v>0.22</v>
      </c>
      <c r="Q152" s="39">
        <v>0.2</v>
      </c>
      <c r="R152" s="38">
        <v>9.0899999999999995E-2</v>
      </c>
      <c r="S152" s="40">
        <v>12</v>
      </c>
      <c r="T152" s="39">
        <v>0.21</v>
      </c>
      <c r="U152" s="39">
        <v>0.22</v>
      </c>
      <c r="V152" s="39">
        <v>0.25</v>
      </c>
      <c r="W152" s="38">
        <v>0.86970000000000003</v>
      </c>
      <c r="X152" s="39">
        <v>5.53</v>
      </c>
      <c r="Y152" s="41">
        <v>-46536.219882260797</v>
      </c>
      <c r="Z152" s="39">
        <v>-1155</v>
      </c>
      <c r="AA152" s="39">
        <v>-0.55381799972368295</v>
      </c>
    </row>
    <row r="153" spans="1:27" s="22" customFormat="1" x14ac:dyDescent="0.25">
      <c r="A153" s="7" t="str">
        <f t="shared" si="2"/>
        <v>3523Providence Everett Medical Center441131677109, Pharmacy - Mill Creek</v>
      </c>
      <c r="B153" s="7"/>
      <c r="C153" s="29" t="s">
        <v>185</v>
      </c>
      <c r="D153" s="29" t="s">
        <v>1640</v>
      </c>
      <c r="E153" s="29" t="s">
        <v>186</v>
      </c>
      <c r="F153" s="29">
        <v>3523</v>
      </c>
      <c r="G153" s="4" t="s">
        <v>1641</v>
      </c>
      <c r="H153" s="5">
        <v>4411</v>
      </c>
      <c r="I153" s="4" t="s">
        <v>154</v>
      </c>
      <c r="J153" s="4" t="s">
        <v>37</v>
      </c>
      <c r="K153" s="4" t="s">
        <v>1717</v>
      </c>
      <c r="L153" s="4" t="s">
        <v>155</v>
      </c>
      <c r="M153" s="39">
        <v>35676</v>
      </c>
      <c r="N153" s="39">
        <v>35775</v>
      </c>
      <c r="O153" s="38">
        <v>0.45450000000000002</v>
      </c>
      <c r="P153" s="39">
        <v>0.21</v>
      </c>
      <c r="Q153" s="39">
        <v>0.21</v>
      </c>
      <c r="R153" s="38">
        <v>0.2727</v>
      </c>
      <c r="S153" s="40">
        <v>12</v>
      </c>
      <c r="T153" s="39">
        <v>0.21</v>
      </c>
      <c r="U153" s="39">
        <v>0.22</v>
      </c>
      <c r="V153" s="39">
        <v>0.25</v>
      </c>
      <c r="W153" s="38">
        <v>0.94210000000000005</v>
      </c>
      <c r="X153" s="39">
        <v>3.84</v>
      </c>
      <c r="Y153" s="41">
        <v>-13734.681407025</v>
      </c>
      <c r="Z153" s="39">
        <v>-345</v>
      </c>
      <c r="AA153" s="39">
        <v>-0.165469953842869</v>
      </c>
    </row>
    <row r="154" spans="1:27" s="22" customFormat="1" x14ac:dyDescent="0.25">
      <c r="A154" s="7" t="str">
        <f t="shared" si="2"/>
        <v>3523Providence Everett Medical Center424131675930, Cardiac Rehabilitation</v>
      </c>
      <c r="B154" s="7"/>
      <c r="C154" s="29" t="s">
        <v>185</v>
      </c>
      <c r="D154" s="29" t="s">
        <v>1640</v>
      </c>
      <c r="E154" s="29" t="s">
        <v>186</v>
      </c>
      <c r="F154" s="29">
        <v>3523</v>
      </c>
      <c r="G154" s="4" t="s">
        <v>1641</v>
      </c>
      <c r="H154" s="5">
        <v>4241</v>
      </c>
      <c r="I154" s="4" t="s">
        <v>178</v>
      </c>
      <c r="J154" s="4" t="s">
        <v>60</v>
      </c>
      <c r="K154" s="4" t="s">
        <v>1656</v>
      </c>
      <c r="L154" s="4" t="s">
        <v>77</v>
      </c>
      <c r="M154" s="39">
        <v>6004</v>
      </c>
      <c r="N154" s="39">
        <v>7074</v>
      </c>
      <c r="O154" s="38">
        <v>0.36359999999999998</v>
      </c>
      <c r="P154" s="7"/>
      <c r="Q154" s="39">
        <v>1.1599999999999999</v>
      </c>
      <c r="R154" s="38">
        <v>0.66669999999999996</v>
      </c>
      <c r="S154" s="40">
        <v>12</v>
      </c>
      <c r="T154" s="39">
        <v>0.75</v>
      </c>
      <c r="U154" s="39">
        <v>0.8</v>
      </c>
      <c r="V154" s="39">
        <v>0.97</v>
      </c>
      <c r="W154" s="38">
        <v>0.93779999999999997</v>
      </c>
      <c r="X154" s="39">
        <v>4.21</v>
      </c>
      <c r="Y154" s="41">
        <v>98233.277722940606</v>
      </c>
      <c r="Z154" s="39">
        <v>2746</v>
      </c>
      <c r="AA154" s="39">
        <v>1.3167032917783901</v>
      </c>
    </row>
    <row r="155" spans="1:27" s="22" customFormat="1" x14ac:dyDescent="0.25">
      <c r="A155" s="7" t="str">
        <f t="shared" si="2"/>
        <v>3523Providence Everett Medical Center222231672208, O/P Chemical Dependency - Paci</v>
      </c>
      <c r="B155" s="7"/>
      <c r="C155" s="29" t="s">
        <v>185</v>
      </c>
      <c r="D155" s="29" t="s">
        <v>1640</v>
      </c>
      <c r="E155" s="29" t="s">
        <v>186</v>
      </c>
      <c r="F155" s="29">
        <v>3523</v>
      </c>
      <c r="G155" s="4" t="s">
        <v>1641</v>
      </c>
      <c r="H155" s="5">
        <v>2222</v>
      </c>
      <c r="I155" s="4" t="s">
        <v>179</v>
      </c>
      <c r="J155" s="4" t="s">
        <v>176</v>
      </c>
      <c r="K155" s="4" t="s">
        <v>1645</v>
      </c>
      <c r="L155" s="4" t="s">
        <v>77</v>
      </c>
      <c r="M155" s="39">
        <v>9200</v>
      </c>
      <c r="N155" s="39">
        <v>9219</v>
      </c>
      <c r="O155" s="38">
        <v>0.75</v>
      </c>
      <c r="P155" s="39">
        <v>0.69</v>
      </c>
      <c r="Q155" s="39">
        <v>0.59</v>
      </c>
      <c r="R155" s="38">
        <v>0</v>
      </c>
      <c r="S155" s="40">
        <v>13</v>
      </c>
      <c r="T155" s="39">
        <v>1.22</v>
      </c>
      <c r="U155" s="39">
        <v>1.49</v>
      </c>
      <c r="V155" s="39">
        <v>1.89</v>
      </c>
      <c r="W155" s="38">
        <v>0.90620000000000001</v>
      </c>
      <c r="X155" s="39">
        <v>2.91</v>
      </c>
      <c r="Y155" s="41">
        <v>-278563.74780001002</v>
      </c>
      <c r="Z155" s="39">
        <v>-9089</v>
      </c>
      <c r="AA155" s="39">
        <v>-4.3576530170179604</v>
      </c>
    </row>
    <row r="156" spans="1:27" s="22" customFormat="1" x14ac:dyDescent="0.25">
      <c r="A156" s="7" t="str">
        <f t="shared" si="2"/>
        <v>3523Providence Everett Medical Center183031661711, Central Monitoring Unit (U)</v>
      </c>
      <c r="B156" s="7"/>
      <c r="C156" s="29" t="s">
        <v>185</v>
      </c>
      <c r="D156" s="29" t="s">
        <v>1640</v>
      </c>
      <c r="E156" s="29" t="s">
        <v>186</v>
      </c>
      <c r="F156" s="29">
        <v>3523</v>
      </c>
      <c r="G156" s="4" t="s">
        <v>1641</v>
      </c>
      <c r="H156" s="5">
        <v>1830</v>
      </c>
      <c r="I156" s="4" t="s">
        <v>22</v>
      </c>
      <c r="J156" s="4" t="s">
        <v>23</v>
      </c>
      <c r="K156" s="4" t="s">
        <v>1709</v>
      </c>
      <c r="L156" s="4" t="s">
        <v>24</v>
      </c>
      <c r="M156" s="39">
        <v>51174</v>
      </c>
      <c r="N156" s="39">
        <v>51740</v>
      </c>
      <c r="O156" s="38">
        <v>0.80869999999999997</v>
      </c>
      <c r="P156" s="39">
        <v>0.37</v>
      </c>
      <c r="Q156" s="39">
        <v>0.4</v>
      </c>
      <c r="R156" s="38">
        <v>2.1399999999999999E-2</v>
      </c>
      <c r="S156" s="40">
        <v>13</v>
      </c>
      <c r="T156" s="39">
        <v>0.49</v>
      </c>
      <c r="U156" s="39">
        <v>0.51</v>
      </c>
      <c r="V156" s="39">
        <v>0.55000000000000004</v>
      </c>
      <c r="W156" s="38">
        <v>0.96640000000000004</v>
      </c>
      <c r="X156" s="39">
        <v>10.24</v>
      </c>
      <c r="Y156" s="41">
        <v>-201937.27601072899</v>
      </c>
      <c r="Z156" s="39">
        <v>-5947</v>
      </c>
      <c r="AA156" s="39">
        <v>-2.85145261314273</v>
      </c>
    </row>
    <row r="157" spans="1:27" s="22" customFormat="1" x14ac:dyDescent="0.25">
      <c r="A157" s="7" t="str">
        <f t="shared" si="2"/>
        <v>3523Providence Everett Medical Center633031690300 Foundation</v>
      </c>
      <c r="B157" s="7"/>
      <c r="C157" s="29" t="s">
        <v>185</v>
      </c>
      <c r="D157" s="29" t="s">
        <v>1640</v>
      </c>
      <c r="E157" s="29" t="s">
        <v>186</v>
      </c>
      <c r="F157" s="29">
        <v>3523</v>
      </c>
      <c r="G157" s="4" t="s">
        <v>1641</v>
      </c>
      <c r="H157" s="5">
        <v>6330</v>
      </c>
      <c r="I157" s="4" t="s">
        <v>169</v>
      </c>
      <c r="J157" s="4" t="s">
        <v>16</v>
      </c>
      <c r="K157" s="4" t="s">
        <v>1661</v>
      </c>
      <c r="L157" s="4" t="s">
        <v>170</v>
      </c>
      <c r="M157" s="7"/>
      <c r="N157" s="39">
        <v>727.97</v>
      </c>
      <c r="O157" s="38">
        <v>1</v>
      </c>
      <c r="P157" s="7"/>
      <c r="Q157" s="39">
        <v>13.83</v>
      </c>
      <c r="R157" s="38">
        <v>0.25</v>
      </c>
      <c r="S157" s="40">
        <v>13</v>
      </c>
      <c r="T157" s="39">
        <v>13.83</v>
      </c>
      <c r="U157" s="39">
        <v>14.77</v>
      </c>
      <c r="V157" s="39">
        <v>22.68</v>
      </c>
      <c r="W157" s="38">
        <v>0.87429999999999997</v>
      </c>
      <c r="X157" s="39">
        <v>5.54</v>
      </c>
      <c r="Y157" s="41">
        <v>-32349.850573748899</v>
      </c>
      <c r="Z157" s="39">
        <v>-743</v>
      </c>
      <c r="AA157" s="39">
        <v>-0.356328320267568</v>
      </c>
    </row>
    <row r="158" spans="1:27" s="22" customFormat="1" x14ac:dyDescent="0.25">
      <c r="A158" s="7" t="str">
        <f t="shared" si="2"/>
        <v>3523Providence Everett Medical Center487231677709 Therapy OutPatient</v>
      </c>
      <c r="B158" s="7"/>
      <c r="C158" s="29" t="s">
        <v>185</v>
      </c>
      <c r="D158" s="29" t="s">
        <v>1640</v>
      </c>
      <c r="E158" s="29" t="s">
        <v>186</v>
      </c>
      <c r="F158" s="29">
        <v>3523</v>
      </c>
      <c r="G158" s="4" t="s">
        <v>1641</v>
      </c>
      <c r="H158" s="5">
        <v>4872</v>
      </c>
      <c r="I158" s="4" t="s">
        <v>197</v>
      </c>
      <c r="J158" s="4" t="s">
        <v>41</v>
      </c>
      <c r="K158" s="4" t="s">
        <v>1724</v>
      </c>
      <c r="L158" s="4" t="s">
        <v>79</v>
      </c>
      <c r="M158" s="39">
        <v>644.13</v>
      </c>
      <c r="N158" s="39">
        <v>575.6</v>
      </c>
      <c r="O158" s="38">
        <v>0.25</v>
      </c>
      <c r="P158" s="39">
        <v>17.97</v>
      </c>
      <c r="Q158" s="39">
        <v>19.739999999999998</v>
      </c>
      <c r="R158" s="38">
        <v>0.15379999999999999</v>
      </c>
      <c r="S158" s="40">
        <v>13</v>
      </c>
      <c r="T158" s="39">
        <v>19.920000000000002</v>
      </c>
      <c r="U158" s="39">
        <v>20.399999999999999</v>
      </c>
      <c r="V158" s="39">
        <v>21.58</v>
      </c>
      <c r="W158" s="38">
        <v>0.85660000000000003</v>
      </c>
      <c r="X158" s="39">
        <v>6.38</v>
      </c>
      <c r="Y158" s="41">
        <v>-16978.508729467299</v>
      </c>
      <c r="Z158" s="39">
        <v>-401</v>
      </c>
      <c r="AA158" s="39">
        <v>-0.19235542459721999</v>
      </c>
    </row>
    <row r="159" spans="1:27" s="22" customFormat="1" x14ac:dyDescent="0.25">
      <c r="A159" s="7" t="str">
        <f t="shared" si="2"/>
        <v>3523Providence Everett Medical Center464031672320 Infusion Srv</v>
      </c>
      <c r="B159" s="7"/>
      <c r="C159" s="29" t="s">
        <v>185</v>
      </c>
      <c r="D159" s="29" t="s">
        <v>1640</v>
      </c>
      <c r="E159" s="29" t="s">
        <v>186</v>
      </c>
      <c r="F159" s="29">
        <v>3523</v>
      </c>
      <c r="G159" s="4" t="s">
        <v>1641</v>
      </c>
      <c r="H159" s="5">
        <v>4640</v>
      </c>
      <c r="I159" s="4" t="s">
        <v>82</v>
      </c>
      <c r="J159" s="4" t="s">
        <v>83</v>
      </c>
      <c r="K159" s="4" t="s">
        <v>1712</v>
      </c>
      <c r="L159" s="4" t="s">
        <v>84</v>
      </c>
      <c r="M159" s="39">
        <v>7005</v>
      </c>
      <c r="N159" s="39">
        <v>11051</v>
      </c>
      <c r="O159" s="38">
        <v>0.41670000000000001</v>
      </c>
      <c r="P159" s="39">
        <v>2.31</v>
      </c>
      <c r="Q159" s="39">
        <v>1.64</v>
      </c>
      <c r="R159" s="38">
        <v>0.5</v>
      </c>
      <c r="S159" s="40">
        <v>13</v>
      </c>
      <c r="T159" s="39">
        <v>1.08</v>
      </c>
      <c r="U159" s="39">
        <v>1.46</v>
      </c>
      <c r="V159" s="39">
        <v>1.64</v>
      </c>
      <c r="W159" s="38">
        <v>0.87660000000000005</v>
      </c>
      <c r="X159" s="39">
        <v>9.93</v>
      </c>
      <c r="Y159" s="41">
        <v>114071.92272618999</v>
      </c>
      <c r="Z159" s="39">
        <v>2305</v>
      </c>
      <c r="AA159" s="39">
        <v>1.10527608417809</v>
      </c>
    </row>
    <row r="160" spans="1:27" s="22" customFormat="1" x14ac:dyDescent="0.25">
      <c r="A160" s="7" t="str">
        <f t="shared" si="2"/>
        <v>3523Providence Everett Medical Center227531662908, Childrens Center</v>
      </c>
      <c r="B160" s="7"/>
      <c r="C160" s="29" t="s">
        <v>185</v>
      </c>
      <c r="D160" s="29" t="s">
        <v>1640</v>
      </c>
      <c r="E160" s="29" t="s">
        <v>186</v>
      </c>
      <c r="F160" s="29">
        <v>3523</v>
      </c>
      <c r="G160" s="4" t="s">
        <v>1641</v>
      </c>
      <c r="H160" s="5">
        <v>2275</v>
      </c>
      <c r="I160" s="4" t="s">
        <v>1650</v>
      </c>
      <c r="J160" s="4" t="s">
        <v>176</v>
      </c>
      <c r="K160" s="4" t="s">
        <v>1651</v>
      </c>
      <c r="L160" s="4" t="s">
        <v>77</v>
      </c>
      <c r="M160" s="39">
        <v>23211</v>
      </c>
      <c r="N160" s="39">
        <v>29103</v>
      </c>
      <c r="O160" s="38">
        <v>0.91669999999999996</v>
      </c>
      <c r="P160" s="39">
        <v>1.35</v>
      </c>
      <c r="Q160" s="39">
        <v>0.98</v>
      </c>
      <c r="R160" s="38">
        <v>0.5</v>
      </c>
      <c r="S160" s="40">
        <v>13</v>
      </c>
      <c r="T160" s="39">
        <v>0.74</v>
      </c>
      <c r="U160" s="39">
        <v>0.82</v>
      </c>
      <c r="V160" s="39">
        <v>0.98</v>
      </c>
      <c r="W160" s="38">
        <v>0.87129999999999996</v>
      </c>
      <c r="X160" s="39">
        <v>15.79</v>
      </c>
      <c r="Y160" s="41">
        <v>203951.14477199901</v>
      </c>
      <c r="Z160" s="39">
        <v>5544</v>
      </c>
      <c r="AA160" s="39">
        <v>2.6579642453430998</v>
      </c>
    </row>
    <row r="161" spans="1:27" s="22" customFormat="1" x14ac:dyDescent="0.25">
      <c r="A161" s="7" t="str">
        <f t="shared" si="2"/>
        <v>3523Providence Everett Medical Center582031684805, Utilization Management</v>
      </c>
      <c r="B161" s="7"/>
      <c r="C161" s="29" t="s">
        <v>185</v>
      </c>
      <c r="D161" s="29" t="s">
        <v>1640</v>
      </c>
      <c r="E161" s="29" t="s">
        <v>186</v>
      </c>
      <c r="F161" s="29">
        <v>3523</v>
      </c>
      <c r="G161" s="4" t="s">
        <v>1641</v>
      </c>
      <c r="H161" s="5">
        <v>5820</v>
      </c>
      <c r="I161" s="4" t="s">
        <v>1594</v>
      </c>
      <c r="J161" s="4" t="s">
        <v>26</v>
      </c>
      <c r="K161" s="4" t="s">
        <v>1659</v>
      </c>
      <c r="L161" s="4" t="s">
        <v>1596</v>
      </c>
      <c r="M161" s="39">
        <v>41577</v>
      </c>
      <c r="N161" s="39">
        <v>50302</v>
      </c>
      <c r="O161" s="38">
        <v>0.91669999999999996</v>
      </c>
      <c r="P161" s="39">
        <v>0.5</v>
      </c>
      <c r="Q161" s="39">
        <v>0.65</v>
      </c>
      <c r="R161" s="38">
        <v>0.45450000000000002</v>
      </c>
      <c r="S161" s="40">
        <v>13</v>
      </c>
      <c r="T161" s="39">
        <v>0.47</v>
      </c>
      <c r="U161" s="39">
        <v>0.5</v>
      </c>
      <c r="V161" s="39">
        <v>0.69</v>
      </c>
      <c r="W161" s="38">
        <v>0.90229999999999999</v>
      </c>
      <c r="X161" s="39">
        <v>17.45</v>
      </c>
      <c r="Y161" s="41">
        <v>403115.01793201402</v>
      </c>
      <c r="Z161" s="39">
        <v>8521</v>
      </c>
      <c r="AA161" s="39">
        <v>4.0855078970088297</v>
      </c>
    </row>
    <row r="162" spans="1:27" s="22" customFormat="1" x14ac:dyDescent="0.25">
      <c r="A162" s="7" t="str">
        <f t="shared" si="2"/>
        <v>3523Providence Everett Medical Center553031684700 Communications</v>
      </c>
      <c r="B162" s="7"/>
      <c r="C162" s="29" t="s">
        <v>185</v>
      </c>
      <c r="D162" s="29" t="s">
        <v>1640</v>
      </c>
      <c r="E162" s="29" t="s">
        <v>186</v>
      </c>
      <c r="F162" s="29">
        <v>3523</v>
      </c>
      <c r="G162" s="4" t="s">
        <v>1641</v>
      </c>
      <c r="H162" s="5">
        <v>5530</v>
      </c>
      <c r="I162" s="4" t="s">
        <v>144</v>
      </c>
      <c r="J162" s="4" t="s">
        <v>68</v>
      </c>
      <c r="K162" s="4" t="s">
        <v>1684</v>
      </c>
      <c r="L162" s="4" t="s">
        <v>18</v>
      </c>
      <c r="M162" s="39">
        <v>50983.06</v>
      </c>
      <c r="N162" s="39">
        <v>46998.89</v>
      </c>
      <c r="O162" s="38">
        <v>1</v>
      </c>
      <c r="P162" s="39">
        <v>0.35</v>
      </c>
      <c r="Q162" s="39">
        <v>0.38</v>
      </c>
      <c r="R162" s="38">
        <v>8.3299999999999999E-2</v>
      </c>
      <c r="S162" s="40">
        <v>14</v>
      </c>
      <c r="T162" s="39">
        <v>0.46</v>
      </c>
      <c r="U162" s="39">
        <v>0.48</v>
      </c>
      <c r="V162" s="39">
        <v>0.56999999999999995</v>
      </c>
      <c r="W162" s="38">
        <v>0.88780000000000003</v>
      </c>
      <c r="X162" s="39">
        <v>9.74</v>
      </c>
      <c r="Y162" s="41">
        <v>-96608.554273748494</v>
      </c>
      <c r="Z162" s="39">
        <v>-5096</v>
      </c>
      <c r="AA162" s="39">
        <v>-2.44321354816576</v>
      </c>
    </row>
    <row r="163" spans="1:27" s="22" customFormat="1" x14ac:dyDescent="0.25">
      <c r="A163" s="7" t="str">
        <f t="shared" si="2"/>
        <v>3523Providence Everett Medical Center487131677708 Therapy Rehab</v>
      </c>
      <c r="B163" s="7"/>
      <c r="C163" s="29" t="s">
        <v>185</v>
      </c>
      <c r="D163" s="29" t="s">
        <v>1640</v>
      </c>
      <c r="E163" s="29" t="s">
        <v>186</v>
      </c>
      <c r="F163" s="29">
        <v>3523</v>
      </c>
      <c r="G163" s="4" t="s">
        <v>1641</v>
      </c>
      <c r="H163" s="5">
        <v>4871</v>
      </c>
      <c r="I163" s="4" t="s">
        <v>196</v>
      </c>
      <c r="J163" s="4" t="s">
        <v>41</v>
      </c>
      <c r="K163" s="4" t="s">
        <v>1723</v>
      </c>
      <c r="L163" s="4" t="s">
        <v>79</v>
      </c>
      <c r="M163" s="39">
        <v>910.28</v>
      </c>
      <c r="N163" s="39">
        <v>720.35</v>
      </c>
      <c r="O163" s="38">
        <v>1</v>
      </c>
      <c r="P163" s="39">
        <v>19</v>
      </c>
      <c r="Q163" s="39">
        <v>25.79</v>
      </c>
      <c r="R163" s="38">
        <v>0.33329999999999999</v>
      </c>
      <c r="S163" s="40">
        <v>14</v>
      </c>
      <c r="T163" s="39">
        <v>24.92</v>
      </c>
      <c r="U163" s="39">
        <v>25.82</v>
      </c>
      <c r="V163" s="39">
        <v>27.79</v>
      </c>
      <c r="W163" s="38">
        <v>0.91739999999999999</v>
      </c>
      <c r="X163" s="39">
        <v>9.74</v>
      </c>
      <c r="Y163" s="41">
        <v>1605.82636351254</v>
      </c>
      <c r="Z163" s="39">
        <v>41</v>
      </c>
      <c r="AA163" s="39">
        <v>1.9486192370880701E-2</v>
      </c>
    </row>
    <row r="164" spans="1:27" s="22" customFormat="1" x14ac:dyDescent="0.25">
      <c r="A164" s="7" t="str">
        <f t="shared" si="2"/>
        <v>3523Providence Everett Medical Center307031674701, Sterile Processing</v>
      </c>
      <c r="B164" s="7"/>
      <c r="C164" s="29" t="s">
        <v>185</v>
      </c>
      <c r="D164" s="29" t="s">
        <v>1640</v>
      </c>
      <c r="E164" s="29" t="s">
        <v>186</v>
      </c>
      <c r="F164" s="29">
        <v>3523</v>
      </c>
      <c r="G164" s="4" t="s">
        <v>1641</v>
      </c>
      <c r="H164" s="5">
        <v>3070</v>
      </c>
      <c r="I164" s="4" t="s">
        <v>91</v>
      </c>
      <c r="J164" s="4" t="s">
        <v>47</v>
      </c>
      <c r="K164" s="4" t="s">
        <v>1731</v>
      </c>
      <c r="L164" s="4" t="s">
        <v>92</v>
      </c>
      <c r="M164" s="39">
        <v>3950.17</v>
      </c>
      <c r="N164" s="39">
        <v>4252.42</v>
      </c>
      <c r="O164" s="38">
        <v>0.69230000000000003</v>
      </c>
      <c r="P164" s="39">
        <v>12.48</v>
      </c>
      <c r="Q164" s="39">
        <v>12.76</v>
      </c>
      <c r="R164" s="38">
        <v>0.36359999999999998</v>
      </c>
      <c r="S164" s="40">
        <v>14</v>
      </c>
      <c r="T164" s="39">
        <v>10.9</v>
      </c>
      <c r="U164" s="39">
        <v>12.5</v>
      </c>
      <c r="V164" s="39">
        <v>13.62</v>
      </c>
      <c r="W164" s="38">
        <v>0.90810000000000002</v>
      </c>
      <c r="X164" s="39">
        <v>28.73</v>
      </c>
      <c r="Y164" s="41">
        <v>33592.764685835798</v>
      </c>
      <c r="Z164" s="39">
        <v>1388</v>
      </c>
      <c r="AA164" s="39">
        <v>0.66528422607193605</v>
      </c>
    </row>
    <row r="165" spans="1:27" s="22" customFormat="1" x14ac:dyDescent="0.25">
      <c r="A165" s="7" t="str">
        <f t="shared" si="2"/>
        <v>3523Providence Everett Medical Center342031676800, Ct Scan</v>
      </c>
      <c r="B165" s="7"/>
      <c r="C165" s="29" t="s">
        <v>185</v>
      </c>
      <c r="D165" s="29" t="s">
        <v>1640</v>
      </c>
      <c r="E165" s="29" t="s">
        <v>186</v>
      </c>
      <c r="F165" s="29">
        <v>3523</v>
      </c>
      <c r="G165" s="4" t="s">
        <v>1641</v>
      </c>
      <c r="H165" s="5">
        <v>3420</v>
      </c>
      <c r="I165" s="4" t="s">
        <v>123</v>
      </c>
      <c r="J165" s="4" t="s">
        <v>57</v>
      </c>
      <c r="K165" s="4" t="s">
        <v>1675</v>
      </c>
      <c r="L165" s="4" t="s">
        <v>99</v>
      </c>
      <c r="M165" s="39">
        <v>137493.78</v>
      </c>
      <c r="N165" s="39">
        <v>134533.85</v>
      </c>
      <c r="O165" s="38">
        <v>0.69230000000000003</v>
      </c>
      <c r="P165" s="39">
        <v>0.25</v>
      </c>
      <c r="Q165" s="39">
        <v>0.27</v>
      </c>
      <c r="R165" s="38">
        <v>0.53849999999999998</v>
      </c>
      <c r="S165" s="40">
        <v>14</v>
      </c>
      <c r="T165" s="39">
        <v>0.21</v>
      </c>
      <c r="U165" s="39">
        <v>0.21</v>
      </c>
      <c r="V165" s="39">
        <v>0.26</v>
      </c>
      <c r="W165" s="38">
        <v>0.88629999999999998</v>
      </c>
      <c r="X165" s="39">
        <v>19.71</v>
      </c>
      <c r="Y165" s="41">
        <v>391330.95514378801</v>
      </c>
      <c r="Z165" s="39">
        <v>9233</v>
      </c>
      <c r="AA165" s="39">
        <v>4.4266599900135004</v>
      </c>
    </row>
    <row r="166" spans="1:27" s="22" customFormat="1" x14ac:dyDescent="0.25">
      <c r="A166" s="7" t="str">
        <f t="shared" si="2"/>
        <v>3523Providence Everett Medical Center591031684200, Security &amp; Safety</v>
      </c>
      <c r="B166" s="7"/>
      <c r="C166" s="29" t="s">
        <v>185</v>
      </c>
      <c r="D166" s="29" t="s">
        <v>1640</v>
      </c>
      <c r="E166" s="29" t="s">
        <v>186</v>
      </c>
      <c r="F166" s="29">
        <v>3523</v>
      </c>
      <c r="G166" s="4" t="s">
        <v>1641</v>
      </c>
      <c r="H166" s="5">
        <v>5910</v>
      </c>
      <c r="I166" s="4" t="s">
        <v>139</v>
      </c>
      <c r="J166" s="4" t="s">
        <v>136</v>
      </c>
      <c r="K166" s="4" t="s">
        <v>1714</v>
      </c>
      <c r="L166" s="4" t="s">
        <v>140</v>
      </c>
      <c r="M166" s="39">
        <v>3183.44</v>
      </c>
      <c r="N166" s="39">
        <v>3183.44</v>
      </c>
      <c r="O166" s="38">
        <v>0.23080000000000001</v>
      </c>
      <c r="P166" s="39">
        <v>18.21</v>
      </c>
      <c r="Q166" s="39">
        <v>21.75</v>
      </c>
      <c r="R166" s="38">
        <v>0.84619999999999995</v>
      </c>
      <c r="S166" s="40">
        <v>14</v>
      </c>
      <c r="T166" s="39">
        <v>9.8800000000000008</v>
      </c>
      <c r="U166" s="39">
        <v>10.38</v>
      </c>
      <c r="V166" s="39">
        <v>13.2</v>
      </c>
      <c r="W166" s="38">
        <v>0.90690000000000004</v>
      </c>
      <c r="X166" s="39">
        <v>36.71</v>
      </c>
      <c r="Y166" s="41">
        <v>978537.23575206404</v>
      </c>
      <c r="Z166" s="39">
        <v>40130</v>
      </c>
      <c r="AA166" s="39">
        <v>19.240407309760499</v>
      </c>
    </row>
    <row r="167" spans="1:27" s="22" customFormat="1" x14ac:dyDescent="0.25">
      <c r="A167" s="7" t="str">
        <f t="shared" si="2"/>
        <v>3523Providence Everett Medical Center224131670703 Anticoag Clinic</v>
      </c>
      <c r="B167" s="7"/>
      <c r="C167" s="29" t="s">
        <v>185</v>
      </c>
      <c r="D167" s="29" t="s">
        <v>1640</v>
      </c>
      <c r="E167" s="29" t="s">
        <v>186</v>
      </c>
      <c r="F167" s="29">
        <v>3523</v>
      </c>
      <c r="G167" s="4" t="s">
        <v>1641</v>
      </c>
      <c r="H167" s="5">
        <v>2241</v>
      </c>
      <c r="I167" s="4" t="s">
        <v>190</v>
      </c>
      <c r="J167" s="4" t="s">
        <v>176</v>
      </c>
      <c r="K167" s="4" t="s">
        <v>1646</v>
      </c>
      <c r="L167" s="4" t="s">
        <v>77</v>
      </c>
      <c r="M167" s="39">
        <v>17837</v>
      </c>
      <c r="N167" s="39">
        <v>47851</v>
      </c>
      <c r="O167" s="7"/>
      <c r="P167" s="39">
        <v>0.54</v>
      </c>
      <c r="Q167" s="39">
        <v>0.35</v>
      </c>
      <c r="R167" s="38">
        <v>0</v>
      </c>
      <c r="S167" s="40">
        <v>15</v>
      </c>
      <c r="T167" s="39">
        <v>0.78</v>
      </c>
      <c r="U167" s="39">
        <v>0.84</v>
      </c>
      <c r="V167" s="39">
        <v>1.87</v>
      </c>
      <c r="W167" s="38">
        <v>0.93469999999999998</v>
      </c>
      <c r="X167" s="39">
        <v>8.57</v>
      </c>
      <c r="Y167" s="41">
        <v>-1299882.7495887899</v>
      </c>
      <c r="Z167" s="39">
        <v>-25129</v>
      </c>
      <c r="AA167" s="39">
        <v>-12.047985051467901</v>
      </c>
    </row>
    <row r="168" spans="1:27" s="22" customFormat="1" x14ac:dyDescent="0.25">
      <c r="A168" s="7" t="str">
        <f t="shared" si="2"/>
        <v>3523Providence Everett Medical Center347031676709, Ultrasound - Mill Creek</v>
      </c>
      <c r="B168" s="7"/>
      <c r="C168" s="29" t="s">
        <v>185</v>
      </c>
      <c r="D168" s="29" t="s">
        <v>1640</v>
      </c>
      <c r="E168" s="29" t="s">
        <v>186</v>
      </c>
      <c r="F168" s="29">
        <v>3523</v>
      </c>
      <c r="G168" s="4" t="s">
        <v>1641</v>
      </c>
      <c r="H168" s="5">
        <v>3470</v>
      </c>
      <c r="I168" s="4" t="s">
        <v>195</v>
      </c>
      <c r="J168" s="4" t="s">
        <v>57</v>
      </c>
      <c r="K168" s="4" t="s">
        <v>1682</v>
      </c>
      <c r="L168" s="4" t="s">
        <v>99</v>
      </c>
      <c r="M168" s="39">
        <v>2472.81</v>
      </c>
      <c r="N168" s="39">
        <v>2776.63</v>
      </c>
      <c r="O168" s="38">
        <v>0.71430000000000005</v>
      </c>
      <c r="P168" s="39">
        <v>1.84</v>
      </c>
      <c r="Q168" s="39">
        <v>1.63</v>
      </c>
      <c r="R168" s="38">
        <v>0.375</v>
      </c>
      <c r="S168" s="40">
        <v>15</v>
      </c>
      <c r="T168" s="39">
        <v>0.49</v>
      </c>
      <c r="U168" s="39">
        <v>1.6</v>
      </c>
      <c r="V168" s="39">
        <v>1.78</v>
      </c>
      <c r="W168" s="38">
        <v>0.89039999999999997</v>
      </c>
      <c r="X168" s="39">
        <v>2.44</v>
      </c>
      <c r="Y168" s="41">
        <v>4161.3423058083299</v>
      </c>
      <c r="Z168" s="39">
        <v>100</v>
      </c>
      <c r="AA168" s="39">
        <v>4.7780633976083599E-2</v>
      </c>
    </row>
    <row r="169" spans="1:27" s="22" customFormat="1" x14ac:dyDescent="0.25">
      <c r="A169" s="7" t="str">
        <f t="shared" si="2"/>
        <v>3523Providence Everett Medical Center171031675960 Cardiac Evaluation Unit</v>
      </c>
      <c r="B169" s="7"/>
      <c r="C169" s="29" t="s">
        <v>185</v>
      </c>
      <c r="D169" s="29" t="s">
        <v>1640</v>
      </c>
      <c r="E169" s="29" t="s">
        <v>186</v>
      </c>
      <c r="F169" s="29">
        <v>3523</v>
      </c>
      <c r="G169" s="4" t="s">
        <v>1641</v>
      </c>
      <c r="H169" s="5">
        <v>1710</v>
      </c>
      <c r="I169" s="4" t="s">
        <v>193</v>
      </c>
      <c r="J169" s="4" t="s">
        <v>23</v>
      </c>
      <c r="K169" s="4" t="s">
        <v>1707</v>
      </c>
      <c r="L169" s="4" t="s">
        <v>194</v>
      </c>
      <c r="M169" s="39">
        <v>3405.61</v>
      </c>
      <c r="N169" s="39">
        <v>3228</v>
      </c>
      <c r="O169" s="38">
        <v>0.78569999999999995</v>
      </c>
      <c r="P169" s="39">
        <v>10.33</v>
      </c>
      <c r="Q169" s="39">
        <v>20.440000000000001</v>
      </c>
      <c r="R169" s="38">
        <v>0.83330000000000004</v>
      </c>
      <c r="S169" s="40">
        <v>15</v>
      </c>
      <c r="T169" s="39">
        <v>16.09</v>
      </c>
      <c r="U169" s="39">
        <v>16.47</v>
      </c>
      <c r="V169" s="39">
        <v>16.93</v>
      </c>
      <c r="W169" s="38">
        <v>0.93640000000000001</v>
      </c>
      <c r="X169" s="39">
        <v>33.869999999999997</v>
      </c>
      <c r="Y169" s="41">
        <v>562956.91999480105</v>
      </c>
      <c r="Z169" s="39">
        <v>13867</v>
      </c>
      <c r="AA169" s="39">
        <v>6.6483855225214299</v>
      </c>
    </row>
    <row r="170" spans="1:27" s="22" customFormat="1" x14ac:dyDescent="0.25">
      <c r="A170" s="7" t="str">
        <f t="shared" si="2"/>
        <v>3523Providence Everett Medical Center512031683300, Cafeteria</v>
      </c>
      <c r="B170" s="7"/>
      <c r="C170" s="29" t="s">
        <v>185</v>
      </c>
      <c r="D170" s="29" t="s">
        <v>1640</v>
      </c>
      <c r="E170" s="29" t="s">
        <v>186</v>
      </c>
      <c r="F170" s="29">
        <v>3523</v>
      </c>
      <c r="G170" s="4" t="s">
        <v>1641</v>
      </c>
      <c r="H170" s="5">
        <v>5120</v>
      </c>
      <c r="I170" s="4" t="s">
        <v>126</v>
      </c>
      <c r="J170" s="4" t="s">
        <v>65</v>
      </c>
      <c r="K170" s="4" t="s">
        <v>1672</v>
      </c>
      <c r="L170" s="4" t="s">
        <v>127</v>
      </c>
      <c r="M170" s="39">
        <v>1117148.43</v>
      </c>
      <c r="N170" s="39">
        <v>1206245.6499999999</v>
      </c>
      <c r="O170" s="38">
        <v>0.85709999999999997</v>
      </c>
      <c r="P170" s="39">
        <v>7.0000000000000007E-2</v>
      </c>
      <c r="Q170" s="39">
        <v>7.0000000000000007E-2</v>
      </c>
      <c r="R170" s="38">
        <v>0.5625</v>
      </c>
      <c r="S170" s="40">
        <v>15</v>
      </c>
      <c r="T170" s="39">
        <v>0.05</v>
      </c>
      <c r="U170" s="39">
        <v>0.06</v>
      </c>
      <c r="V170" s="39">
        <v>0.06</v>
      </c>
      <c r="W170" s="38">
        <v>0.90959999999999996</v>
      </c>
      <c r="X170" s="39">
        <v>44.16</v>
      </c>
      <c r="Y170" s="41">
        <v>200663.831882295</v>
      </c>
      <c r="Z170" s="39">
        <v>12537</v>
      </c>
      <c r="AA170" s="39">
        <v>6.0108630132844496</v>
      </c>
    </row>
    <row r="171" spans="1:27" s="22" customFormat="1" x14ac:dyDescent="0.25">
      <c r="A171" s="7" t="str">
        <f t="shared" si="2"/>
        <v>3523Providence Everett Medical Center511031683400, Dietary</v>
      </c>
      <c r="B171" s="7"/>
      <c r="C171" s="29" t="s">
        <v>185</v>
      </c>
      <c r="D171" s="29" t="s">
        <v>1640</v>
      </c>
      <c r="E171" s="29" t="s">
        <v>186</v>
      </c>
      <c r="F171" s="29">
        <v>3523</v>
      </c>
      <c r="G171" s="43" t="s">
        <v>1641</v>
      </c>
      <c r="H171" s="42">
        <v>5110</v>
      </c>
      <c r="I171" s="43" t="s">
        <v>129</v>
      </c>
      <c r="J171" s="43" t="s">
        <v>65</v>
      </c>
      <c r="K171" s="43" t="s">
        <v>1670</v>
      </c>
      <c r="L171" s="43" t="s">
        <v>857</v>
      </c>
      <c r="M171" s="46">
        <v>212253.21</v>
      </c>
      <c r="N171" s="46">
        <v>219663.95</v>
      </c>
      <c r="O171" s="135">
        <v>0.875</v>
      </c>
      <c r="P171" s="46">
        <v>0.72</v>
      </c>
      <c r="Q171" s="46">
        <v>0.77</v>
      </c>
      <c r="R171" s="135">
        <v>0.4</v>
      </c>
      <c r="S171" s="47">
        <v>16</v>
      </c>
      <c r="T171" s="46">
        <v>0.72</v>
      </c>
      <c r="U171" s="46">
        <v>0.75</v>
      </c>
      <c r="V171" s="46">
        <v>0.79</v>
      </c>
      <c r="W171" s="45">
        <v>0.91459999999999997</v>
      </c>
      <c r="X171" s="46">
        <v>88.76</v>
      </c>
      <c r="Y171" s="48">
        <f>Z171*17.12</f>
        <v>82235.880691012542</v>
      </c>
      <c r="Z171" s="46">
        <f>SUM((Q171-U171)*N171)/W171</f>
        <v>4803.4977039142841</v>
      </c>
      <c r="AA171" s="46">
        <f>+Z171/2085.7</f>
        <v>2.3030626187439633</v>
      </c>
    </row>
    <row r="172" spans="1:27" s="22" customFormat="1" x14ac:dyDescent="0.25">
      <c r="A172" s="7" t="str">
        <f t="shared" si="2"/>
        <v>3523Providence Everett Medical Center226431670758 Post Partum Outpatient Clinics</v>
      </c>
      <c r="B172" s="7"/>
      <c r="C172" s="29" t="s">
        <v>185</v>
      </c>
      <c r="D172" s="29" t="s">
        <v>1640</v>
      </c>
      <c r="E172" s="29" t="s">
        <v>186</v>
      </c>
      <c r="F172" s="29">
        <v>3523</v>
      </c>
      <c r="G172" s="4" t="s">
        <v>1641</v>
      </c>
      <c r="H172" s="5">
        <v>2264</v>
      </c>
      <c r="I172" s="4" t="s">
        <v>191</v>
      </c>
      <c r="J172" s="4" t="s">
        <v>176</v>
      </c>
      <c r="K172" s="4" t="s">
        <v>1649</v>
      </c>
      <c r="L172" s="4" t="s">
        <v>77</v>
      </c>
      <c r="M172" s="39">
        <v>10676</v>
      </c>
      <c r="N172" s="39">
        <v>11738</v>
      </c>
      <c r="O172" s="38">
        <v>0.93330000000000002</v>
      </c>
      <c r="P172" s="39">
        <v>0.83</v>
      </c>
      <c r="Q172" s="39">
        <v>0.92</v>
      </c>
      <c r="R172" s="38">
        <v>0.2</v>
      </c>
      <c r="S172" s="40">
        <v>16</v>
      </c>
      <c r="T172" s="39">
        <v>1.02</v>
      </c>
      <c r="U172" s="39">
        <v>1.53</v>
      </c>
      <c r="V172" s="39">
        <v>2</v>
      </c>
      <c r="W172" s="38">
        <v>0.89759999999999995</v>
      </c>
      <c r="X172" s="39">
        <v>5.76</v>
      </c>
      <c r="Y172" s="41">
        <v>-408332.22673415602</v>
      </c>
      <c r="Z172" s="39">
        <v>-7994</v>
      </c>
      <c r="AA172" s="39">
        <v>-3.8329206239893301</v>
      </c>
    </row>
    <row r="173" spans="1:27" s="22" customFormat="1" x14ac:dyDescent="0.25">
      <c r="A173" s="7" t="str">
        <f t="shared" si="2"/>
        <v>3523Providence Everett Medical Center226431670751, Maternal Fetal Medicine Clinic</v>
      </c>
      <c r="B173" s="7"/>
      <c r="C173" s="29" t="s">
        <v>185</v>
      </c>
      <c r="D173" s="29" t="s">
        <v>1640</v>
      </c>
      <c r="E173" s="29" t="s">
        <v>186</v>
      </c>
      <c r="F173" s="29">
        <v>3523</v>
      </c>
      <c r="G173" s="4" t="s">
        <v>1641</v>
      </c>
      <c r="H173" s="5">
        <v>2264</v>
      </c>
      <c r="I173" s="4" t="s">
        <v>191</v>
      </c>
      <c r="J173" s="4" t="s">
        <v>176</v>
      </c>
      <c r="K173" s="4" t="s">
        <v>1648</v>
      </c>
      <c r="L173" s="4" t="s">
        <v>77</v>
      </c>
      <c r="M173" s="39">
        <v>10454</v>
      </c>
      <c r="N173" s="39">
        <v>10562</v>
      </c>
      <c r="O173" s="38">
        <v>0.86670000000000003</v>
      </c>
      <c r="P173" s="39">
        <v>0.94</v>
      </c>
      <c r="Q173" s="39">
        <v>1.05</v>
      </c>
      <c r="R173" s="38">
        <v>0.26669999999999999</v>
      </c>
      <c r="S173" s="40">
        <v>16</v>
      </c>
      <c r="T173" s="39">
        <v>1.02</v>
      </c>
      <c r="U173" s="39">
        <v>1.53</v>
      </c>
      <c r="V173" s="39">
        <v>2</v>
      </c>
      <c r="W173" s="38">
        <v>0.85370000000000001</v>
      </c>
      <c r="X173" s="39">
        <v>6.27</v>
      </c>
      <c r="Y173" s="41">
        <v>-318635.201107701</v>
      </c>
      <c r="Z173" s="39">
        <v>-5852</v>
      </c>
      <c r="AA173" s="39">
        <v>-2.8057070987622801</v>
      </c>
    </row>
    <row r="174" spans="1:27" s="22" customFormat="1" x14ac:dyDescent="0.25">
      <c r="A174" s="7" t="str">
        <f t="shared" si="2"/>
        <v>3523Providence Everett Medical Center521131684400, Environmental Services</v>
      </c>
      <c r="B174" s="7"/>
      <c r="C174" s="29" t="s">
        <v>185</v>
      </c>
      <c r="D174" s="29" t="s">
        <v>1640</v>
      </c>
      <c r="E174" s="29" t="s">
        <v>186</v>
      </c>
      <c r="F174" s="29">
        <v>3523</v>
      </c>
      <c r="G174" s="4" t="s">
        <v>1641</v>
      </c>
      <c r="H174" s="5">
        <v>5211</v>
      </c>
      <c r="I174" s="4" t="s">
        <v>50</v>
      </c>
      <c r="J174" s="4" t="s">
        <v>50</v>
      </c>
      <c r="K174" s="4" t="s">
        <v>1665</v>
      </c>
      <c r="L174" s="4" t="s">
        <v>51</v>
      </c>
      <c r="M174" s="39">
        <v>1369.97</v>
      </c>
      <c r="N174" s="39">
        <v>1369.97</v>
      </c>
      <c r="O174" s="38">
        <v>0.73329999999999995</v>
      </c>
      <c r="P174" s="39">
        <v>176.34</v>
      </c>
      <c r="Q174" s="39">
        <v>184.01</v>
      </c>
      <c r="R174" s="38">
        <v>0.33329999999999999</v>
      </c>
      <c r="S174" s="40">
        <v>16</v>
      </c>
      <c r="T174" s="39">
        <v>180.93</v>
      </c>
      <c r="U174" s="39">
        <v>184.26</v>
      </c>
      <c r="V174" s="39">
        <v>203.29</v>
      </c>
      <c r="W174" s="38">
        <v>0.89900000000000002</v>
      </c>
      <c r="X174" s="39">
        <v>134.82</v>
      </c>
      <c r="Y174" s="41">
        <v>6694.3285469572202</v>
      </c>
      <c r="Z174" s="39">
        <v>404</v>
      </c>
      <c r="AA174" s="39">
        <v>0.193488935701396</v>
      </c>
    </row>
    <row r="175" spans="1:27" s="22" customFormat="1" x14ac:dyDescent="0.25">
      <c r="A175" s="7" t="str">
        <f t="shared" si="2"/>
        <v>3523Providence Everett Medical Center126031662900, Pediatric Acute</v>
      </c>
      <c r="B175" s="7"/>
      <c r="C175" s="29" t="s">
        <v>185</v>
      </c>
      <c r="D175" s="29" t="s">
        <v>1640</v>
      </c>
      <c r="E175" s="29" t="s">
        <v>186</v>
      </c>
      <c r="F175" s="29">
        <v>3523</v>
      </c>
      <c r="G175" s="4" t="s">
        <v>1641</v>
      </c>
      <c r="H175" s="5">
        <v>1260</v>
      </c>
      <c r="I175" s="4" t="s">
        <v>173</v>
      </c>
      <c r="J175" s="4" t="s">
        <v>23</v>
      </c>
      <c r="K175" s="4" t="s">
        <v>1702</v>
      </c>
      <c r="L175" s="4" t="s">
        <v>74</v>
      </c>
      <c r="M175" s="39">
        <v>1478.8</v>
      </c>
      <c r="N175" s="39">
        <v>1795</v>
      </c>
      <c r="O175" s="38">
        <v>0.26669999999999999</v>
      </c>
      <c r="P175" s="39">
        <v>14.3</v>
      </c>
      <c r="Q175" s="39">
        <v>13.88</v>
      </c>
      <c r="R175" s="38">
        <v>0.3846</v>
      </c>
      <c r="S175" s="40">
        <v>16</v>
      </c>
      <c r="T175" s="39">
        <v>13.37</v>
      </c>
      <c r="U175" s="39">
        <v>13.69</v>
      </c>
      <c r="V175" s="39">
        <v>14.13</v>
      </c>
      <c r="W175" s="38">
        <v>0.92110000000000003</v>
      </c>
      <c r="X175" s="39">
        <v>13</v>
      </c>
      <c r="Y175" s="41">
        <v>21217.058950316201</v>
      </c>
      <c r="Z175" s="39">
        <v>436</v>
      </c>
      <c r="AA175" s="39">
        <v>0.20885925613256301</v>
      </c>
    </row>
    <row r="176" spans="1:27" s="22" customFormat="1" x14ac:dyDescent="0.25">
      <c r="A176" s="7" t="str">
        <f t="shared" si="2"/>
        <v>3523Providence Everett Medical Center2299Ambulatory Services Administration (U,N)</v>
      </c>
      <c r="B176" s="7"/>
      <c r="C176" s="29" t="s">
        <v>185</v>
      </c>
      <c r="D176" s="29" t="s">
        <v>1640</v>
      </c>
      <c r="E176" s="29" t="s">
        <v>186</v>
      </c>
      <c r="F176" s="29">
        <v>3523</v>
      </c>
      <c r="G176" s="4" t="s">
        <v>1641</v>
      </c>
      <c r="H176" s="5">
        <v>2299</v>
      </c>
      <c r="I176" s="4" t="s">
        <v>187</v>
      </c>
      <c r="J176" s="4" t="s">
        <v>176</v>
      </c>
      <c r="K176" s="4" t="s">
        <v>922</v>
      </c>
      <c r="L176" s="4" t="s">
        <v>188</v>
      </c>
      <c r="M176" s="39">
        <v>79574</v>
      </c>
      <c r="N176" s="39">
        <v>113778</v>
      </c>
      <c r="O176" s="38">
        <v>0.41899999999999998</v>
      </c>
      <c r="P176" s="39">
        <v>0.21</v>
      </c>
      <c r="Q176" s="39">
        <v>0.25</v>
      </c>
      <c r="R176" s="38">
        <v>0.2311</v>
      </c>
      <c r="S176" s="40">
        <v>17</v>
      </c>
      <c r="T176" s="39">
        <v>0.27</v>
      </c>
      <c r="U176" s="39">
        <v>0.32</v>
      </c>
      <c r="V176" s="39">
        <v>0.42</v>
      </c>
      <c r="W176" s="38">
        <v>0.90680000000000005</v>
      </c>
      <c r="X176" s="39">
        <v>15.3</v>
      </c>
      <c r="Y176" s="41">
        <v>-225002.23886983001</v>
      </c>
      <c r="Z176" s="39">
        <v>-8240</v>
      </c>
      <c r="AA176" s="39">
        <v>-3.9506288595018</v>
      </c>
    </row>
    <row r="177" spans="1:27" s="28" customFormat="1" x14ac:dyDescent="0.25">
      <c r="A177" s="7" t="str">
        <f t="shared" si="2"/>
        <v>3523Providence Everett Medical Center344031676391 Mammography</v>
      </c>
      <c r="B177" s="7"/>
      <c r="C177" s="29" t="s">
        <v>185</v>
      </c>
      <c r="D177" s="29" t="s">
        <v>1640</v>
      </c>
      <c r="E177" s="29" t="s">
        <v>186</v>
      </c>
      <c r="F177" s="29">
        <v>3523</v>
      </c>
      <c r="G177" s="4" t="s">
        <v>1641</v>
      </c>
      <c r="H177" s="5">
        <v>3440</v>
      </c>
      <c r="I177" s="4" t="s">
        <v>119</v>
      </c>
      <c r="J177" s="4" t="s">
        <v>57</v>
      </c>
      <c r="K177" s="4" t="s">
        <v>1677</v>
      </c>
      <c r="L177" s="4" t="s">
        <v>99</v>
      </c>
      <c r="M177" s="39">
        <v>40550.29</v>
      </c>
      <c r="N177" s="39">
        <v>52106.879999999997</v>
      </c>
      <c r="O177" s="38">
        <v>0.8125</v>
      </c>
      <c r="P177" s="39">
        <v>0.62</v>
      </c>
      <c r="Q177" s="39">
        <v>0.49</v>
      </c>
      <c r="R177" s="38">
        <v>0.29409999999999997</v>
      </c>
      <c r="S177" s="40">
        <v>17</v>
      </c>
      <c r="T177" s="39">
        <v>0.48</v>
      </c>
      <c r="U177" s="39">
        <v>0.49</v>
      </c>
      <c r="V177" s="39">
        <v>0.56999999999999995</v>
      </c>
      <c r="W177" s="38">
        <v>0.88380000000000003</v>
      </c>
      <c r="X177" s="39">
        <v>13.86</v>
      </c>
      <c r="Y177" s="41">
        <v>736.56205998248095</v>
      </c>
      <c r="Z177" s="39">
        <v>18</v>
      </c>
      <c r="AA177" s="39">
        <v>8.86661868207206E-3</v>
      </c>
    </row>
    <row r="178" spans="1:27" s="22" customFormat="1" x14ac:dyDescent="0.25">
      <c r="A178" s="7" t="str">
        <f t="shared" si="2"/>
        <v>3523Providence Everett Medical Center341231676490, Intervent Radiol</v>
      </c>
      <c r="B178" s="7"/>
      <c r="C178" s="29" t="s">
        <v>185</v>
      </c>
      <c r="D178" s="29" t="s">
        <v>1640</v>
      </c>
      <c r="E178" s="29" t="s">
        <v>186</v>
      </c>
      <c r="F178" s="29">
        <v>3523</v>
      </c>
      <c r="G178" s="4" t="s">
        <v>1641</v>
      </c>
      <c r="H178" s="5">
        <v>3412</v>
      </c>
      <c r="I178" s="4" t="s">
        <v>118</v>
      </c>
      <c r="J178" s="4" t="s">
        <v>57</v>
      </c>
      <c r="K178" s="4" t="s">
        <v>1674</v>
      </c>
      <c r="L178" s="4" t="s">
        <v>99</v>
      </c>
      <c r="M178" s="39">
        <v>168246.37</v>
      </c>
      <c r="N178" s="39">
        <v>179349.41</v>
      </c>
      <c r="O178" s="38">
        <v>0.5</v>
      </c>
      <c r="P178" s="39">
        <v>0.16</v>
      </c>
      <c r="Q178" s="39">
        <v>0.16</v>
      </c>
      <c r="R178" s="38">
        <v>0.4375</v>
      </c>
      <c r="S178" s="40">
        <v>17</v>
      </c>
      <c r="T178" s="39">
        <v>0.13</v>
      </c>
      <c r="U178" s="39">
        <v>0.15</v>
      </c>
      <c r="V178" s="39">
        <v>0.16</v>
      </c>
      <c r="W178" s="38">
        <v>0.86709999999999998</v>
      </c>
      <c r="X178" s="39">
        <v>15.44</v>
      </c>
      <c r="Y178" s="41">
        <v>58826.446784931002</v>
      </c>
      <c r="Z178" s="39">
        <v>1177</v>
      </c>
      <c r="AA178" s="39">
        <v>0.56454755100201104</v>
      </c>
    </row>
    <row r="179" spans="1:27" s="22" customFormat="1" x14ac:dyDescent="0.25">
      <c r="A179" s="7" t="str">
        <f t="shared" si="2"/>
        <v>3523Providence Everett Medical Center141031664400, Rehab</v>
      </c>
      <c r="B179" s="7"/>
      <c r="C179" s="29" t="s">
        <v>185</v>
      </c>
      <c r="D179" s="29" t="s">
        <v>1640</v>
      </c>
      <c r="E179" s="29" t="s">
        <v>186</v>
      </c>
      <c r="F179" s="29">
        <v>3523</v>
      </c>
      <c r="G179" s="4" t="s">
        <v>1641</v>
      </c>
      <c r="H179" s="5">
        <v>1410</v>
      </c>
      <c r="I179" s="4" t="s">
        <v>113</v>
      </c>
      <c r="J179" s="4" t="s">
        <v>23</v>
      </c>
      <c r="K179" s="4" t="s">
        <v>1706</v>
      </c>
      <c r="L179" s="4" t="s">
        <v>74</v>
      </c>
      <c r="M179" s="39">
        <v>5395</v>
      </c>
      <c r="N179" s="39">
        <v>5455</v>
      </c>
      <c r="O179" s="7"/>
      <c r="P179" s="39">
        <v>9.07</v>
      </c>
      <c r="Q179" s="39">
        <v>9.18</v>
      </c>
      <c r="R179" s="7"/>
      <c r="S179" s="40">
        <v>18</v>
      </c>
      <c r="T179" s="39">
        <v>8.61</v>
      </c>
      <c r="U179" s="39">
        <v>8.67</v>
      </c>
      <c r="V179" s="39">
        <v>8.89</v>
      </c>
      <c r="W179" s="38">
        <v>0.91110000000000002</v>
      </c>
      <c r="X179" s="39">
        <v>26.43</v>
      </c>
      <c r="Y179" s="41">
        <v>130644.317338265</v>
      </c>
      <c r="Z179" s="39">
        <v>3215</v>
      </c>
      <c r="AA179" s="39">
        <v>1.54165807575422</v>
      </c>
    </row>
    <row r="180" spans="1:27" s="22" customFormat="1" x14ac:dyDescent="0.25">
      <c r="A180" s="7" t="str">
        <f t="shared" si="2"/>
        <v>3523Providence Everett Medical Center335031675000 Clinical Lab Services</v>
      </c>
      <c r="B180" s="7"/>
      <c r="C180" s="29" t="s">
        <v>185</v>
      </c>
      <c r="D180" s="29" t="s">
        <v>1640</v>
      </c>
      <c r="E180" s="29" t="s">
        <v>186</v>
      </c>
      <c r="F180" s="29">
        <v>3523</v>
      </c>
      <c r="G180" s="4" t="s">
        <v>1641</v>
      </c>
      <c r="H180" s="5">
        <v>3350</v>
      </c>
      <c r="I180" s="4" t="s">
        <v>93</v>
      </c>
      <c r="J180" s="4" t="s">
        <v>53</v>
      </c>
      <c r="K180" s="4" t="s">
        <v>1685</v>
      </c>
      <c r="L180" s="4" t="s">
        <v>94</v>
      </c>
      <c r="M180" s="39">
        <v>19487.990000000002</v>
      </c>
      <c r="N180" s="39">
        <v>20451.23</v>
      </c>
      <c r="O180" s="38">
        <v>0.77780000000000005</v>
      </c>
      <c r="P180" s="39">
        <v>10.76</v>
      </c>
      <c r="Q180" s="39">
        <v>11.49</v>
      </c>
      <c r="R180" s="38">
        <v>0.5</v>
      </c>
      <c r="S180" s="40">
        <v>19</v>
      </c>
      <c r="T180" s="39">
        <v>9.2899999999999991</v>
      </c>
      <c r="U180" s="39">
        <v>10.210000000000001</v>
      </c>
      <c r="V180" s="39">
        <v>11.49</v>
      </c>
      <c r="W180" s="38">
        <v>0.90649999999999997</v>
      </c>
      <c r="X180" s="39">
        <v>124.66</v>
      </c>
      <c r="Y180" s="41">
        <v>969058.69243028003</v>
      </c>
      <c r="Z180" s="39">
        <v>29659</v>
      </c>
      <c r="AA180" s="39">
        <v>14.220221878073399</v>
      </c>
    </row>
    <row r="181" spans="1:27" s="22" customFormat="1" x14ac:dyDescent="0.25">
      <c r="A181" s="7" t="str">
        <f t="shared" si="2"/>
        <v>3523Providence Everett Medical Center201031670100, Emergency Services</v>
      </c>
      <c r="B181" s="7"/>
      <c r="C181" s="29" t="s">
        <v>185</v>
      </c>
      <c r="D181" s="29" t="s">
        <v>1640</v>
      </c>
      <c r="E181" s="29" t="s">
        <v>186</v>
      </c>
      <c r="F181" s="29">
        <v>3523</v>
      </c>
      <c r="G181" s="4" t="s">
        <v>1641</v>
      </c>
      <c r="H181" s="5">
        <v>2010</v>
      </c>
      <c r="I181" s="4" t="s">
        <v>75</v>
      </c>
      <c r="J181" s="4" t="s">
        <v>76</v>
      </c>
      <c r="K181" s="4" t="s">
        <v>1664</v>
      </c>
      <c r="L181" s="4" t="s">
        <v>77</v>
      </c>
      <c r="M181" s="39">
        <v>97117</v>
      </c>
      <c r="N181" s="39">
        <v>95251</v>
      </c>
      <c r="O181" s="38">
        <v>0.68420000000000003</v>
      </c>
      <c r="P181" s="39">
        <v>2.73</v>
      </c>
      <c r="Q181" s="39">
        <v>2.97</v>
      </c>
      <c r="R181" s="38">
        <v>0.4375</v>
      </c>
      <c r="S181" s="40">
        <v>20</v>
      </c>
      <c r="T181" s="39">
        <v>2.78</v>
      </c>
      <c r="U181" s="39">
        <v>2.89</v>
      </c>
      <c r="V181" s="39">
        <v>3.01</v>
      </c>
      <c r="W181" s="38">
        <v>0.90200000000000002</v>
      </c>
      <c r="X181" s="39">
        <v>150.93</v>
      </c>
      <c r="Y181" s="41">
        <v>399017.77111757599</v>
      </c>
      <c r="Z181" s="39">
        <v>9611</v>
      </c>
      <c r="AA181" s="39">
        <v>4.6082091375682799</v>
      </c>
    </row>
    <row r="182" spans="1:27" s="22" customFormat="1" x14ac:dyDescent="0.25">
      <c r="A182" s="7" t="str">
        <f t="shared" si="2"/>
        <v>3523Providence Everett Medical Center309903099 Surgical Services Administration (U,N)</v>
      </c>
      <c r="B182" s="7"/>
      <c r="C182" s="29" t="s">
        <v>185</v>
      </c>
      <c r="D182" s="29" t="s">
        <v>1640</v>
      </c>
      <c r="E182" s="29" t="s">
        <v>186</v>
      </c>
      <c r="F182" s="29">
        <v>3523</v>
      </c>
      <c r="G182" s="4" t="s">
        <v>1641</v>
      </c>
      <c r="H182" s="5">
        <v>3099</v>
      </c>
      <c r="I182" s="4" t="s">
        <v>46</v>
      </c>
      <c r="J182" s="4" t="s">
        <v>47</v>
      </c>
      <c r="K182" s="4" t="s">
        <v>1732</v>
      </c>
      <c r="L182" s="4" t="s">
        <v>49</v>
      </c>
      <c r="M182" s="7"/>
      <c r="N182" s="39">
        <v>14189</v>
      </c>
      <c r="O182" s="38">
        <v>0.25650000000000001</v>
      </c>
      <c r="P182" s="7"/>
      <c r="Q182" s="39">
        <v>0.96</v>
      </c>
      <c r="R182" s="38">
        <v>0.2394</v>
      </c>
      <c r="S182" s="40">
        <v>21</v>
      </c>
      <c r="T182" s="39">
        <v>0.97</v>
      </c>
      <c r="U182" s="39">
        <v>1.07</v>
      </c>
      <c r="V182" s="39">
        <v>1.17</v>
      </c>
      <c r="W182" s="38">
        <v>0.86170000000000002</v>
      </c>
      <c r="X182" s="39">
        <v>7.59</v>
      </c>
      <c r="Y182" s="41">
        <v>-65816.6772613059</v>
      </c>
      <c r="Z182" s="39">
        <v>-1788</v>
      </c>
      <c r="AA182" s="39">
        <v>-0.857488949060775</v>
      </c>
    </row>
    <row r="183" spans="1:27" s="22" customFormat="1" x14ac:dyDescent="0.25">
      <c r="A183" s="7" t="str">
        <f t="shared" si="2"/>
        <v>3523Providence Everett Medical Center522131683500, Laundry And Linen</v>
      </c>
      <c r="B183" s="7"/>
      <c r="C183" s="29" t="s">
        <v>185</v>
      </c>
      <c r="D183" s="29" t="s">
        <v>1640</v>
      </c>
      <c r="E183" s="29" t="s">
        <v>186</v>
      </c>
      <c r="F183" s="29">
        <v>3523</v>
      </c>
      <c r="G183" s="4" t="s">
        <v>1641</v>
      </c>
      <c r="H183" s="5">
        <v>5221</v>
      </c>
      <c r="I183" s="4" t="s">
        <v>131</v>
      </c>
      <c r="J183" s="4" t="s">
        <v>50</v>
      </c>
      <c r="K183" s="4" t="s">
        <v>1666</v>
      </c>
      <c r="L183" s="4" t="s">
        <v>132</v>
      </c>
      <c r="M183" s="39">
        <v>40405.78</v>
      </c>
      <c r="N183" s="39">
        <v>38931.06</v>
      </c>
      <c r="O183" s="38">
        <v>0.90910000000000002</v>
      </c>
      <c r="P183" s="39">
        <v>0.26</v>
      </c>
      <c r="Q183" s="39">
        <v>0.23</v>
      </c>
      <c r="R183" s="38">
        <v>0.1739</v>
      </c>
      <c r="S183" s="40">
        <v>23</v>
      </c>
      <c r="T183" s="39">
        <v>0.24</v>
      </c>
      <c r="U183" s="39">
        <v>0.26</v>
      </c>
      <c r="V183" s="39">
        <v>0.37</v>
      </c>
      <c r="W183" s="38">
        <v>0.88490000000000002</v>
      </c>
      <c r="X183" s="39">
        <v>4.83</v>
      </c>
      <c r="Y183" s="41">
        <v>-22657.132054601101</v>
      </c>
      <c r="Z183" s="39">
        <v>-1365</v>
      </c>
      <c r="AA183" s="39">
        <v>-0.65432951237571702</v>
      </c>
    </row>
    <row r="184" spans="1:27" s="22" customFormat="1" x14ac:dyDescent="0.25">
      <c r="A184" s="7" t="str">
        <f t="shared" si="2"/>
        <v>3523Providence Everett Medical Center121431661705, Oncology A7</v>
      </c>
      <c r="B184" s="7"/>
      <c r="C184" s="29" t="s">
        <v>185</v>
      </c>
      <c r="D184" s="29" t="s">
        <v>1640</v>
      </c>
      <c r="E184" s="29" t="s">
        <v>186</v>
      </c>
      <c r="F184" s="29">
        <v>3523</v>
      </c>
      <c r="G184" s="4" t="s">
        <v>1641</v>
      </c>
      <c r="H184" s="5">
        <v>1214</v>
      </c>
      <c r="I184" s="4" t="s">
        <v>109</v>
      </c>
      <c r="J184" s="4" t="s">
        <v>23</v>
      </c>
      <c r="K184" s="4" t="s">
        <v>1700</v>
      </c>
      <c r="L184" s="4" t="s">
        <v>74</v>
      </c>
      <c r="M184" s="39">
        <v>10074.75</v>
      </c>
      <c r="N184" s="39">
        <v>9648</v>
      </c>
      <c r="O184" s="38">
        <v>0.36359999999999998</v>
      </c>
      <c r="P184" s="39">
        <v>10.119999999999999</v>
      </c>
      <c r="Q184" s="39">
        <v>10.34</v>
      </c>
      <c r="R184" s="38">
        <v>0.45</v>
      </c>
      <c r="S184" s="40">
        <v>23</v>
      </c>
      <c r="T184" s="39">
        <v>9.86</v>
      </c>
      <c r="U184" s="39">
        <v>10.220000000000001</v>
      </c>
      <c r="V184" s="39">
        <v>10.49</v>
      </c>
      <c r="W184" s="38">
        <v>0.89259999999999995</v>
      </c>
      <c r="X184" s="39">
        <v>53.74</v>
      </c>
      <c r="Y184" s="41">
        <v>63642.107427917297</v>
      </c>
      <c r="Z184" s="39">
        <v>1619</v>
      </c>
      <c r="AA184" s="39">
        <v>0.77615975245622304</v>
      </c>
    </row>
    <row r="185" spans="1:27" s="22" customFormat="1" x14ac:dyDescent="0.25">
      <c r="A185" s="7" t="str">
        <f t="shared" si="2"/>
        <v>3523Providence Everett Medical Center124031661706 Ortho/Spine 10N</v>
      </c>
      <c r="B185" s="7"/>
      <c r="C185" s="29" t="s">
        <v>185</v>
      </c>
      <c r="D185" s="29" t="s">
        <v>1640</v>
      </c>
      <c r="E185" s="29" t="s">
        <v>186</v>
      </c>
      <c r="F185" s="29">
        <v>3523</v>
      </c>
      <c r="G185" s="4" t="s">
        <v>1641</v>
      </c>
      <c r="H185" s="5">
        <v>1240</v>
      </c>
      <c r="I185" s="4" t="s">
        <v>110</v>
      </c>
      <c r="J185" s="4" t="s">
        <v>23</v>
      </c>
      <c r="K185" s="4" t="s">
        <v>1701</v>
      </c>
      <c r="L185" s="4" t="s">
        <v>74</v>
      </c>
      <c r="M185" s="39">
        <v>8540.75</v>
      </c>
      <c r="N185" s="39">
        <v>9015.35</v>
      </c>
      <c r="O185" s="38">
        <v>0.6522</v>
      </c>
      <c r="P185" s="39">
        <v>10.41</v>
      </c>
      <c r="Q185" s="39">
        <v>10.29</v>
      </c>
      <c r="R185" s="38">
        <v>0.13639999999999999</v>
      </c>
      <c r="S185" s="40">
        <v>24</v>
      </c>
      <c r="T185" s="39">
        <v>10.46</v>
      </c>
      <c r="U185" s="39">
        <v>10.63</v>
      </c>
      <c r="V185" s="39">
        <v>10.8</v>
      </c>
      <c r="W185" s="38">
        <v>0.9012</v>
      </c>
      <c r="X185" s="39">
        <v>49.5</v>
      </c>
      <c r="Y185" s="41">
        <v>-116167.952498549</v>
      </c>
      <c r="Z185" s="39">
        <v>-3097</v>
      </c>
      <c r="AA185" s="39">
        <v>-1.48504796287769</v>
      </c>
    </row>
    <row r="186" spans="1:27" s="22" customFormat="1" x14ac:dyDescent="0.25">
      <c r="A186" s="7" t="str">
        <f t="shared" si="2"/>
        <v>3523Providence Everett Medical Center191031687200, Nursing Mgmt Admin</v>
      </c>
      <c r="B186" s="7"/>
      <c r="C186" s="29" t="s">
        <v>185</v>
      </c>
      <c r="D186" s="29" t="s">
        <v>1640</v>
      </c>
      <c r="E186" s="29" t="s">
        <v>186</v>
      </c>
      <c r="F186" s="29">
        <v>3523</v>
      </c>
      <c r="G186" s="4" t="s">
        <v>1641</v>
      </c>
      <c r="H186" s="5">
        <v>1910</v>
      </c>
      <c r="I186" s="4" t="s">
        <v>34</v>
      </c>
      <c r="J186" s="4" t="s">
        <v>23</v>
      </c>
      <c r="K186" s="4" t="s">
        <v>1710</v>
      </c>
      <c r="L186" s="4" t="s">
        <v>35</v>
      </c>
      <c r="M186" s="39">
        <v>1570</v>
      </c>
      <c r="N186" s="39">
        <v>1570</v>
      </c>
      <c r="O186" s="38">
        <v>0.875</v>
      </c>
      <c r="P186" s="39">
        <v>44.55</v>
      </c>
      <c r="Q186" s="39">
        <v>49.85</v>
      </c>
      <c r="R186" s="38">
        <v>0.42859999999999998</v>
      </c>
      <c r="S186" s="40">
        <v>25</v>
      </c>
      <c r="T186" s="39">
        <v>42.87</v>
      </c>
      <c r="U186" s="39">
        <v>47.03</v>
      </c>
      <c r="V186" s="39">
        <v>51.56</v>
      </c>
      <c r="W186" s="38">
        <v>0.89859999999999995</v>
      </c>
      <c r="X186" s="39">
        <v>29.63</v>
      </c>
      <c r="Y186" s="41">
        <v>-902401.15606517904</v>
      </c>
      <c r="Z186" s="39">
        <v>-20370</v>
      </c>
      <c r="AA186" s="39">
        <v>-9.7663852567600795</v>
      </c>
    </row>
    <row r="187" spans="1:27" s="22" customFormat="1" x14ac:dyDescent="0.25">
      <c r="A187" s="7" t="str">
        <f t="shared" si="2"/>
        <v>3523Providence Everett Medical Center345031676700, Ultrasound</v>
      </c>
      <c r="B187" s="7"/>
      <c r="C187" s="29" t="s">
        <v>185</v>
      </c>
      <c r="D187" s="29" t="s">
        <v>1640</v>
      </c>
      <c r="E187" s="29" t="s">
        <v>186</v>
      </c>
      <c r="F187" s="29">
        <v>3523</v>
      </c>
      <c r="G187" s="4" t="s">
        <v>1641</v>
      </c>
      <c r="H187" s="5">
        <v>3450</v>
      </c>
      <c r="I187" s="4" t="s">
        <v>122</v>
      </c>
      <c r="J187" s="4" t="s">
        <v>57</v>
      </c>
      <c r="K187" s="4" t="s">
        <v>1678</v>
      </c>
      <c r="L187" s="4" t="s">
        <v>99</v>
      </c>
      <c r="M187" s="39">
        <v>69834.8</v>
      </c>
      <c r="N187" s="39">
        <v>76416.69</v>
      </c>
      <c r="O187" s="38">
        <v>1</v>
      </c>
      <c r="P187" s="39">
        <v>0.43</v>
      </c>
      <c r="Q187" s="39">
        <v>0.48</v>
      </c>
      <c r="R187" s="38">
        <v>0.66669999999999996</v>
      </c>
      <c r="S187" s="40">
        <v>25</v>
      </c>
      <c r="T187" s="39">
        <v>0.4</v>
      </c>
      <c r="U187" s="39">
        <v>0.43</v>
      </c>
      <c r="V187" s="39">
        <v>0.47</v>
      </c>
      <c r="W187" s="38">
        <v>0.89270000000000005</v>
      </c>
      <c r="X187" s="39">
        <v>19.66</v>
      </c>
      <c r="Y187" s="41">
        <v>193199.44290964599</v>
      </c>
      <c r="Z187" s="39">
        <v>4196</v>
      </c>
      <c r="AA187" s="39">
        <v>2.0118453060846901</v>
      </c>
    </row>
    <row r="188" spans="1:27" s="28" customFormat="1" x14ac:dyDescent="0.25">
      <c r="A188" s="7" t="str">
        <f t="shared" si="2"/>
        <v>3523Providence Everett Medical Center339903399 Laboratory Services - Administration And Support (U,N)</v>
      </c>
      <c r="B188" s="7"/>
      <c r="C188" s="29" t="s">
        <v>185</v>
      </c>
      <c r="D188" s="29" t="s">
        <v>1640</v>
      </c>
      <c r="E188" s="29" t="s">
        <v>186</v>
      </c>
      <c r="F188" s="29">
        <v>3523</v>
      </c>
      <c r="G188" s="4" t="s">
        <v>1641</v>
      </c>
      <c r="H188" s="5">
        <v>3399</v>
      </c>
      <c r="I188" s="4" t="s">
        <v>52</v>
      </c>
      <c r="J188" s="4" t="s">
        <v>53</v>
      </c>
      <c r="K188" s="4" t="s">
        <v>1686</v>
      </c>
      <c r="L188" s="4" t="s">
        <v>55</v>
      </c>
      <c r="M188" s="39">
        <v>19487.990000000002</v>
      </c>
      <c r="N188" s="39">
        <v>20451.23</v>
      </c>
      <c r="O188" s="38">
        <v>0.67149999999999999</v>
      </c>
      <c r="P188" s="39">
        <v>2.38</v>
      </c>
      <c r="Q188" s="39">
        <v>1.82</v>
      </c>
      <c r="R188" s="38">
        <v>0.61019999999999996</v>
      </c>
      <c r="S188" s="40">
        <v>25</v>
      </c>
      <c r="T188" s="39">
        <v>1.07</v>
      </c>
      <c r="U188" s="39">
        <v>1.22</v>
      </c>
      <c r="V188" s="39">
        <v>1.53</v>
      </c>
      <c r="W188" s="38">
        <v>0.91059999999999997</v>
      </c>
      <c r="X188" s="39">
        <v>19.63</v>
      </c>
      <c r="Y188" s="41">
        <v>272385.44771758298</v>
      </c>
      <c r="Z188" s="39">
        <v>13542</v>
      </c>
      <c r="AA188" s="39">
        <v>6.49289181112922</v>
      </c>
    </row>
    <row r="189" spans="1:27" s="22" customFormat="1" x14ac:dyDescent="0.25">
      <c r="A189" s="7" t="str">
        <f t="shared" si="2"/>
        <v>3523Providence Everett Medical Center487131677700 Therapy InPatient</v>
      </c>
      <c r="B189" s="7"/>
      <c r="C189" s="29" t="s">
        <v>185</v>
      </c>
      <c r="D189" s="29" t="s">
        <v>1640</v>
      </c>
      <c r="E189" s="29" t="s">
        <v>186</v>
      </c>
      <c r="F189" s="29">
        <v>3523</v>
      </c>
      <c r="G189" s="4" t="s">
        <v>1641</v>
      </c>
      <c r="H189" s="5">
        <v>4871</v>
      </c>
      <c r="I189" s="4" t="s">
        <v>196</v>
      </c>
      <c r="J189" s="4" t="s">
        <v>41</v>
      </c>
      <c r="K189" s="4" t="s">
        <v>1722</v>
      </c>
      <c r="L189" s="4" t="s">
        <v>79</v>
      </c>
      <c r="M189" s="39">
        <v>2442.46</v>
      </c>
      <c r="N189" s="39">
        <v>2477.4299999999998</v>
      </c>
      <c r="O189" s="7"/>
      <c r="P189" s="39">
        <v>22.75</v>
      </c>
      <c r="Q189" s="39">
        <v>23.57</v>
      </c>
      <c r="R189" s="38">
        <v>0.36359999999999998</v>
      </c>
      <c r="S189" s="40">
        <v>26</v>
      </c>
      <c r="T189" s="39">
        <v>22.59</v>
      </c>
      <c r="U189" s="39">
        <v>23.45</v>
      </c>
      <c r="V189" s="39">
        <v>24.24</v>
      </c>
      <c r="W189" s="38">
        <v>0.89959999999999996</v>
      </c>
      <c r="X189" s="39">
        <v>31.21</v>
      </c>
      <c r="Y189" s="41">
        <v>23465.213798047502</v>
      </c>
      <c r="Z189" s="39">
        <v>515</v>
      </c>
      <c r="AA189" s="39">
        <v>0.24700579778543699</v>
      </c>
    </row>
    <row r="190" spans="1:27" s="22" customFormat="1" x14ac:dyDescent="0.25">
      <c r="A190" s="7" t="str">
        <f t="shared" si="2"/>
        <v>3523Providence Everett Medical Center302031674270, Recovery Room Services</v>
      </c>
      <c r="B190" s="7"/>
      <c r="C190" s="29" t="s">
        <v>185</v>
      </c>
      <c r="D190" s="29" t="s">
        <v>1640</v>
      </c>
      <c r="E190" s="29" t="s">
        <v>186</v>
      </c>
      <c r="F190" s="29">
        <v>3523</v>
      </c>
      <c r="G190" s="4" t="s">
        <v>1641</v>
      </c>
      <c r="H190" s="5">
        <v>3020</v>
      </c>
      <c r="I190" s="4" t="s">
        <v>89</v>
      </c>
      <c r="J190" s="4" t="s">
        <v>47</v>
      </c>
      <c r="K190" s="4" t="s">
        <v>1728</v>
      </c>
      <c r="L190" s="4" t="s">
        <v>90</v>
      </c>
      <c r="M190" s="39">
        <v>15693.73</v>
      </c>
      <c r="N190" s="39">
        <v>16823.38</v>
      </c>
      <c r="O190" s="38">
        <v>0.84</v>
      </c>
      <c r="P190" s="39">
        <v>3.43</v>
      </c>
      <c r="Q190" s="39">
        <v>3.71</v>
      </c>
      <c r="R190" s="38">
        <v>0.54169999999999996</v>
      </c>
      <c r="S190" s="40">
        <v>26</v>
      </c>
      <c r="T190" s="39">
        <v>2.81</v>
      </c>
      <c r="U190" s="39">
        <v>3.53</v>
      </c>
      <c r="V190" s="39">
        <v>3.69</v>
      </c>
      <c r="W190" s="38">
        <v>0.87519999999999998</v>
      </c>
      <c r="X190" s="39">
        <v>34.32</v>
      </c>
      <c r="Y190" s="41">
        <v>178028.79963940699</v>
      </c>
      <c r="Z190" s="39">
        <v>3726</v>
      </c>
      <c r="AA190" s="39">
        <v>1.7866481619111001</v>
      </c>
    </row>
    <row r="191" spans="1:27" s="22" customFormat="1" x14ac:dyDescent="0.25">
      <c r="A191" s="7" t="str">
        <f t="shared" si="2"/>
        <v>3523Providence Everett Medical Center229831670852 PRMCE Wound HBO Clinic</v>
      </c>
      <c r="B191" s="7"/>
      <c r="C191" s="29" t="s">
        <v>185</v>
      </c>
      <c r="D191" s="29" t="s">
        <v>1640</v>
      </c>
      <c r="E191" s="29" t="s">
        <v>186</v>
      </c>
      <c r="F191" s="29">
        <v>3523</v>
      </c>
      <c r="G191" s="4" t="s">
        <v>1641</v>
      </c>
      <c r="H191" s="5">
        <v>2298</v>
      </c>
      <c r="I191" s="4" t="s">
        <v>198</v>
      </c>
      <c r="J191" s="4" t="s">
        <v>176</v>
      </c>
      <c r="K191" s="4" t="s">
        <v>1652</v>
      </c>
      <c r="L191" s="4" t="s">
        <v>77</v>
      </c>
      <c r="M191" s="39">
        <v>5216</v>
      </c>
      <c r="N191" s="39">
        <v>5167</v>
      </c>
      <c r="O191" s="38">
        <v>0.61539999999999995</v>
      </c>
      <c r="P191" s="39">
        <v>1.07</v>
      </c>
      <c r="Q191" s="39">
        <v>1.0900000000000001</v>
      </c>
      <c r="R191" s="7"/>
      <c r="S191" s="40">
        <v>27</v>
      </c>
      <c r="T191" s="39">
        <v>1.94</v>
      </c>
      <c r="U191" s="39">
        <v>2.15</v>
      </c>
      <c r="V191" s="39">
        <v>2.29</v>
      </c>
      <c r="W191" s="38">
        <v>0.94399999999999995</v>
      </c>
      <c r="X191" s="39">
        <v>2.87</v>
      </c>
      <c r="Y191" s="41">
        <v>-271817.45428705501</v>
      </c>
      <c r="Z191" s="39">
        <v>-5782</v>
      </c>
      <c r="AA191" s="39">
        <v>-2.7722598842968602</v>
      </c>
    </row>
    <row r="192" spans="1:27" s="22" customFormat="1" x14ac:dyDescent="0.25">
      <c r="A192" s="7" t="str">
        <f t="shared" si="2"/>
        <v>3523Providence Everett Medical Center306031674500, Anesthesiology</v>
      </c>
      <c r="B192" s="7"/>
      <c r="C192" s="29" t="s">
        <v>185</v>
      </c>
      <c r="D192" s="29" t="s">
        <v>1640</v>
      </c>
      <c r="E192" s="29" t="s">
        <v>186</v>
      </c>
      <c r="F192" s="29">
        <v>3523</v>
      </c>
      <c r="G192" s="4" t="s">
        <v>1641</v>
      </c>
      <c r="H192" s="5">
        <v>3060</v>
      </c>
      <c r="I192" s="4" t="s">
        <v>180</v>
      </c>
      <c r="J192" s="4" t="s">
        <v>47</v>
      </c>
      <c r="K192" s="4" t="s">
        <v>1730</v>
      </c>
      <c r="L192" s="4" t="s">
        <v>181</v>
      </c>
      <c r="M192" s="39">
        <v>17205.8</v>
      </c>
      <c r="N192" s="39">
        <v>18376.98</v>
      </c>
      <c r="O192" s="7"/>
      <c r="P192" s="39">
        <v>0.69</v>
      </c>
      <c r="Q192" s="39">
        <v>0.67</v>
      </c>
      <c r="R192" s="7"/>
      <c r="S192" s="40">
        <v>27</v>
      </c>
      <c r="T192" s="39">
        <v>0.62</v>
      </c>
      <c r="U192" s="39">
        <v>0.82</v>
      </c>
      <c r="V192" s="39">
        <v>1.07</v>
      </c>
      <c r="W192" s="38">
        <v>0.9204</v>
      </c>
      <c r="X192" s="39">
        <v>6.39</v>
      </c>
      <c r="Y192" s="41">
        <v>-102684.378690571</v>
      </c>
      <c r="Z192" s="39">
        <v>-3045</v>
      </c>
      <c r="AA192" s="39">
        <v>-1.4598172099962501</v>
      </c>
    </row>
    <row r="193" spans="1:27" s="22" customFormat="1" x14ac:dyDescent="0.25">
      <c r="A193" s="7" t="str">
        <f t="shared" si="2"/>
        <v>3523Providence Everett Medical Center127731665390, Special Care Nursery</v>
      </c>
      <c r="B193" s="7"/>
      <c r="C193" s="29" t="s">
        <v>185</v>
      </c>
      <c r="D193" s="29" t="s">
        <v>1640</v>
      </c>
      <c r="E193" s="29" t="s">
        <v>186</v>
      </c>
      <c r="F193" s="29">
        <v>3523</v>
      </c>
      <c r="G193" s="4" t="s">
        <v>1641</v>
      </c>
      <c r="H193" s="5">
        <v>1277</v>
      </c>
      <c r="I193" s="4" t="s">
        <v>106</v>
      </c>
      <c r="J193" s="4" t="s">
        <v>23</v>
      </c>
      <c r="K193" s="4" t="s">
        <v>1704</v>
      </c>
      <c r="L193" s="4" t="s">
        <v>107</v>
      </c>
      <c r="M193" s="39">
        <v>8148</v>
      </c>
      <c r="N193" s="39">
        <v>8358</v>
      </c>
      <c r="O193" s="38">
        <v>0.34620000000000001</v>
      </c>
      <c r="P193" s="39">
        <v>12.42</v>
      </c>
      <c r="Q193" s="39">
        <v>12.55</v>
      </c>
      <c r="R193" s="38">
        <v>0.4</v>
      </c>
      <c r="S193" s="40">
        <v>27</v>
      </c>
      <c r="T193" s="39">
        <v>11.92</v>
      </c>
      <c r="U193" s="39">
        <v>12.32</v>
      </c>
      <c r="V193" s="39">
        <v>12.8</v>
      </c>
      <c r="W193" s="38">
        <v>0.88629999999999998</v>
      </c>
      <c r="X193" s="39">
        <v>56.92</v>
      </c>
      <c r="Y193" s="41">
        <v>124881.022983909</v>
      </c>
      <c r="Z193" s="39">
        <v>2538</v>
      </c>
      <c r="AA193" s="39">
        <v>1.2167564881497099</v>
      </c>
    </row>
    <row r="194" spans="1:27" s="22" customFormat="1" x14ac:dyDescent="0.25">
      <c r="A194" s="7" t="str">
        <f t="shared" si="2"/>
        <v>3523Providence Everett Medical Center111131661709, Intermediate Care 6N</v>
      </c>
      <c r="B194" s="7"/>
      <c r="C194" s="29" t="s">
        <v>185</v>
      </c>
      <c r="D194" s="29" t="s">
        <v>1640</v>
      </c>
      <c r="E194" s="29" t="s">
        <v>186</v>
      </c>
      <c r="F194" s="29">
        <v>3523</v>
      </c>
      <c r="G194" s="4" t="s">
        <v>1641</v>
      </c>
      <c r="H194" s="5">
        <v>1111</v>
      </c>
      <c r="I194" s="4" t="s">
        <v>146</v>
      </c>
      <c r="J194" s="4" t="s">
        <v>23</v>
      </c>
      <c r="K194" s="4" t="s">
        <v>1694</v>
      </c>
      <c r="L194" s="4" t="s">
        <v>74</v>
      </c>
      <c r="M194" s="39">
        <v>9813.75</v>
      </c>
      <c r="N194" s="39">
        <v>10266.9</v>
      </c>
      <c r="O194" s="38">
        <v>0.40739999999999998</v>
      </c>
      <c r="P194" s="39">
        <v>12.53</v>
      </c>
      <c r="Q194" s="39">
        <v>12.34</v>
      </c>
      <c r="R194" s="38">
        <v>0.55559999999999998</v>
      </c>
      <c r="S194" s="40">
        <v>28</v>
      </c>
      <c r="T194" s="39">
        <v>11.04</v>
      </c>
      <c r="U194" s="39">
        <v>11.35</v>
      </c>
      <c r="V194" s="39">
        <v>12.24</v>
      </c>
      <c r="W194" s="38">
        <v>0.9083</v>
      </c>
      <c r="X194" s="39">
        <v>67.08</v>
      </c>
      <c r="Y194" s="41">
        <v>436122.36231164198</v>
      </c>
      <c r="Z194" s="39">
        <v>11615</v>
      </c>
      <c r="AA194" s="39">
        <v>5.5688228603925403</v>
      </c>
    </row>
    <row r="195" spans="1:27" s="22" customFormat="1" x14ac:dyDescent="0.25">
      <c r="A195" s="7" t="str">
        <f t="shared" ref="A195:A258" si="3">F195&amp;G195&amp;H195&amp;K195</f>
        <v>3523Providence Everett Medical Center432031678748, Sleep Lab</v>
      </c>
      <c r="B195" s="7"/>
      <c r="C195" s="29" t="s">
        <v>185</v>
      </c>
      <c r="D195" s="29" t="s">
        <v>1640</v>
      </c>
      <c r="E195" s="29" t="s">
        <v>186</v>
      </c>
      <c r="F195" s="29">
        <v>3523</v>
      </c>
      <c r="G195" s="4" t="s">
        <v>1641</v>
      </c>
      <c r="H195" s="5">
        <v>4320</v>
      </c>
      <c r="I195" s="4" t="s">
        <v>166</v>
      </c>
      <c r="J195" s="4" t="s">
        <v>116</v>
      </c>
      <c r="K195" s="4" t="s">
        <v>1689</v>
      </c>
      <c r="L195" s="4" t="s">
        <v>99</v>
      </c>
      <c r="M195" s="39">
        <v>14550.78</v>
      </c>
      <c r="N195" s="39">
        <v>14304.86</v>
      </c>
      <c r="O195" s="38">
        <v>0.53569999999999995</v>
      </c>
      <c r="P195" s="39">
        <v>0.61</v>
      </c>
      <c r="Q195" s="39">
        <v>0.57999999999999996</v>
      </c>
      <c r="R195" s="38">
        <v>0</v>
      </c>
      <c r="S195" s="40">
        <v>29</v>
      </c>
      <c r="T195" s="39">
        <v>0.84</v>
      </c>
      <c r="U195" s="39">
        <v>0.86</v>
      </c>
      <c r="V195" s="39">
        <v>0.95</v>
      </c>
      <c r="W195" s="38">
        <v>0.88790000000000002</v>
      </c>
      <c r="X195" s="39">
        <v>4.51</v>
      </c>
      <c r="Y195" s="41">
        <v>-151481.949657499</v>
      </c>
      <c r="Z195" s="39">
        <v>-4449</v>
      </c>
      <c r="AA195" s="39">
        <v>-2.13302926827259</v>
      </c>
    </row>
    <row r="196" spans="1:27" s="22" customFormat="1" x14ac:dyDescent="0.25">
      <c r="A196" s="7" t="str">
        <f t="shared" si="3"/>
        <v>3523Providence Everett Medical Center592531683700, Patient Transport</v>
      </c>
      <c r="B196" s="7"/>
      <c r="C196" s="29" t="s">
        <v>185</v>
      </c>
      <c r="D196" s="29" t="s">
        <v>1640</v>
      </c>
      <c r="E196" s="29" t="s">
        <v>186</v>
      </c>
      <c r="F196" s="29">
        <v>3523</v>
      </c>
      <c r="G196" s="4" t="s">
        <v>1641</v>
      </c>
      <c r="H196" s="5">
        <v>5925</v>
      </c>
      <c r="I196" s="4" t="s">
        <v>135</v>
      </c>
      <c r="J196" s="4" t="s">
        <v>136</v>
      </c>
      <c r="K196" s="4" t="s">
        <v>1715</v>
      </c>
      <c r="L196" s="4" t="s">
        <v>137</v>
      </c>
      <c r="M196" s="39">
        <v>2890.73</v>
      </c>
      <c r="N196" s="39">
        <v>2703.05</v>
      </c>
      <c r="O196" s="38">
        <v>0.8276</v>
      </c>
      <c r="P196" s="39">
        <v>26.89</v>
      </c>
      <c r="Q196" s="39">
        <v>29.41</v>
      </c>
      <c r="R196" s="38">
        <v>0.28570000000000001</v>
      </c>
      <c r="S196" s="40">
        <v>30</v>
      </c>
      <c r="T196" s="39">
        <v>28.08</v>
      </c>
      <c r="U196" s="39">
        <v>31.86</v>
      </c>
      <c r="V196" s="39">
        <v>36.549999999999997</v>
      </c>
      <c r="W196" s="38">
        <v>0.92020000000000002</v>
      </c>
      <c r="X196" s="39">
        <v>41.53</v>
      </c>
      <c r="Y196" s="41">
        <v>-131612.69999028501</v>
      </c>
      <c r="Z196" s="39">
        <v>-6968</v>
      </c>
      <c r="AA196" s="39">
        <v>-3.3410033278743998</v>
      </c>
    </row>
    <row r="197" spans="1:27" s="22" customFormat="1" x14ac:dyDescent="0.25">
      <c r="A197" s="7" t="str">
        <f t="shared" si="3"/>
        <v>3523Providence Everett Medical Center127031674000, Labor And Delivery</v>
      </c>
      <c r="B197" s="7"/>
      <c r="C197" s="29" t="s">
        <v>185</v>
      </c>
      <c r="D197" s="29" t="s">
        <v>1640</v>
      </c>
      <c r="E197" s="29" t="s">
        <v>186</v>
      </c>
      <c r="F197" s="29">
        <v>3523</v>
      </c>
      <c r="G197" s="4" t="s">
        <v>1641</v>
      </c>
      <c r="H197" s="5">
        <v>1270</v>
      </c>
      <c r="I197" s="4" t="s">
        <v>199</v>
      </c>
      <c r="J197" s="4" t="s">
        <v>23</v>
      </c>
      <c r="K197" s="4" t="s">
        <v>1703</v>
      </c>
      <c r="L197" s="4" t="s">
        <v>86</v>
      </c>
      <c r="M197" s="39">
        <v>4532</v>
      </c>
      <c r="N197" s="39">
        <v>4641</v>
      </c>
      <c r="O197" s="38">
        <v>1</v>
      </c>
      <c r="P197" s="39">
        <v>61.4</v>
      </c>
      <c r="Q197" s="39">
        <v>60.79</v>
      </c>
      <c r="R197" s="38">
        <v>0.44829999999999998</v>
      </c>
      <c r="S197" s="40">
        <v>30</v>
      </c>
      <c r="T197" s="39">
        <v>56.05</v>
      </c>
      <c r="U197" s="39">
        <v>58.48</v>
      </c>
      <c r="V197" s="39">
        <v>62.08</v>
      </c>
      <c r="W197" s="38">
        <v>0.88490000000000002</v>
      </c>
      <c r="X197" s="39">
        <v>153.28</v>
      </c>
      <c r="Y197" s="41">
        <v>552395.26467901701</v>
      </c>
      <c r="Z197" s="39">
        <v>12988</v>
      </c>
      <c r="AA197" s="39">
        <v>6.2273361520437902</v>
      </c>
    </row>
    <row r="198" spans="1:27" s="22" customFormat="1" x14ac:dyDescent="0.25">
      <c r="A198" s="7" t="str">
        <f t="shared" si="3"/>
        <v>3523Providence Everett Medical Center343031676608, Mri -</v>
      </c>
      <c r="B198" s="7"/>
      <c r="C198" s="29" t="s">
        <v>185</v>
      </c>
      <c r="D198" s="29" t="s">
        <v>1640</v>
      </c>
      <c r="E198" s="29" t="s">
        <v>186</v>
      </c>
      <c r="F198" s="29">
        <v>3523</v>
      </c>
      <c r="G198" s="4" t="s">
        <v>1641</v>
      </c>
      <c r="H198" s="5">
        <v>3430</v>
      </c>
      <c r="I198" s="4" t="s">
        <v>121</v>
      </c>
      <c r="J198" s="4" t="s">
        <v>57</v>
      </c>
      <c r="K198" s="4" t="s">
        <v>1676</v>
      </c>
      <c r="L198" s="4" t="s">
        <v>99</v>
      </c>
      <c r="M198" s="39">
        <v>65423</v>
      </c>
      <c r="N198" s="39">
        <v>63875.47</v>
      </c>
      <c r="O198" s="38">
        <v>0.9</v>
      </c>
      <c r="P198" s="39">
        <v>0.26</v>
      </c>
      <c r="Q198" s="39">
        <v>0.3</v>
      </c>
      <c r="R198" s="38">
        <v>0.33329999999999999</v>
      </c>
      <c r="S198" s="40">
        <v>31</v>
      </c>
      <c r="T198" s="39">
        <v>0.28000000000000003</v>
      </c>
      <c r="U198" s="39">
        <v>0.31</v>
      </c>
      <c r="V198" s="39">
        <v>0.33</v>
      </c>
      <c r="W198" s="38">
        <v>0.92349999999999999</v>
      </c>
      <c r="X198" s="39">
        <v>9.8699999999999992</v>
      </c>
      <c r="Y198" s="41">
        <v>-41233.345989167698</v>
      </c>
      <c r="Z198" s="39">
        <v>-856</v>
      </c>
      <c r="AA198" s="39">
        <v>-0.41033013835752302</v>
      </c>
    </row>
    <row r="199" spans="1:27" s="22" customFormat="1" x14ac:dyDescent="0.25">
      <c r="A199" s="7" t="str">
        <f t="shared" si="3"/>
        <v>3523Providence Everett Medical Center401031676428, Radiation Oncology</v>
      </c>
      <c r="B199" s="7"/>
      <c r="C199" s="29" t="s">
        <v>185</v>
      </c>
      <c r="D199" s="29" t="s">
        <v>1640</v>
      </c>
      <c r="E199" s="29" t="s">
        <v>186</v>
      </c>
      <c r="F199" s="29">
        <v>3523</v>
      </c>
      <c r="G199" s="4" t="s">
        <v>1641</v>
      </c>
      <c r="H199" s="5">
        <v>4010</v>
      </c>
      <c r="I199" s="4" t="s">
        <v>152</v>
      </c>
      <c r="J199" s="4" t="s">
        <v>153</v>
      </c>
      <c r="K199" s="4" t="s">
        <v>1721</v>
      </c>
      <c r="L199" s="4" t="s">
        <v>99</v>
      </c>
      <c r="M199" s="39">
        <v>180868.18</v>
      </c>
      <c r="N199" s="39">
        <v>140498.82999999999</v>
      </c>
      <c r="O199" s="38">
        <v>0.9355</v>
      </c>
      <c r="P199" s="39">
        <v>0.21</v>
      </c>
      <c r="Q199" s="39">
        <v>0.27</v>
      </c>
      <c r="R199" s="38">
        <v>0.1875</v>
      </c>
      <c r="S199" s="40">
        <v>32</v>
      </c>
      <c r="T199" s="39">
        <v>0.28000000000000003</v>
      </c>
      <c r="U199" s="39">
        <v>0.3</v>
      </c>
      <c r="V199" s="39">
        <v>0.33</v>
      </c>
      <c r="W199" s="38">
        <v>0.87660000000000005</v>
      </c>
      <c r="X199" s="39">
        <v>20.97</v>
      </c>
      <c r="Y199" s="41">
        <v>-203359.85290025899</v>
      </c>
      <c r="Z199" s="39">
        <v>-4346</v>
      </c>
      <c r="AA199" s="39">
        <v>-2.0837009341371799</v>
      </c>
    </row>
    <row r="200" spans="1:27" s="22" customFormat="1" x14ac:dyDescent="0.25">
      <c r="A200" s="7" t="str">
        <f t="shared" si="3"/>
        <v>3523Providence Everett Medical Center112231661790, Cardiac Tele 7N</v>
      </c>
      <c r="B200" s="7"/>
      <c r="C200" s="29" t="s">
        <v>185</v>
      </c>
      <c r="D200" s="29" t="s">
        <v>1640</v>
      </c>
      <c r="E200" s="29" t="s">
        <v>186</v>
      </c>
      <c r="F200" s="29">
        <v>3523</v>
      </c>
      <c r="G200" s="4" t="s">
        <v>1641</v>
      </c>
      <c r="H200" s="5">
        <v>1122</v>
      </c>
      <c r="I200" s="4" t="s">
        <v>105</v>
      </c>
      <c r="J200" s="4" t="s">
        <v>23</v>
      </c>
      <c r="K200" s="4" t="s">
        <v>1695</v>
      </c>
      <c r="L200" s="4" t="s">
        <v>74</v>
      </c>
      <c r="M200" s="39">
        <v>10075.299999999999</v>
      </c>
      <c r="N200" s="39">
        <v>10337.280000000001</v>
      </c>
      <c r="O200" s="38">
        <v>0.46879999999999999</v>
      </c>
      <c r="P200" s="39">
        <v>11.31</v>
      </c>
      <c r="Q200" s="39">
        <v>10.99</v>
      </c>
      <c r="R200" s="38">
        <v>0.34379999999999999</v>
      </c>
      <c r="S200" s="40">
        <v>33</v>
      </c>
      <c r="T200" s="39">
        <v>10.08</v>
      </c>
      <c r="U200" s="39">
        <v>11.01</v>
      </c>
      <c r="V200" s="39">
        <v>11.32</v>
      </c>
      <c r="W200" s="38">
        <v>0.90329999999999999</v>
      </c>
      <c r="X200" s="39">
        <v>60.46</v>
      </c>
      <c r="Y200" s="41">
        <v>3960.3105140648299</v>
      </c>
      <c r="Z200" s="39">
        <v>104</v>
      </c>
      <c r="AA200" s="39">
        <v>4.9873170766815599E-2</v>
      </c>
    </row>
    <row r="201" spans="1:27" s="22" customFormat="1" x14ac:dyDescent="0.25">
      <c r="A201" s="7" t="str">
        <f t="shared" si="3"/>
        <v>3523Providence Everett Medical Center341131676300, Diagnostic Imaging</v>
      </c>
      <c r="B201" s="7"/>
      <c r="C201" s="29" t="s">
        <v>185</v>
      </c>
      <c r="D201" s="29" t="s">
        <v>1640</v>
      </c>
      <c r="E201" s="29" t="s">
        <v>186</v>
      </c>
      <c r="F201" s="29">
        <v>3523</v>
      </c>
      <c r="G201" s="4" t="s">
        <v>1641</v>
      </c>
      <c r="H201" s="5">
        <v>3411</v>
      </c>
      <c r="I201" s="4" t="s">
        <v>117</v>
      </c>
      <c r="J201" s="4" t="s">
        <v>57</v>
      </c>
      <c r="K201" s="4" t="s">
        <v>1673</v>
      </c>
      <c r="L201" s="4" t="s">
        <v>99</v>
      </c>
      <c r="M201" s="39">
        <v>82200.570000000007</v>
      </c>
      <c r="N201" s="39">
        <v>87140.49</v>
      </c>
      <c r="O201" s="38">
        <v>0.52939999999999998</v>
      </c>
      <c r="P201" s="39">
        <v>0.57999999999999996</v>
      </c>
      <c r="Q201" s="39">
        <v>0.59</v>
      </c>
      <c r="R201" s="38">
        <v>0.26669999999999999</v>
      </c>
      <c r="S201" s="40">
        <v>35</v>
      </c>
      <c r="T201" s="39">
        <v>0.57999999999999996</v>
      </c>
      <c r="U201" s="39">
        <v>0.6</v>
      </c>
      <c r="V201" s="39">
        <v>0.64</v>
      </c>
      <c r="W201" s="38">
        <v>0.87790000000000001</v>
      </c>
      <c r="X201" s="39">
        <v>28.01</v>
      </c>
      <c r="Y201" s="41">
        <v>-36864.790919479099</v>
      </c>
      <c r="Z201" s="39">
        <v>-1136</v>
      </c>
      <c r="AA201" s="39">
        <v>-0.544486718647477</v>
      </c>
    </row>
    <row r="202" spans="1:27" s="22" customFormat="1" x14ac:dyDescent="0.25">
      <c r="A202" s="7" t="str">
        <f t="shared" si="3"/>
        <v>3523Providence Everett Medical Center431031676200 EEG Neurodiagnostic Services</v>
      </c>
      <c r="B202" s="7"/>
      <c r="C202" s="29" t="s">
        <v>185</v>
      </c>
      <c r="D202" s="29" t="s">
        <v>1640</v>
      </c>
      <c r="E202" s="29" t="s">
        <v>186</v>
      </c>
      <c r="F202" s="29">
        <v>3523</v>
      </c>
      <c r="G202" s="4" t="s">
        <v>1641</v>
      </c>
      <c r="H202" s="5">
        <v>4310</v>
      </c>
      <c r="I202" s="4" t="s">
        <v>115</v>
      </c>
      <c r="J202" s="4" t="s">
        <v>116</v>
      </c>
      <c r="K202" s="4" t="s">
        <v>1688</v>
      </c>
      <c r="L202" s="4" t="s">
        <v>99</v>
      </c>
      <c r="M202" s="39">
        <v>3778.57</v>
      </c>
      <c r="N202" s="39">
        <v>3883.04</v>
      </c>
      <c r="O202" s="38">
        <v>0.73529999999999995</v>
      </c>
      <c r="P202" s="39">
        <v>1.04</v>
      </c>
      <c r="Q202" s="39">
        <v>1.01</v>
      </c>
      <c r="R202" s="38">
        <v>0.55879999999999996</v>
      </c>
      <c r="S202" s="40">
        <v>35</v>
      </c>
      <c r="T202" s="39">
        <v>0.64</v>
      </c>
      <c r="U202" s="39">
        <v>0.78</v>
      </c>
      <c r="V202" s="39">
        <v>0.89</v>
      </c>
      <c r="W202" s="38">
        <v>0.90059999999999996</v>
      </c>
      <c r="X202" s="39">
        <v>2.1</v>
      </c>
      <c r="Y202" s="41">
        <v>36477.210671098997</v>
      </c>
      <c r="Z202" s="39">
        <v>1017</v>
      </c>
      <c r="AA202" s="39">
        <v>0.48756326710258902</v>
      </c>
    </row>
    <row r="203" spans="1:27" s="22" customFormat="1" x14ac:dyDescent="0.25">
      <c r="A203" s="7" t="str">
        <f t="shared" si="3"/>
        <v>3523Providence Everett Medical Center426031676702, Ultrasound Echo</v>
      </c>
      <c r="B203" s="7"/>
      <c r="C203" s="29" t="s">
        <v>185</v>
      </c>
      <c r="D203" s="29" t="s">
        <v>1640</v>
      </c>
      <c r="E203" s="29" t="s">
        <v>186</v>
      </c>
      <c r="F203" s="29">
        <v>3523</v>
      </c>
      <c r="G203" s="4" t="s">
        <v>1641</v>
      </c>
      <c r="H203" s="5">
        <v>4260</v>
      </c>
      <c r="I203" s="4" t="s">
        <v>158</v>
      </c>
      <c r="J203" s="4" t="s">
        <v>60</v>
      </c>
      <c r="K203" s="4" t="s">
        <v>1657</v>
      </c>
      <c r="L203" s="4" t="s">
        <v>99</v>
      </c>
      <c r="M203" s="39">
        <v>50774.47</v>
      </c>
      <c r="N203" s="39">
        <v>51884</v>
      </c>
      <c r="O203" s="7"/>
      <c r="P203" s="39">
        <v>0.24</v>
      </c>
      <c r="Q203" s="39">
        <v>0.25</v>
      </c>
      <c r="R203" s="7"/>
      <c r="S203" s="40">
        <v>36</v>
      </c>
      <c r="T203" s="39">
        <v>0.55000000000000004</v>
      </c>
      <c r="U203" s="39">
        <v>0.57999999999999996</v>
      </c>
      <c r="V203" s="39">
        <v>0.64</v>
      </c>
      <c r="W203" s="38">
        <v>0.89059999999999995</v>
      </c>
      <c r="X203" s="39">
        <v>7.14</v>
      </c>
      <c r="Y203" s="41">
        <v>-752492.09113160498</v>
      </c>
      <c r="Z203" s="39">
        <v>-18897</v>
      </c>
      <c r="AA203" s="39">
        <v>-9.0604438143537305</v>
      </c>
    </row>
    <row r="204" spans="1:27" s="22" customFormat="1" x14ac:dyDescent="0.25">
      <c r="A204" s="7" t="str">
        <f t="shared" si="3"/>
        <v>3523Providence Everett Medical Center121131661708, Close Observation A3</v>
      </c>
      <c r="B204" s="7"/>
      <c r="C204" s="29" t="s">
        <v>185</v>
      </c>
      <c r="D204" s="29" t="s">
        <v>1640</v>
      </c>
      <c r="E204" s="29" t="s">
        <v>186</v>
      </c>
      <c r="F204" s="29">
        <v>3523</v>
      </c>
      <c r="G204" s="4" t="s">
        <v>1641</v>
      </c>
      <c r="H204" s="5">
        <v>1211</v>
      </c>
      <c r="I204" s="4" t="s">
        <v>161</v>
      </c>
      <c r="J204" s="4" t="s">
        <v>23</v>
      </c>
      <c r="K204" s="4" t="s">
        <v>1698</v>
      </c>
      <c r="L204" s="4" t="s">
        <v>74</v>
      </c>
      <c r="M204" s="39">
        <v>10031.91</v>
      </c>
      <c r="N204" s="39">
        <v>10111</v>
      </c>
      <c r="O204" s="38">
        <v>0.47220000000000001</v>
      </c>
      <c r="P204" s="39">
        <v>10.37</v>
      </c>
      <c r="Q204" s="39">
        <v>11.05</v>
      </c>
      <c r="R204" s="38">
        <v>0.68569999999999998</v>
      </c>
      <c r="S204" s="40">
        <v>37</v>
      </c>
      <c r="T204" s="39">
        <v>9.67</v>
      </c>
      <c r="U204" s="39">
        <v>10.01</v>
      </c>
      <c r="V204" s="39">
        <v>10.14</v>
      </c>
      <c r="W204" s="38">
        <v>0.92120000000000002</v>
      </c>
      <c r="X204" s="39">
        <v>58.33</v>
      </c>
      <c r="Y204" s="41">
        <v>371342.578458987</v>
      </c>
      <c r="Z204" s="39">
        <v>11790</v>
      </c>
      <c r="AA204" s="39">
        <v>5.6528321441432201</v>
      </c>
    </row>
    <row r="205" spans="1:27" s="22" customFormat="1" x14ac:dyDescent="0.25">
      <c r="A205" s="7" t="str">
        <f t="shared" si="3"/>
        <v>3523Providence Everett Medical Center411031677200, Respiratory Therapy</v>
      </c>
      <c r="B205" s="7"/>
      <c r="C205" s="29" t="s">
        <v>185</v>
      </c>
      <c r="D205" s="29" t="s">
        <v>1640</v>
      </c>
      <c r="E205" s="29" t="s">
        <v>186</v>
      </c>
      <c r="F205" s="29">
        <v>3523</v>
      </c>
      <c r="G205" s="4" t="s">
        <v>1641</v>
      </c>
      <c r="H205" s="5">
        <v>4110</v>
      </c>
      <c r="I205" s="4" t="s">
        <v>145</v>
      </c>
      <c r="J205" s="4" t="s">
        <v>44</v>
      </c>
      <c r="K205" s="4" t="s">
        <v>1725</v>
      </c>
      <c r="L205" s="4" t="s">
        <v>45</v>
      </c>
      <c r="M205" s="39">
        <v>48981.16</v>
      </c>
      <c r="N205" s="39">
        <v>46318.15</v>
      </c>
      <c r="O205" s="38">
        <v>0.97299999999999998</v>
      </c>
      <c r="P205" s="39">
        <v>1.97</v>
      </c>
      <c r="Q205" s="39">
        <v>2.12</v>
      </c>
      <c r="R205" s="38">
        <v>0.27779999999999999</v>
      </c>
      <c r="S205" s="40">
        <v>38</v>
      </c>
      <c r="T205" s="39">
        <v>2.12</v>
      </c>
      <c r="U205" s="39">
        <v>2.33</v>
      </c>
      <c r="V205" s="39">
        <v>2.73</v>
      </c>
      <c r="W205" s="38">
        <v>0.88239999999999996</v>
      </c>
      <c r="X205" s="39">
        <v>53.46</v>
      </c>
      <c r="Y205" s="41">
        <v>-399113.676397131</v>
      </c>
      <c r="Z205" s="39">
        <v>-10803</v>
      </c>
      <c r="AA205" s="39">
        <v>-5.1794360992313599</v>
      </c>
    </row>
    <row r="206" spans="1:27" s="22" customFormat="1" x14ac:dyDescent="0.25">
      <c r="A206" s="7" t="str">
        <f t="shared" si="3"/>
        <v>3523Providence Everett Medical Center303031674270, Pre Op-Post Rec of PACU (U,N)</v>
      </c>
      <c r="B206" s="7"/>
      <c r="C206" s="29" t="s">
        <v>185</v>
      </c>
      <c r="D206" s="29" t="s">
        <v>1640</v>
      </c>
      <c r="E206" s="29" t="s">
        <v>186</v>
      </c>
      <c r="F206" s="29">
        <v>3523</v>
      </c>
      <c r="G206" s="4" t="s">
        <v>1641</v>
      </c>
      <c r="H206" s="5">
        <v>3030</v>
      </c>
      <c r="I206" s="4" t="s">
        <v>80</v>
      </c>
      <c r="J206" s="4" t="s">
        <v>47</v>
      </c>
      <c r="K206" s="4" t="s">
        <v>1729</v>
      </c>
      <c r="L206" s="4" t="s">
        <v>81</v>
      </c>
      <c r="M206" s="39">
        <v>23841.02</v>
      </c>
      <c r="N206" s="39">
        <v>37931.42</v>
      </c>
      <c r="O206" s="38">
        <v>0.99990000000000001</v>
      </c>
      <c r="P206" s="39">
        <v>2.5099999999999998</v>
      </c>
      <c r="Q206" s="39">
        <v>1.58</v>
      </c>
      <c r="R206" s="38">
        <v>4.0599999999999997E-2</v>
      </c>
      <c r="S206" s="40">
        <v>41</v>
      </c>
      <c r="T206" s="39">
        <v>2.14</v>
      </c>
      <c r="U206" s="39">
        <v>2.2400000000000002</v>
      </c>
      <c r="V206" s="39">
        <v>2.66</v>
      </c>
      <c r="W206" s="38">
        <v>0.85929999999999995</v>
      </c>
      <c r="X206" s="39">
        <v>33.520000000000003</v>
      </c>
      <c r="Y206" s="41">
        <v>-1332900.5257440601</v>
      </c>
      <c r="Z206" s="39">
        <v>-28966</v>
      </c>
      <c r="AA206" s="39">
        <v>-13.887872556229199</v>
      </c>
    </row>
    <row r="207" spans="1:27" s="22" customFormat="1" x14ac:dyDescent="0.25">
      <c r="A207" s="7" t="str">
        <f t="shared" si="3"/>
        <v>3523Providence Everett Medical Center301131674200 74208 Surgery And Recovery Services</v>
      </c>
      <c r="B207" s="7"/>
      <c r="C207" s="29" t="s">
        <v>185</v>
      </c>
      <c r="D207" s="29" t="s">
        <v>1640</v>
      </c>
      <c r="E207" s="29" t="s">
        <v>186</v>
      </c>
      <c r="F207" s="29">
        <v>3523</v>
      </c>
      <c r="G207" s="4" t="s">
        <v>1641</v>
      </c>
      <c r="H207" s="5">
        <v>3011</v>
      </c>
      <c r="I207" s="4" t="s">
        <v>87</v>
      </c>
      <c r="J207" s="4" t="s">
        <v>47</v>
      </c>
      <c r="K207" s="4" t="s">
        <v>1727</v>
      </c>
      <c r="L207" s="4" t="s">
        <v>88</v>
      </c>
      <c r="M207" s="39">
        <v>15689.63</v>
      </c>
      <c r="N207" s="39">
        <v>16646.259999999998</v>
      </c>
      <c r="O207" s="38">
        <v>0.9</v>
      </c>
      <c r="P207" s="39">
        <v>10.31</v>
      </c>
      <c r="Q207" s="39">
        <v>9.84</v>
      </c>
      <c r="R207" s="38">
        <v>0.1</v>
      </c>
      <c r="S207" s="40">
        <v>41</v>
      </c>
      <c r="T207" s="39">
        <v>10.55</v>
      </c>
      <c r="U207" s="39">
        <v>10.94</v>
      </c>
      <c r="V207" s="39">
        <v>11.52</v>
      </c>
      <c r="W207" s="38">
        <v>0.88009999999999999</v>
      </c>
      <c r="X207" s="39">
        <v>89.52</v>
      </c>
      <c r="Y207" s="41">
        <v>-839384.18019096798</v>
      </c>
      <c r="Z207" s="39">
        <v>-20208</v>
      </c>
      <c r="AA207" s="39">
        <v>-9.6887855960655305</v>
      </c>
    </row>
    <row r="208" spans="1:27" s="22" customFormat="1" x14ac:dyDescent="0.25">
      <c r="A208" s="7" t="str">
        <f t="shared" si="3"/>
        <v>3523Providence Everett Medical Center345031676701 Vascular Ultrasound</v>
      </c>
      <c r="B208" s="7"/>
      <c r="C208" s="29" t="s">
        <v>185</v>
      </c>
      <c r="D208" s="29" t="s">
        <v>1640</v>
      </c>
      <c r="E208" s="29" t="s">
        <v>186</v>
      </c>
      <c r="F208" s="29">
        <v>3523</v>
      </c>
      <c r="G208" s="4" t="s">
        <v>1641</v>
      </c>
      <c r="H208" s="5">
        <v>3450</v>
      </c>
      <c r="I208" s="4" t="s">
        <v>122</v>
      </c>
      <c r="J208" s="4" t="s">
        <v>57</v>
      </c>
      <c r="K208" s="4" t="s">
        <v>1679</v>
      </c>
      <c r="L208" s="4" t="s">
        <v>99</v>
      </c>
      <c r="M208" s="39">
        <v>25106.15</v>
      </c>
      <c r="N208" s="39">
        <v>24902.92</v>
      </c>
      <c r="O208" s="38">
        <v>0.66669999999999996</v>
      </c>
      <c r="P208" s="39">
        <v>0.6</v>
      </c>
      <c r="Q208" s="39">
        <v>0.59</v>
      </c>
      <c r="R208" s="38">
        <v>0.85709999999999997</v>
      </c>
      <c r="S208" s="40">
        <v>43</v>
      </c>
      <c r="T208" s="39">
        <v>0.42</v>
      </c>
      <c r="U208" s="39">
        <v>0.45</v>
      </c>
      <c r="V208" s="39">
        <v>0.48</v>
      </c>
      <c r="W208" s="38">
        <v>0.89270000000000005</v>
      </c>
      <c r="X208" s="39">
        <v>7.95</v>
      </c>
      <c r="Y208" s="41">
        <v>167471.23665538599</v>
      </c>
      <c r="Z208" s="39">
        <v>4028</v>
      </c>
      <c r="AA208" s="39">
        <v>1.93126237835445</v>
      </c>
    </row>
    <row r="209" spans="1:27" s="22" customFormat="1" x14ac:dyDescent="0.25">
      <c r="A209" s="7" t="str">
        <f t="shared" si="3"/>
        <v>3523Providence Everett Medical Center347031676309 Diagnostic Imaging Millcreek</v>
      </c>
      <c r="B209" s="7"/>
      <c r="C209" s="29" t="s">
        <v>185</v>
      </c>
      <c r="D209" s="29" t="s">
        <v>1640</v>
      </c>
      <c r="E209" s="29" t="s">
        <v>186</v>
      </c>
      <c r="F209" s="29">
        <v>3523</v>
      </c>
      <c r="G209" s="4" t="s">
        <v>1641</v>
      </c>
      <c r="H209" s="5">
        <v>3470</v>
      </c>
      <c r="I209" s="4" t="s">
        <v>195</v>
      </c>
      <c r="J209" s="4" t="s">
        <v>57</v>
      </c>
      <c r="K209" s="4" t="s">
        <v>1681</v>
      </c>
      <c r="L209" s="4" t="s">
        <v>99</v>
      </c>
      <c r="M209" s="39">
        <v>9777.3700000000008</v>
      </c>
      <c r="N209" s="39">
        <v>13699.9</v>
      </c>
      <c r="O209" s="38">
        <v>0.52270000000000005</v>
      </c>
      <c r="P209" s="39">
        <v>0.78</v>
      </c>
      <c r="Q209" s="39">
        <v>0.67</v>
      </c>
      <c r="R209" s="38">
        <v>0.57140000000000002</v>
      </c>
      <c r="S209" s="40">
        <v>45</v>
      </c>
      <c r="T209" s="39">
        <v>0.52</v>
      </c>
      <c r="U209" s="39">
        <v>0.53</v>
      </c>
      <c r="V209" s="39">
        <v>0.63</v>
      </c>
      <c r="W209" s="38">
        <v>0.89559999999999995</v>
      </c>
      <c r="X209" s="39">
        <v>4.92</v>
      </c>
      <c r="Y209" s="41">
        <v>68586.609738693194</v>
      </c>
      <c r="Z209" s="39">
        <v>2154</v>
      </c>
      <c r="AA209" s="39">
        <v>1.0328854361061699</v>
      </c>
    </row>
    <row r="210" spans="1:27" s="22" customFormat="1" x14ac:dyDescent="0.25">
      <c r="A210" s="7" t="str">
        <f t="shared" si="3"/>
        <v>3523Providence Everett Medical Center111031661702 Med Renal A5</v>
      </c>
      <c r="B210" s="7"/>
      <c r="C210" s="29" t="s">
        <v>185</v>
      </c>
      <c r="D210" s="29" t="s">
        <v>1640</v>
      </c>
      <c r="E210" s="29" t="s">
        <v>186</v>
      </c>
      <c r="F210" s="29">
        <v>3523</v>
      </c>
      <c r="G210" s="4" t="s">
        <v>1641</v>
      </c>
      <c r="H210" s="5">
        <v>1110</v>
      </c>
      <c r="I210" s="4" t="s">
        <v>111</v>
      </c>
      <c r="J210" s="4" t="s">
        <v>23</v>
      </c>
      <c r="K210" s="4" t="s">
        <v>1691</v>
      </c>
      <c r="L210" s="4" t="s">
        <v>74</v>
      </c>
      <c r="M210" s="39">
        <v>9096.6200000000008</v>
      </c>
      <c r="N210" s="39">
        <v>9516</v>
      </c>
      <c r="O210" s="38">
        <v>0.55100000000000005</v>
      </c>
      <c r="P210" s="39">
        <v>11.23</v>
      </c>
      <c r="Q210" s="39">
        <v>11.15</v>
      </c>
      <c r="R210" s="38">
        <v>0.3478</v>
      </c>
      <c r="S210" s="40">
        <v>50</v>
      </c>
      <c r="T210" s="39">
        <v>10.82</v>
      </c>
      <c r="U210" s="39">
        <v>11.15</v>
      </c>
      <c r="V210" s="39">
        <v>11.48</v>
      </c>
      <c r="W210" s="38">
        <v>0.90849999999999997</v>
      </c>
      <c r="X210" s="39">
        <v>56.15</v>
      </c>
      <c r="Y210" s="41">
        <v>10961.9718638994</v>
      </c>
      <c r="Z210" s="39">
        <v>322</v>
      </c>
      <c r="AA210" s="39">
        <v>0.15457722844679</v>
      </c>
    </row>
    <row r="211" spans="1:27" s="22" customFormat="1" x14ac:dyDescent="0.25">
      <c r="A211" s="7" t="str">
        <f t="shared" si="3"/>
        <v>3523Providence Everett Medical Center111031661703, Nuero/Med/Tele 8N&amp;S</v>
      </c>
      <c r="B211" s="7"/>
      <c r="C211" s="29" t="s">
        <v>185</v>
      </c>
      <c r="D211" s="29" t="s">
        <v>1640</v>
      </c>
      <c r="E211" s="29" t="s">
        <v>186</v>
      </c>
      <c r="F211" s="29">
        <v>3523</v>
      </c>
      <c r="G211" s="4" t="s">
        <v>1641</v>
      </c>
      <c r="H211" s="5">
        <v>1110</v>
      </c>
      <c r="I211" s="4" t="s">
        <v>111</v>
      </c>
      <c r="J211" s="4" t="s">
        <v>23</v>
      </c>
      <c r="K211" s="4" t="s">
        <v>1692</v>
      </c>
      <c r="L211" s="4" t="s">
        <v>74</v>
      </c>
      <c r="M211" s="39">
        <v>20513.16</v>
      </c>
      <c r="N211" s="39">
        <v>18791</v>
      </c>
      <c r="O211" s="38">
        <v>1</v>
      </c>
      <c r="P211" s="39">
        <v>11.46</v>
      </c>
      <c r="Q211" s="39">
        <v>11.83</v>
      </c>
      <c r="R211" s="38">
        <v>0.6522</v>
      </c>
      <c r="S211" s="40">
        <v>50</v>
      </c>
      <c r="T211" s="39">
        <v>10.82</v>
      </c>
      <c r="U211" s="39">
        <v>11.1</v>
      </c>
      <c r="V211" s="39">
        <v>11.38</v>
      </c>
      <c r="W211" s="38">
        <v>0.91910000000000003</v>
      </c>
      <c r="X211" s="39">
        <v>116.31</v>
      </c>
      <c r="Y211" s="41">
        <v>556241.20888490102</v>
      </c>
      <c r="Z211" s="39">
        <v>15648</v>
      </c>
      <c r="AA211" s="39">
        <v>7.5026422599050697</v>
      </c>
    </row>
    <row r="212" spans="1:27" s="22" customFormat="1" x14ac:dyDescent="0.25">
      <c r="A212" s="7" t="str">
        <f t="shared" si="3"/>
        <v>3523Providence Everett Medical Center121131661707, Medical A6</v>
      </c>
      <c r="B212" s="7"/>
      <c r="C212" s="29" t="s">
        <v>185</v>
      </c>
      <c r="D212" s="29" t="s">
        <v>1640</v>
      </c>
      <c r="E212" s="29" t="s">
        <v>186</v>
      </c>
      <c r="F212" s="29">
        <v>3523</v>
      </c>
      <c r="G212" s="4" t="s">
        <v>1641</v>
      </c>
      <c r="H212" s="5">
        <v>1211</v>
      </c>
      <c r="I212" s="4" t="s">
        <v>161</v>
      </c>
      <c r="J212" s="4" t="s">
        <v>23</v>
      </c>
      <c r="K212" s="4" t="s">
        <v>1697</v>
      </c>
      <c r="L212" s="4" t="s">
        <v>74</v>
      </c>
      <c r="M212" s="39">
        <v>10373.89</v>
      </c>
      <c r="N212" s="39">
        <v>11325</v>
      </c>
      <c r="O212" s="38">
        <v>0.65380000000000005</v>
      </c>
      <c r="P212" s="39">
        <v>10.25</v>
      </c>
      <c r="Q212" s="39">
        <v>10.06</v>
      </c>
      <c r="R212" s="38">
        <v>0.3725</v>
      </c>
      <c r="S212" s="40">
        <v>53</v>
      </c>
      <c r="T212" s="39">
        <v>9.67</v>
      </c>
      <c r="U212" s="39">
        <v>10.050000000000001</v>
      </c>
      <c r="V212" s="39">
        <v>10.199999999999999</v>
      </c>
      <c r="W212" s="38">
        <v>0.91790000000000005</v>
      </c>
      <c r="X212" s="39">
        <v>59.66</v>
      </c>
      <c r="Y212" s="41">
        <v>14448.724263850199</v>
      </c>
      <c r="Z212" s="39">
        <v>437</v>
      </c>
      <c r="AA212" s="39">
        <v>0.20928783383826799</v>
      </c>
    </row>
    <row r="213" spans="1:27" s="22" customFormat="1" x14ac:dyDescent="0.25">
      <c r="A213" s="7" t="str">
        <f t="shared" si="3"/>
        <v>3523Providence Everett Medical Center423031675700, Cardiovascular Lab</v>
      </c>
      <c r="B213" s="7"/>
      <c r="C213" s="29" t="s">
        <v>185</v>
      </c>
      <c r="D213" s="29" t="s">
        <v>1640</v>
      </c>
      <c r="E213" s="29" t="s">
        <v>186</v>
      </c>
      <c r="F213" s="29">
        <v>3523</v>
      </c>
      <c r="G213" s="4" t="s">
        <v>1641</v>
      </c>
      <c r="H213" s="5">
        <v>4230</v>
      </c>
      <c r="I213" s="4" t="s">
        <v>96</v>
      </c>
      <c r="J213" s="4" t="s">
        <v>60</v>
      </c>
      <c r="K213" s="4" t="s">
        <v>1655</v>
      </c>
      <c r="L213" s="4" t="s">
        <v>97</v>
      </c>
      <c r="M213" s="39">
        <v>253320</v>
      </c>
      <c r="N213" s="39">
        <v>244136</v>
      </c>
      <c r="O213" s="38">
        <v>0.88680000000000003</v>
      </c>
      <c r="P213" s="39">
        <v>0.16</v>
      </c>
      <c r="Q213" s="39">
        <v>0.2</v>
      </c>
      <c r="R213" s="38">
        <v>0.45100000000000001</v>
      </c>
      <c r="S213" s="40">
        <v>54</v>
      </c>
      <c r="T213" s="39">
        <v>0.15</v>
      </c>
      <c r="U213" s="39">
        <v>0.16</v>
      </c>
      <c r="V213" s="39">
        <v>0.21</v>
      </c>
      <c r="W213" s="38">
        <v>0.91100000000000003</v>
      </c>
      <c r="X213" s="39">
        <v>25.18</v>
      </c>
      <c r="Y213" s="41">
        <v>519197.38160055398</v>
      </c>
      <c r="Z213" s="39">
        <v>9640</v>
      </c>
      <c r="AA213" s="39">
        <v>4.6219655626860998</v>
      </c>
    </row>
    <row r="214" spans="1:27" s="22" customFormat="1" x14ac:dyDescent="0.25">
      <c r="A214" s="7" t="str">
        <f t="shared" si="3"/>
        <v>3523Providence Everett Medical Center661031686100 Administration</v>
      </c>
      <c r="B214" s="7"/>
      <c r="C214" s="29" t="s">
        <v>185</v>
      </c>
      <c r="D214" s="29" t="s">
        <v>1640</v>
      </c>
      <c r="E214" s="29" t="s">
        <v>186</v>
      </c>
      <c r="F214" s="29">
        <v>3523</v>
      </c>
      <c r="G214" s="4" t="s">
        <v>1641</v>
      </c>
      <c r="H214" s="5">
        <v>6610</v>
      </c>
      <c r="I214" s="4" t="s">
        <v>72</v>
      </c>
      <c r="J214" s="4" t="s">
        <v>72</v>
      </c>
      <c r="K214" s="4" t="s">
        <v>1642</v>
      </c>
      <c r="L214" s="4" t="s">
        <v>14</v>
      </c>
      <c r="M214" s="39">
        <v>509.83</v>
      </c>
      <c r="N214" s="39">
        <v>469.99</v>
      </c>
      <c r="O214" s="7"/>
      <c r="P214" s="39">
        <v>65.63</v>
      </c>
      <c r="Q214" s="39">
        <v>76.56</v>
      </c>
      <c r="R214" s="38">
        <v>0.56699999999999995</v>
      </c>
      <c r="S214" s="40">
        <v>58</v>
      </c>
      <c r="T214" s="39">
        <v>57.29</v>
      </c>
      <c r="U214" s="39">
        <v>62.03</v>
      </c>
      <c r="V214" s="39">
        <v>73.739999999999995</v>
      </c>
      <c r="W214" s="38">
        <v>0.89670000000000005</v>
      </c>
      <c r="X214" s="39">
        <v>19.29</v>
      </c>
      <c r="Y214" s="41">
        <v>647771.95846933499</v>
      </c>
      <c r="Z214" s="39">
        <v>7721</v>
      </c>
      <c r="AA214" s="39">
        <v>3.7019644419837299</v>
      </c>
    </row>
    <row r="215" spans="1:27" s="22" customFormat="1" x14ac:dyDescent="0.25">
      <c r="A215" s="7" t="str">
        <f t="shared" si="3"/>
        <v>3523Providence Everett Medical Center441031677100, Pharmacy</v>
      </c>
      <c r="B215" s="7"/>
      <c r="C215" s="29" t="s">
        <v>185</v>
      </c>
      <c r="D215" s="29" t="s">
        <v>1640</v>
      </c>
      <c r="E215" s="29" t="s">
        <v>186</v>
      </c>
      <c r="F215" s="29">
        <v>3523</v>
      </c>
      <c r="G215" s="4" t="s">
        <v>1641</v>
      </c>
      <c r="H215" s="5">
        <v>4410</v>
      </c>
      <c r="I215" s="4" t="s">
        <v>37</v>
      </c>
      <c r="J215" s="4" t="s">
        <v>37</v>
      </c>
      <c r="K215" s="4" t="s">
        <v>1716</v>
      </c>
      <c r="L215" s="4" t="s">
        <v>100</v>
      </c>
      <c r="M215" s="39">
        <v>66380.240000000005</v>
      </c>
      <c r="N215" s="39">
        <v>62955.07</v>
      </c>
      <c r="O215" s="38">
        <v>0.75</v>
      </c>
      <c r="P215" s="39">
        <v>1.53</v>
      </c>
      <c r="Q215" s="39">
        <v>1.72</v>
      </c>
      <c r="R215" s="38">
        <v>0.3448</v>
      </c>
      <c r="S215" s="40">
        <v>61</v>
      </c>
      <c r="T215" s="39">
        <v>1.61</v>
      </c>
      <c r="U215" s="39">
        <v>1.72</v>
      </c>
      <c r="V215" s="39">
        <v>1.94</v>
      </c>
      <c r="W215" s="38">
        <v>0.88980000000000004</v>
      </c>
      <c r="X215" s="39">
        <v>58.39</v>
      </c>
      <c r="Y215" s="41">
        <v>3948.4208789988202</v>
      </c>
      <c r="Z215" s="39">
        <v>91</v>
      </c>
      <c r="AA215" s="39">
        <v>4.3485739997073801E-2</v>
      </c>
    </row>
    <row r="216" spans="1:27" s="22" customFormat="1" x14ac:dyDescent="0.25">
      <c r="A216" s="7" t="str">
        <f t="shared" si="3"/>
        <v>3523Providence Everett Medical Center101331660300, CCU CSSU 6S 7S</v>
      </c>
      <c r="B216" s="7"/>
      <c r="C216" s="29" t="s">
        <v>185</v>
      </c>
      <c r="D216" s="29" t="s">
        <v>1640</v>
      </c>
      <c r="E216" s="29" t="s">
        <v>186</v>
      </c>
      <c r="F216" s="29">
        <v>3523</v>
      </c>
      <c r="G216" s="4" t="s">
        <v>1641</v>
      </c>
      <c r="H216" s="5">
        <v>1013</v>
      </c>
      <c r="I216" s="4" t="s">
        <v>73</v>
      </c>
      <c r="J216" s="4" t="s">
        <v>23</v>
      </c>
      <c r="K216" s="4" t="s">
        <v>1690</v>
      </c>
      <c r="L216" s="4" t="s">
        <v>74</v>
      </c>
      <c r="M216" s="39">
        <v>13324.9</v>
      </c>
      <c r="N216" s="39">
        <v>12941</v>
      </c>
      <c r="O216" s="38">
        <v>1</v>
      </c>
      <c r="P216" s="39">
        <v>16.989999999999998</v>
      </c>
      <c r="Q216" s="39">
        <v>17.2</v>
      </c>
      <c r="R216" s="38">
        <v>0.1148</v>
      </c>
      <c r="S216" s="40">
        <v>62</v>
      </c>
      <c r="T216" s="39">
        <v>17.98</v>
      </c>
      <c r="U216" s="39">
        <v>18.54</v>
      </c>
      <c r="V216" s="39">
        <v>19.309999999999999</v>
      </c>
      <c r="W216" s="38">
        <v>0.85740000000000005</v>
      </c>
      <c r="X216" s="39">
        <v>124.84</v>
      </c>
      <c r="Y216" s="41">
        <v>-931294.36910095904</v>
      </c>
      <c r="Z216" s="39">
        <v>-19451</v>
      </c>
      <c r="AA216" s="39">
        <v>-9.3259304001962597</v>
      </c>
    </row>
    <row r="217" spans="1:27" s="22" customFormat="1" x14ac:dyDescent="0.25">
      <c r="A217" s="7" t="str">
        <f t="shared" si="3"/>
        <v>3523Providence Everett Medical Center346031676500, Nuclear Medicine</v>
      </c>
      <c r="B217" s="7"/>
      <c r="C217" s="29" t="s">
        <v>185</v>
      </c>
      <c r="D217" s="29" t="s">
        <v>1640</v>
      </c>
      <c r="E217" s="29" t="s">
        <v>186</v>
      </c>
      <c r="F217" s="29">
        <v>3523</v>
      </c>
      <c r="G217" s="4" t="s">
        <v>1641</v>
      </c>
      <c r="H217" s="5">
        <v>3460</v>
      </c>
      <c r="I217" s="4" t="s">
        <v>120</v>
      </c>
      <c r="J217" s="4" t="s">
        <v>57</v>
      </c>
      <c r="K217" s="4" t="s">
        <v>1680</v>
      </c>
      <c r="L217" s="4" t="s">
        <v>99</v>
      </c>
      <c r="M217" s="39">
        <v>57904.5</v>
      </c>
      <c r="N217" s="39">
        <v>56447.88</v>
      </c>
      <c r="O217" s="38">
        <v>0.96919999999999995</v>
      </c>
      <c r="P217" s="39">
        <v>0.23</v>
      </c>
      <c r="Q217" s="39">
        <v>0.25</v>
      </c>
      <c r="R217" s="38">
        <v>0.5736</v>
      </c>
      <c r="S217" s="40">
        <v>131</v>
      </c>
      <c r="T217" s="39">
        <v>0.2</v>
      </c>
      <c r="U217" s="39">
        <v>0.22</v>
      </c>
      <c r="V217" s="39">
        <v>0.24</v>
      </c>
      <c r="W217" s="38">
        <v>0.90129999999999999</v>
      </c>
      <c r="X217" s="39">
        <v>7.46</v>
      </c>
      <c r="Y217" s="41">
        <v>82017.997876200694</v>
      </c>
      <c r="Z217" s="39">
        <v>1781</v>
      </c>
      <c r="AA217" s="39">
        <v>0.85383974949248598</v>
      </c>
    </row>
    <row r="218" spans="1:27" s="22" customFormat="1" x14ac:dyDescent="0.25">
      <c r="A218" s="7" t="str">
        <f t="shared" si="3"/>
        <v>3523Providence Everett Medical Center121031661704, Surgical 10S</v>
      </c>
      <c r="B218" s="7"/>
      <c r="C218" s="29" t="s">
        <v>185</v>
      </c>
      <c r="D218" s="29" t="s">
        <v>1640</v>
      </c>
      <c r="E218" s="29" t="s">
        <v>186</v>
      </c>
      <c r="F218" s="29">
        <v>3523</v>
      </c>
      <c r="G218" s="4" t="s">
        <v>1641</v>
      </c>
      <c r="H218" s="5">
        <v>1210</v>
      </c>
      <c r="I218" s="4" t="s">
        <v>147</v>
      </c>
      <c r="J218" s="4" t="s">
        <v>23</v>
      </c>
      <c r="K218" s="4" t="s">
        <v>1696</v>
      </c>
      <c r="L218" s="4" t="s">
        <v>74</v>
      </c>
      <c r="M218" s="39">
        <v>9791.18</v>
      </c>
      <c r="N218" s="39">
        <v>10154</v>
      </c>
      <c r="O218" s="38">
        <v>0.68669999999999998</v>
      </c>
      <c r="P218" s="39">
        <v>10.33</v>
      </c>
      <c r="Q218" s="39">
        <v>10.17</v>
      </c>
      <c r="R218" s="38">
        <v>0.47549999999999998</v>
      </c>
      <c r="S218" s="40">
        <v>151</v>
      </c>
      <c r="T218" s="39">
        <v>9.6</v>
      </c>
      <c r="U218" s="39">
        <v>9.9700000000000006</v>
      </c>
      <c r="V218" s="39">
        <v>10.27</v>
      </c>
      <c r="W218" s="38">
        <v>0.88180000000000003</v>
      </c>
      <c r="X218" s="39">
        <v>56.3</v>
      </c>
      <c r="Y218" s="41">
        <v>97771.518149743599</v>
      </c>
      <c r="Z218" s="39">
        <v>2620</v>
      </c>
      <c r="AA218" s="39">
        <v>1.25594986404357</v>
      </c>
    </row>
    <row r="219" spans="1:27" s="22" customFormat="1" x14ac:dyDescent="0.25">
      <c r="A219" s="7" t="str">
        <f t="shared" si="3"/>
        <v>2687Providence Holy Cross Medical Center111072061744, 4S TELEMTRY</v>
      </c>
      <c r="B219" s="7"/>
      <c r="C219" s="29" t="s">
        <v>924</v>
      </c>
      <c r="D219" s="29" t="s">
        <v>924</v>
      </c>
      <c r="E219" s="29" t="s">
        <v>924</v>
      </c>
      <c r="F219" s="29">
        <v>2687</v>
      </c>
      <c r="G219" s="43" t="s">
        <v>925</v>
      </c>
      <c r="H219" s="42">
        <v>1110</v>
      </c>
      <c r="I219" s="43" t="s">
        <v>111</v>
      </c>
      <c r="J219" s="43" t="s">
        <v>23</v>
      </c>
      <c r="K219" s="43" t="s">
        <v>928</v>
      </c>
      <c r="L219" s="43" t="s">
        <v>74</v>
      </c>
      <c r="M219" s="46">
        <v>8741</v>
      </c>
      <c r="N219" s="46">
        <v>8043</v>
      </c>
      <c r="O219" s="45">
        <v>0.66669999999999996</v>
      </c>
      <c r="P219" s="46">
        <v>11.83</v>
      </c>
      <c r="Q219" s="46">
        <v>12.28</v>
      </c>
      <c r="R219" s="45">
        <v>0.2</v>
      </c>
      <c r="S219" s="47">
        <v>6</v>
      </c>
      <c r="T219" s="46">
        <v>12.33</v>
      </c>
      <c r="U219" s="46">
        <v>12.44</v>
      </c>
      <c r="V219" s="46">
        <v>12.65</v>
      </c>
      <c r="W219" s="138">
        <v>0.92430000000000001</v>
      </c>
      <c r="X219" s="46">
        <v>51.38</v>
      </c>
      <c r="Y219" s="48">
        <f>Z219*42.21</f>
        <v>-58767.937682570657</v>
      </c>
      <c r="Z219" s="47">
        <f>SUM((Q219-U219)*N219)/W219</f>
        <v>-1392.2752353132114</v>
      </c>
      <c r="AA219" s="46">
        <f>+Z219/2085.7</f>
        <v>-0.66753379455972173</v>
      </c>
    </row>
    <row r="220" spans="1:27" s="22" customFormat="1" x14ac:dyDescent="0.25">
      <c r="A220" s="7" t="str">
        <f t="shared" si="3"/>
        <v>2687Providence Holy Cross Medical Center153572065600 Subacute Nursing Inpatient Unit</v>
      </c>
      <c r="B220" s="7"/>
      <c r="C220" s="29" t="s">
        <v>924</v>
      </c>
      <c r="D220" s="29" t="s">
        <v>924</v>
      </c>
      <c r="E220" s="29" t="s">
        <v>924</v>
      </c>
      <c r="F220" s="29">
        <v>2687</v>
      </c>
      <c r="G220" s="4" t="s">
        <v>925</v>
      </c>
      <c r="H220" s="5">
        <v>1535</v>
      </c>
      <c r="I220" s="4" t="s">
        <v>926</v>
      </c>
      <c r="J220" s="4" t="s">
        <v>23</v>
      </c>
      <c r="K220" s="4" t="s">
        <v>927</v>
      </c>
      <c r="L220" s="4" t="s">
        <v>114</v>
      </c>
      <c r="M220" s="39">
        <v>15564</v>
      </c>
      <c r="N220" s="39">
        <v>16784</v>
      </c>
      <c r="O220" s="38">
        <v>1</v>
      </c>
      <c r="P220" s="39">
        <v>8.98</v>
      </c>
      <c r="Q220" s="39">
        <v>8.65</v>
      </c>
      <c r="R220" s="38">
        <v>0.8</v>
      </c>
      <c r="S220" s="40">
        <v>6</v>
      </c>
      <c r="T220" s="39">
        <v>7.25</v>
      </c>
      <c r="U220" s="39">
        <v>7.76</v>
      </c>
      <c r="V220" s="39">
        <v>8.2100000000000009</v>
      </c>
      <c r="W220" s="52">
        <v>0.90769999999999995</v>
      </c>
      <c r="X220" s="39">
        <v>76.92</v>
      </c>
      <c r="Y220" s="41">
        <v>560389.94129641505</v>
      </c>
      <c r="Z220" s="40">
        <v>16944</v>
      </c>
      <c r="AA220" s="39">
        <v>8.1240272938495206</v>
      </c>
    </row>
    <row r="221" spans="1:27" s="22" customFormat="1" x14ac:dyDescent="0.25">
      <c r="A221" s="7" t="str">
        <f t="shared" si="3"/>
        <v>2687Providence Holy Cross Medical Center411072077200 Respiratory Therapy</v>
      </c>
      <c r="B221" s="7"/>
      <c r="C221" s="29" t="s">
        <v>924</v>
      </c>
      <c r="D221" s="29" t="s">
        <v>924</v>
      </c>
      <c r="E221" s="29" t="s">
        <v>924</v>
      </c>
      <c r="F221" s="29">
        <v>2687</v>
      </c>
      <c r="G221" s="43" t="s">
        <v>925</v>
      </c>
      <c r="H221" s="42">
        <v>4110</v>
      </c>
      <c r="I221" s="43" t="s">
        <v>145</v>
      </c>
      <c r="J221" s="43" t="s">
        <v>44</v>
      </c>
      <c r="K221" s="43" t="s">
        <v>929</v>
      </c>
      <c r="L221" s="43" t="s">
        <v>99</v>
      </c>
      <c r="M221" s="46">
        <v>227385.62</v>
      </c>
      <c r="N221" s="46">
        <v>422442.13</v>
      </c>
      <c r="O221" s="45">
        <v>0.57140000000000002</v>
      </c>
      <c r="P221" s="46">
        <v>0.53</v>
      </c>
      <c r="Q221" s="139">
        <v>0.30494188635967723</v>
      </c>
      <c r="R221" s="45" t="s">
        <v>930</v>
      </c>
      <c r="S221" s="47">
        <v>7</v>
      </c>
      <c r="T221" s="46">
        <v>0.25</v>
      </c>
      <c r="U221" s="46">
        <v>0.26</v>
      </c>
      <c r="V221" s="46">
        <v>0.28999999999999998</v>
      </c>
      <c r="W221" s="138">
        <v>0.89270000000000005</v>
      </c>
      <c r="X221" s="46">
        <v>69.37</v>
      </c>
      <c r="Y221" s="48">
        <f>Z221*40.05</f>
        <v>851756.59830850165</v>
      </c>
      <c r="Z221" s="47">
        <f>SUM((Q221-U221)*N221)/W221</f>
        <v>21267.330794219768</v>
      </c>
      <c r="AA221" s="46">
        <f>+Z221/2085.7</f>
        <v>10.196735289936122</v>
      </c>
    </row>
    <row r="222" spans="1:27" s="22" customFormat="1" x14ac:dyDescent="0.25">
      <c r="A222" s="7" t="str">
        <f t="shared" si="3"/>
        <v>2687Providence Holy Cross Medical Center581072083600 Social Work Services</v>
      </c>
      <c r="B222" s="7"/>
      <c r="C222" s="29" t="s">
        <v>924</v>
      </c>
      <c r="D222" s="29" t="s">
        <v>924</v>
      </c>
      <c r="E222" s="29" t="s">
        <v>924</v>
      </c>
      <c r="F222" s="29">
        <v>2687</v>
      </c>
      <c r="G222" s="43" t="s">
        <v>925</v>
      </c>
      <c r="H222" s="42">
        <v>5810</v>
      </c>
      <c r="I222" s="43" t="s">
        <v>133</v>
      </c>
      <c r="J222" s="43" t="s">
        <v>26</v>
      </c>
      <c r="K222" s="43" t="s">
        <v>934</v>
      </c>
      <c r="L222" s="43" t="s">
        <v>134</v>
      </c>
      <c r="M222" s="46">
        <v>4800</v>
      </c>
      <c r="N222" s="46">
        <v>36772</v>
      </c>
      <c r="O222" s="45">
        <v>0</v>
      </c>
      <c r="P222" s="46">
        <v>5.79</v>
      </c>
      <c r="Q222" s="46">
        <f>16026.27/N222</f>
        <v>0.43582807570977922</v>
      </c>
      <c r="R222" s="45">
        <v>1</v>
      </c>
      <c r="S222" s="47">
        <v>8</v>
      </c>
      <c r="T222" s="46">
        <v>0.92</v>
      </c>
      <c r="U222" s="46">
        <v>0.94</v>
      </c>
      <c r="V222" s="46">
        <v>0.98</v>
      </c>
      <c r="W222" s="138">
        <v>0.88700000000000001</v>
      </c>
      <c r="X222" s="46">
        <v>8.69</v>
      </c>
      <c r="Y222" s="48">
        <f>Z222*37.81</f>
        <v>-790276.3157835399</v>
      </c>
      <c r="Z222" s="47">
        <f>SUM((Q222-U222)*N222)/W222</f>
        <v>-20901.25140924464</v>
      </c>
      <c r="AA222" s="46">
        <f>+Z222/2085.7</f>
        <v>-10.0212165744089</v>
      </c>
    </row>
    <row r="223" spans="1:27" s="22" customFormat="1" x14ac:dyDescent="0.25">
      <c r="A223" s="7" t="str">
        <f t="shared" si="3"/>
        <v>2687Providence Holy Cross Medical Center641072087530 Epidemiology</v>
      </c>
      <c r="B223" s="7"/>
      <c r="C223" s="29" t="s">
        <v>924</v>
      </c>
      <c r="D223" s="29" t="s">
        <v>924</v>
      </c>
      <c r="E223" s="29" t="s">
        <v>924</v>
      </c>
      <c r="F223" s="29">
        <v>2687</v>
      </c>
      <c r="G223" s="4" t="s">
        <v>925</v>
      </c>
      <c r="H223" s="5">
        <v>6410</v>
      </c>
      <c r="I223" s="4" t="s">
        <v>29</v>
      </c>
      <c r="J223" s="4" t="s">
        <v>30</v>
      </c>
      <c r="K223" s="4" t="s">
        <v>933</v>
      </c>
      <c r="L223" s="4" t="s">
        <v>31</v>
      </c>
      <c r="M223" s="7"/>
      <c r="N223" s="39">
        <v>152</v>
      </c>
      <c r="O223" s="7"/>
      <c r="P223" s="7"/>
      <c r="Q223" s="39">
        <v>41.38</v>
      </c>
      <c r="R223" s="7"/>
      <c r="S223" s="40">
        <v>8</v>
      </c>
      <c r="T223" s="39">
        <v>35.909999999999997</v>
      </c>
      <c r="U223" s="39">
        <v>52.48</v>
      </c>
      <c r="V223" s="39">
        <v>83.39</v>
      </c>
      <c r="W223" s="52">
        <v>0.89549999999999996</v>
      </c>
      <c r="X223" s="39">
        <v>3.38</v>
      </c>
      <c r="Y223" s="41">
        <v>-89243.376648851801</v>
      </c>
      <c r="Z223" s="40">
        <v>-1858</v>
      </c>
      <c r="AA223" s="39">
        <v>-0.89090570505540601</v>
      </c>
    </row>
    <row r="224" spans="1:27" s="22" customFormat="1" x14ac:dyDescent="0.25">
      <c r="A224" s="7" t="str">
        <f t="shared" si="3"/>
        <v>2687Providence Holy Cross Medical Center121472061731, 2D ONCOLOGY</v>
      </c>
      <c r="B224" s="7"/>
      <c r="C224" s="29" t="s">
        <v>924</v>
      </c>
      <c r="D224" s="29" t="s">
        <v>924</v>
      </c>
      <c r="E224" s="29" t="s">
        <v>924</v>
      </c>
      <c r="F224" s="29">
        <v>2687</v>
      </c>
      <c r="G224" s="4" t="s">
        <v>925</v>
      </c>
      <c r="H224" s="5">
        <v>1214</v>
      </c>
      <c r="I224" s="4" t="s">
        <v>109</v>
      </c>
      <c r="J224" s="4" t="s">
        <v>23</v>
      </c>
      <c r="K224" s="4" t="s">
        <v>931</v>
      </c>
      <c r="L224" s="4" t="s">
        <v>74</v>
      </c>
      <c r="M224" s="39">
        <v>0</v>
      </c>
      <c r="N224" s="39">
        <v>2927</v>
      </c>
      <c r="O224" s="38">
        <v>0</v>
      </c>
      <c r="P224" s="7"/>
      <c r="Q224" s="39">
        <v>12.68</v>
      </c>
      <c r="R224" s="38">
        <v>0.85709999999999997</v>
      </c>
      <c r="S224" s="40">
        <v>8</v>
      </c>
      <c r="T224" s="39">
        <v>10.69</v>
      </c>
      <c r="U224" s="39">
        <v>11.05</v>
      </c>
      <c r="V224" s="39">
        <v>11.19</v>
      </c>
      <c r="W224" s="52">
        <v>0.92420000000000002</v>
      </c>
      <c r="X224" s="39">
        <v>19.309999999999999</v>
      </c>
      <c r="Y224" s="41">
        <v>242848.31001094499</v>
      </c>
      <c r="Z224" s="40">
        <v>5279</v>
      </c>
      <c r="AA224" s="39">
        <v>2.5309566867766402</v>
      </c>
    </row>
    <row r="225" spans="1:27" s="22" customFormat="1" x14ac:dyDescent="0.25">
      <c r="A225" s="7" t="str">
        <f t="shared" si="3"/>
        <v>2687Providence Holy Cross Medical Center463072077600 Endoscopy (GI) Laboratory</v>
      </c>
      <c r="B225" s="7"/>
      <c r="C225" s="29" t="s">
        <v>924</v>
      </c>
      <c r="D225" s="29" t="s">
        <v>924</v>
      </c>
      <c r="E225" s="29" t="s">
        <v>924</v>
      </c>
      <c r="F225" s="29">
        <v>2687</v>
      </c>
      <c r="G225" s="4" t="s">
        <v>925</v>
      </c>
      <c r="H225" s="5">
        <v>4630</v>
      </c>
      <c r="I225" s="4" t="s">
        <v>104</v>
      </c>
      <c r="J225" s="4" t="s">
        <v>83</v>
      </c>
      <c r="K225" s="4" t="s">
        <v>932</v>
      </c>
      <c r="L225" s="4" t="s">
        <v>99</v>
      </c>
      <c r="M225" s="39">
        <v>14191.25</v>
      </c>
      <c r="N225" s="39">
        <v>33.25</v>
      </c>
      <c r="O225" s="38">
        <v>0.42859999999999998</v>
      </c>
      <c r="P225" s="39">
        <v>1.81</v>
      </c>
      <c r="Q225" s="39">
        <v>791.22</v>
      </c>
      <c r="R225" s="38">
        <v>0.57140000000000002</v>
      </c>
      <c r="S225" s="40">
        <v>8</v>
      </c>
      <c r="T225" s="39">
        <v>88.93</v>
      </c>
      <c r="U225" s="39">
        <v>266.36</v>
      </c>
      <c r="V225" s="39">
        <v>629.13</v>
      </c>
      <c r="W225" s="52">
        <v>0.8921</v>
      </c>
      <c r="X225" s="39">
        <v>14.18</v>
      </c>
      <c r="Y225" s="41">
        <v>846612.43873743794</v>
      </c>
      <c r="Z225" s="40">
        <v>19648</v>
      </c>
      <c r="AA225" s="39">
        <v>9.4201279858221003</v>
      </c>
    </row>
    <row r="226" spans="1:27" s="22" customFormat="1" x14ac:dyDescent="0.25">
      <c r="A226" s="7" t="str">
        <f t="shared" si="3"/>
        <v>2687Providence Holy Cross Medical Center511072083400 Dietary Patient Services</v>
      </c>
      <c r="B226" s="7"/>
      <c r="C226" s="29" t="s">
        <v>924</v>
      </c>
      <c r="D226" s="29" t="s">
        <v>924</v>
      </c>
      <c r="E226" s="29" t="s">
        <v>924</v>
      </c>
      <c r="F226" s="29">
        <v>2687</v>
      </c>
      <c r="G226" s="43" t="s">
        <v>925</v>
      </c>
      <c r="H226" s="42">
        <v>5110</v>
      </c>
      <c r="I226" s="43" t="s">
        <v>129</v>
      </c>
      <c r="J226" s="43" t="s">
        <v>65</v>
      </c>
      <c r="K226" s="43" t="s">
        <v>935</v>
      </c>
      <c r="L226" s="43" t="s">
        <v>130</v>
      </c>
      <c r="M226" s="71"/>
      <c r="N226" s="46">
        <v>341221.45</v>
      </c>
      <c r="O226" s="71"/>
      <c r="P226" s="71"/>
      <c r="Q226" s="46">
        <f>81220.26/N226</f>
        <v>0.23802800204969526</v>
      </c>
      <c r="R226" s="71"/>
      <c r="S226" s="47">
        <v>8</v>
      </c>
      <c r="T226" s="46">
        <v>0.32</v>
      </c>
      <c r="U226" s="46">
        <v>0.33</v>
      </c>
      <c r="V226" s="46">
        <v>0.35</v>
      </c>
      <c r="W226" s="138">
        <v>0.91820000000000002</v>
      </c>
      <c r="X226" s="46">
        <v>42.53</v>
      </c>
      <c r="Y226" s="48">
        <f>Z226*18.05</f>
        <v>-616924.28003158385</v>
      </c>
      <c r="Z226" s="47">
        <f>SUM((Q226-U226)*N226)/W226</f>
        <v>-34178.630472663921</v>
      </c>
      <c r="AA226" s="46">
        <f>+Z226/2085.7</f>
        <v>-16.387126850776202</v>
      </c>
    </row>
    <row r="227" spans="1:27" s="22" customFormat="1" x14ac:dyDescent="0.25">
      <c r="A227" s="7" t="str">
        <f t="shared" si="3"/>
        <v>2687Providence Holy Cross Medical Center481172077700 Physical Therapy Inpatient</v>
      </c>
      <c r="B227" s="7"/>
      <c r="C227" s="29" t="s">
        <v>924</v>
      </c>
      <c r="D227" s="29" t="s">
        <v>924</v>
      </c>
      <c r="E227" s="29" t="s">
        <v>924</v>
      </c>
      <c r="F227" s="29">
        <v>2687</v>
      </c>
      <c r="G227" s="4" t="s">
        <v>925</v>
      </c>
      <c r="H227" s="5">
        <v>4811</v>
      </c>
      <c r="I227" s="4" t="s">
        <v>124</v>
      </c>
      <c r="J227" s="4" t="s">
        <v>41</v>
      </c>
      <c r="K227" s="4" t="s">
        <v>938</v>
      </c>
      <c r="L227" s="4" t="s">
        <v>79</v>
      </c>
      <c r="M227" s="39">
        <v>1451.93</v>
      </c>
      <c r="N227" s="39">
        <v>1836.87</v>
      </c>
      <c r="O227" s="38">
        <v>0.625</v>
      </c>
      <c r="P227" s="39">
        <v>29.12</v>
      </c>
      <c r="Q227" s="39">
        <v>23.36</v>
      </c>
      <c r="R227" s="38">
        <v>0.375</v>
      </c>
      <c r="S227" s="40">
        <v>9</v>
      </c>
      <c r="T227" s="39">
        <v>22.01</v>
      </c>
      <c r="U227" s="39">
        <v>23.09</v>
      </c>
      <c r="V227" s="39">
        <v>24.81</v>
      </c>
      <c r="W227" s="52">
        <v>0.90039999999999998</v>
      </c>
      <c r="X227" s="39">
        <v>22.91</v>
      </c>
      <c r="Y227" s="41">
        <v>26270.813001511498</v>
      </c>
      <c r="Z227" s="40">
        <v>678</v>
      </c>
      <c r="AA227" s="39">
        <v>0.32526356401199102</v>
      </c>
    </row>
    <row r="228" spans="1:27" s="22" customFormat="1" x14ac:dyDescent="0.25">
      <c r="A228" s="7" t="str">
        <f t="shared" si="3"/>
        <v>2687Providence Holy Cross Medical Center111272061540, 3C TELE PULMONARY</v>
      </c>
      <c r="B228" s="7"/>
      <c r="C228" s="29" t="s">
        <v>924</v>
      </c>
      <c r="D228" s="29" t="s">
        <v>924</v>
      </c>
      <c r="E228" s="29" t="s">
        <v>924</v>
      </c>
      <c r="F228" s="29">
        <v>2687</v>
      </c>
      <c r="G228" s="4" t="s">
        <v>925</v>
      </c>
      <c r="H228" s="5">
        <v>1112</v>
      </c>
      <c r="I228" s="4" t="s">
        <v>936</v>
      </c>
      <c r="J228" s="4" t="s">
        <v>23</v>
      </c>
      <c r="K228" s="4" t="s">
        <v>937</v>
      </c>
      <c r="L228" s="4" t="s">
        <v>74</v>
      </c>
      <c r="M228" s="39">
        <v>6045</v>
      </c>
      <c r="N228" s="39">
        <v>6351</v>
      </c>
      <c r="O228" s="38">
        <v>0</v>
      </c>
      <c r="P228" s="39">
        <v>13.12</v>
      </c>
      <c r="Q228" s="39">
        <v>13.01</v>
      </c>
      <c r="R228" s="38">
        <v>0.75</v>
      </c>
      <c r="S228" s="40">
        <v>9</v>
      </c>
      <c r="T228" s="39">
        <v>10.85</v>
      </c>
      <c r="U228" s="39">
        <v>11.4</v>
      </c>
      <c r="V228" s="39">
        <v>12.08</v>
      </c>
      <c r="W228" s="52">
        <v>0.91700000000000004</v>
      </c>
      <c r="X228" s="39">
        <v>43.31</v>
      </c>
      <c r="Y228" s="41">
        <v>460086.88815612602</v>
      </c>
      <c r="Z228" s="40">
        <v>11377</v>
      </c>
      <c r="AA228" s="39">
        <v>5.4547788856025203</v>
      </c>
    </row>
    <row r="229" spans="1:27" s="22" customFormat="1" x14ac:dyDescent="0.25">
      <c r="A229" s="7" t="str">
        <f t="shared" si="3"/>
        <v>2687Providence Holy Cross Medical Center112272061510, 3A/3B TELE NEURO</v>
      </c>
      <c r="B229" s="7"/>
      <c r="C229" s="29" t="s">
        <v>924</v>
      </c>
      <c r="D229" s="29" t="s">
        <v>924</v>
      </c>
      <c r="E229" s="29" t="s">
        <v>924</v>
      </c>
      <c r="F229" s="29">
        <v>2687</v>
      </c>
      <c r="G229" s="43" t="s">
        <v>925</v>
      </c>
      <c r="H229" s="42">
        <v>1122</v>
      </c>
      <c r="I229" s="43" t="s">
        <v>105</v>
      </c>
      <c r="J229" s="43" t="s">
        <v>23</v>
      </c>
      <c r="K229" s="43" t="s">
        <v>939</v>
      </c>
      <c r="L229" s="43" t="s">
        <v>74</v>
      </c>
      <c r="M229" s="46">
        <v>6019</v>
      </c>
      <c r="N229" s="46">
        <v>12884</v>
      </c>
      <c r="O229" s="45">
        <v>1</v>
      </c>
      <c r="P229" s="46">
        <v>11.91</v>
      </c>
      <c r="Q229" s="46">
        <v>11.59</v>
      </c>
      <c r="R229" s="45">
        <v>0.22220000000000001</v>
      </c>
      <c r="S229" s="47">
        <v>10</v>
      </c>
      <c r="T229" s="46">
        <v>11.8</v>
      </c>
      <c r="U229" s="46">
        <v>12.49</v>
      </c>
      <c r="V229" s="46">
        <v>13.84</v>
      </c>
      <c r="W229" s="138">
        <v>0.90229999999999999</v>
      </c>
      <c r="X229" s="46">
        <v>79.55</v>
      </c>
      <c r="Y229" s="48">
        <f>Z229*40.24</f>
        <v>-517130.60401196964</v>
      </c>
      <c r="Z229" s="47">
        <f>SUM((Q229-U229)*N229)/W229</f>
        <v>-12851.158151390895</v>
      </c>
      <c r="AA229" s="46">
        <f>+Z229/2085.7</f>
        <v>-6.1615563846147081</v>
      </c>
    </row>
    <row r="230" spans="1:27" s="22" customFormat="1" x14ac:dyDescent="0.25">
      <c r="A230" s="7" t="str">
        <f t="shared" si="3"/>
        <v>2687Providence Holy Cross Medical Center201072070100, 72070120 Emergency Department / Trauma</v>
      </c>
      <c r="B230" s="7"/>
      <c r="C230" s="29" t="s">
        <v>924</v>
      </c>
      <c r="D230" s="29" t="s">
        <v>924</v>
      </c>
      <c r="E230" s="29" t="s">
        <v>924</v>
      </c>
      <c r="F230" s="29">
        <v>2687</v>
      </c>
      <c r="G230" s="4" t="s">
        <v>925</v>
      </c>
      <c r="H230" s="5">
        <v>2010</v>
      </c>
      <c r="I230" s="4" t="s">
        <v>75</v>
      </c>
      <c r="J230" s="4" t="s">
        <v>76</v>
      </c>
      <c r="K230" s="4" t="s">
        <v>942</v>
      </c>
      <c r="L230" s="4" t="s">
        <v>77</v>
      </c>
      <c r="M230" s="39">
        <v>93203</v>
      </c>
      <c r="N230" s="39">
        <v>105613</v>
      </c>
      <c r="O230" s="38">
        <v>0.7</v>
      </c>
      <c r="P230" s="39">
        <v>2.2799999999999998</v>
      </c>
      <c r="Q230" s="39">
        <v>2.16</v>
      </c>
      <c r="R230" s="38">
        <v>0</v>
      </c>
      <c r="S230" s="40">
        <v>11</v>
      </c>
      <c r="T230" s="39">
        <v>2.41</v>
      </c>
      <c r="U230" s="39">
        <v>2.61</v>
      </c>
      <c r="V230" s="39">
        <v>2.88</v>
      </c>
      <c r="W230" s="52">
        <v>0.91639999999999999</v>
      </c>
      <c r="X230" s="39">
        <v>117.3</v>
      </c>
      <c r="Y230" s="41">
        <v>-2596637.7893500398</v>
      </c>
      <c r="Z230" s="40">
        <v>-56144</v>
      </c>
      <c r="AA230" s="39">
        <v>-26.918496901444001</v>
      </c>
    </row>
    <row r="231" spans="1:27" s="22" customFormat="1" x14ac:dyDescent="0.25">
      <c r="A231" s="7" t="str">
        <f t="shared" si="3"/>
        <v>2687Providence Holy Cross Medical Center482572077900 Occupational Therapy - Acute Inpatient &amp; Outpatient</v>
      </c>
      <c r="B231" s="7"/>
      <c r="C231" s="29" t="s">
        <v>924</v>
      </c>
      <c r="D231" s="29" t="s">
        <v>924</v>
      </c>
      <c r="E231" s="29" t="s">
        <v>924</v>
      </c>
      <c r="F231" s="29">
        <v>2687</v>
      </c>
      <c r="G231" s="4" t="s">
        <v>925</v>
      </c>
      <c r="H231" s="5">
        <v>4825</v>
      </c>
      <c r="I231" s="4" t="s">
        <v>128</v>
      </c>
      <c r="J231" s="4" t="s">
        <v>41</v>
      </c>
      <c r="K231" s="4" t="s">
        <v>941</v>
      </c>
      <c r="L231" s="4" t="s">
        <v>79</v>
      </c>
      <c r="M231" s="39">
        <v>633.15</v>
      </c>
      <c r="N231" s="39">
        <v>962.42</v>
      </c>
      <c r="O231" s="38">
        <v>0.6</v>
      </c>
      <c r="P231" s="39">
        <v>27.11</v>
      </c>
      <c r="Q231" s="39">
        <v>20.56</v>
      </c>
      <c r="R231" s="38">
        <v>0</v>
      </c>
      <c r="S231" s="40">
        <v>11</v>
      </c>
      <c r="T231" s="39">
        <v>21.74</v>
      </c>
      <c r="U231" s="39">
        <v>22.46</v>
      </c>
      <c r="V231" s="39">
        <v>23.61</v>
      </c>
      <c r="W231" s="52">
        <v>0.90439999999999998</v>
      </c>
      <c r="X231" s="39">
        <v>10.52</v>
      </c>
      <c r="Y231" s="41">
        <v>-90765.001608085397</v>
      </c>
      <c r="Z231" s="40">
        <v>-1959</v>
      </c>
      <c r="AA231" s="39">
        <v>-0.93940309994489501</v>
      </c>
    </row>
    <row r="232" spans="1:27" s="22" customFormat="1" x14ac:dyDescent="0.25">
      <c r="A232" s="7" t="str">
        <f t="shared" si="3"/>
        <v>2687Providence Holy Cross Medical Center101372060100, INTENSIVE CARE UNIT</v>
      </c>
      <c r="B232" s="7"/>
      <c r="C232" s="29" t="s">
        <v>924</v>
      </c>
      <c r="D232" s="29" t="s">
        <v>924</v>
      </c>
      <c r="E232" s="29" t="s">
        <v>924</v>
      </c>
      <c r="F232" s="29">
        <v>2687</v>
      </c>
      <c r="G232" s="4" t="s">
        <v>925</v>
      </c>
      <c r="H232" s="5">
        <v>1013</v>
      </c>
      <c r="I232" s="4" t="s">
        <v>73</v>
      </c>
      <c r="J232" s="4" t="s">
        <v>23</v>
      </c>
      <c r="K232" s="4" t="s">
        <v>940</v>
      </c>
      <c r="L232" s="4" t="s">
        <v>74</v>
      </c>
      <c r="M232" s="39">
        <v>8311</v>
      </c>
      <c r="N232" s="59">
        <v>8208</v>
      </c>
      <c r="O232" s="38">
        <v>0.9</v>
      </c>
      <c r="P232" s="39">
        <v>21.87</v>
      </c>
      <c r="Q232" s="39">
        <v>22.6</v>
      </c>
      <c r="R232" s="38">
        <v>1</v>
      </c>
      <c r="S232" s="40">
        <v>11</v>
      </c>
      <c r="T232" s="39">
        <v>17.670000000000002</v>
      </c>
      <c r="U232" s="39">
        <v>18.27</v>
      </c>
      <c r="V232" s="39">
        <v>18.79</v>
      </c>
      <c r="W232" s="52">
        <v>0.90549999999999997</v>
      </c>
      <c r="X232" s="39">
        <v>98.51</v>
      </c>
      <c r="Y232" s="41">
        <v>2094526.15610773</v>
      </c>
      <c r="Z232" s="40">
        <v>39852</v>
      </c>
      <c r="AA232" s="39">
        <v>19.107239856892001</v>
      </c>
    </row>
    <row r="233" spans="1:27" s="22" customFormat="1" x14ac:dyDescent="0.25">
      <c r="A233" s="7" t="str">
        <f t="shared" si="3"/>
        <v>2687Providence Holy Cross Medical Center422072076100 Cardiology Non-Invasive Diagnostic</v>
      </c>
      <c r="B233" s="7"/>
      <c r="C233" s="29" t="s">
        <v>924</v>
      </c>
      <c r="D233" s="29" t="s">
        <v>924</v>
      </c>
      <c r="E233" s="29" t="s">
        <v>924</v>
      </c>
      <c r="F233" s="29">
        <v>2687</v>
      </c>
      <c r="G233" s="4" t="s">
        <v>925</v>
      </c>
      <c r="H233" s="5">
        <v>4220</v>
      </c>
      <c r="I233" s="4" t="s">
        <v>98</v>
      </c>
      <c r="J233" s="4" t="s">
        <v>60</v>
      </c>
      <c r="K233" s="4" t="s">
        <v>943</v>
      </c>
      <c r="L233" s="4" t="s">
        <v>99</v>
      </c>
      <c r="M233" s="39">
        <v>51373.66</v>
      </c>
      <c r="N233" s="39">
        <v>79776</v>
      </c>
      <c r="O233" s="38">
        <v>0.61539999999999995</v>
      </c>
      <c r="P233" s="39">
        <v>0.5</v>
      </c>
      <c r="Q233" s="39">
        <v>0.35</v>
      </c>
      <c r="R233" s="38">
        <v>0.83330000000000004</v>
      </c>
      <c r="S233" s="40">
        <v>14</v>
      </c>
      <c r="T233" s="39">
        <v>0.25</v>
      </c>
      <c r="U233" s="39">
        <v>0.25</v>
      </c>
      <c r="V233" s="39">
        <v>0.27</v>
      </c>
      <c r="W233" s="52">
        <v>0.8841</v>
      </c>
      <c r="X233" s="39">
        <v>15.19</v>
      </c>
      <c r="Y233" s="41">
        <v>299655.94861657597</v>
      </c>
      <c r="Z233" s="40">
        <v>9123</v>
      </c>
      <c r="AA233" s="39">
        <v>4.3741903905273496</v>
      </c>
    </row>
    <row r="234" spans="1:27" s="22" customFormat="1" x14ac:dyDescent="0.25">
      <c r="A234" s="7" t="str">
        <f t="shared" si="3"/>
        <v>2687Providence Holy Cross Medical Center50995099, Facility Services Administration (U,N)</v>
      </c>
      <c r="B234" s="7"/>
      <c r="C234" s="29" t="s">
        <v>924</v>
      </c>
      <c r="D234" s="29" t="s">
        <v>924</v>
      </c>
      <c r="E234" s="29" t="s">
        <v>924</v>
      </c>
      <c r="F234" s="29">
        <v>2687</v>
      </c>
      <c r="G234" s="43" t="s">
        <v>925</v>
      </c>
      <c r="H234" s="42">
        <v>5099</v>
      </c>
      <c r="I234" s="43" t="s">
        <v>61</v>
      </c>
      <c r="J234" s="43" t="s">
        <v>62</v>
      </c>
      <c r="K234" s="43" t="s">
        <v>946</v>
      </c>
      <c r="L234" s="43" t="s">
        <v>63</v>
      </c>
      <c r="M234" s="46">
        <v>650</v>
      </c>
      <c r="N234" s="46">
        <v>719.8</v>
      </c>
      <c r="O234" s="45">
        <v>0.60840000000000005</v>
      </c>
      <c r="P234" s="140">
        <v>4.22</v>
      </c>
      <c r="Q234" s="140">
        <f>2018.53/N234</f>
        <v>2.8042928591275356</v>
      </c>
      <c r="R234" s="71"/>
      <c r="S234" s="141">
        <v>15</v>
      </c>
      <c r="T234" s="140">
        <v>2.09</v>
      </c>
      <c r="U234" s="140">
        <v>2.56</v>
      </c>
      <c r="V234" s="140">
        <v>2.71</v>
      </c>
      <c r="W234" s="142">
        <v>0.90090000000000003</v>
      </c>
      <c r="X234" s="140"/>
      <c r="Y234" s="143">
        <f>Z234*60.31</f>
        <v>11771.596203796207</v>
      </c>
      <c r="Z234" s="140">
        <f>SUM((Q234-U234)*N234)/W234</f>
        <v>195.18481518481522</v>
      </c>
      <c r="AA234" s="140">
        <f>+Z234/2085.7</f>
        <v>9.3582401680402383E-2</v>
      </c>
    </row>
    <row r="235" spans="1:27" s="22" customFormat="1" x14ac:dyDescent="0.25">
      <c r="A235" s="7" t="str">
        <f t="shared" si="3"/>
        <v>2687Providence Holy Cross Medical Center4490Pharmacy Administration and Support (U,N)</v>
      </c>
      <c r="B235" s="7"/>
      <c r="C235" s="29" t="s">
        <v>924</v>
      </c>
      <c r="D235" s="29" t="s">
        <v>924</v>
      </c>
      <c r="E235" s="29" t="s">
        <v>924</v>
      </c>
      <c r="F235" s="29">
        <v>2687</v>
      </c>
      <c r="G235" s="4" t="s">
        <v>925</v>
      </c>
      <c r="H235" s="5">
        <v>4490</v>
      </c>
      <c r="I235" s="4" t="s">
        <v>36</v>
      </c>
      <c r="J235" s="4" t="s">
        <v>37</v>
      </c>
      <c r="K235" s="4" t="s">
        <v>38</v>
      </c>
      <c r="L235" s="4" t="s">
        <v>39</v>
      </c>
      <c r="M235" s="39">
        <v>32956.99</v>
      </c>
      <c r="N235" s="39">
        <v>38644.06</v>
      </c>
      <c r="O235" s="38">
        <v>0.53480000000000005</v>
      </c>
      <c r="P235" s="39">
        <v>0.19</v>
      </c>
      <c r="Q235" s="39">
        <v>0.19</v>
      </c>
      <c r="R235" s="38">
        <v>0.42920000000000003</v>
      </c>
      <c r="S235" s="40">
        <v>15</v>
      </c>
      <c r="T235" s="39">
        <v>0.14000000000000001</v>
      </c>
      <c r="U235" s="39">
        <v>0.15</v>
      </c>
      <c r="V235" s="39">
        <v>0.2</v>
      </c>
      <c r="W235" s="52">
        <v>0.92400000000000004</v>
      </c>
      <c r="X235" s="39">
        <v>3.76</v>
      </c>
      <c r="Y235" s="41">
        <v>73477.380361052798</v>
      </c>
      <c r="Z235" s="40">
        <v>1569</v>
      </c>
      <c r="AA235" s="39">
        <v>0.75219141600596195</v>
      </c>
    </row>
    <row r="236" spans="1:27" s="22" customFormat="1" x14ac:dyDescent="0.25">
      <c r="A236" s="7" t="str">
        <f t="shared" si="3"/>
        <v>2687Providence Holy Cross Medical Center1910Nursing Administration</v>
      </c>
      <c r="B236" s="7"/>
      <c r="C236" s="29" t="s">
        <v>924</v>
      </c>
      <c r="D236" s="29" t="s">
        <v>924</v>
      </c>
      <c r="E236" s="29" t="s">
        <v>924</v>
      </c>
      <c r="F236" s="29">
        <v>2687</v>
      </c>
      <c r="G236" s="4" t="s">
        <v>925</v>
      </c>
      <c r="H236" s="5">
        <v>1910</v>
      </c>
      <c r="I236" s="4" t="s">
        <v>34</v>
      </c>
      <c r="J236" s="4" t="s">
        <v>23</v>
      </c>
      <c r="K236" s="4" t="s">
        <v>34</v>
      </c>
      <c r="L236" s="4" t="s">
        <v>35</v>
      </c>
      <c r="M236" s="7"/>
      <c r="N236" s="39">
        <v>1112</v>
      </c>
      <c r="O236" s="38">
        <v>0.57140000000000002</v>
      </c>
      <c r="P236" s="39">
        <v>0</v>
      </c>
      <c r="Q236" s="39">
        <v>34.31</v>
      </c>
      <c r="R236" s="38">
        <v>0.42859999999999998</v>
      </c>
      <c r="S236" s="40">
        <v>15</v>
      </c>
      <c r="T236" s="39">
        <v>31.4</v>
      </c>
      <c r="U236" s="39">
        <v>32.51</v>
      </c>
      <c r="V236" s="39">
        <v>35.520000000000003</v>
      </c>
      <c r="W236" s="52">
        <v>0.91830000000000001</v>
      </c>
      <c r="X236" s="39">
        <v>19.97</v>
      </c>
      <c r="Y236" s="41">
        <f>Z236*45.81</f>
        <v>99851.133616465435</v>
      </c>
      <c r="Z236" s="40">
        <f>SUM((Q236-U236)*N236)/W236</f>
        <v>2179.6798431885054</v>
      </c>
      <c r="AA236" s="39">
        <f>+Z236/2085.7</f>
        <v>1.0450591375502256</v>
      </c>
    </row>
    <row r="237" spans="1:27" s="22" customFormat="1" x14ac:dyDescent="0.25">
      <c r="A237" s="7" t="str">
        <f t="shared" si="3"/>
        <v>2687Providence Holy Cross Medical Center124072061732, 2A / 2B MED SURG ORTHO</v>
      </c>
      <c r="B237" s="7"/>
      <c r="C237" s="29" t="s">
        <v>924</v>
      </c>
      <c r="D237" s="29" t="s">
        <v>924</v>
      </c>
      <c r="E237" s="29" t="s">
        <v>924</v>
      </c>
      <c r="F237" s="29">
        <v>2687</v>
      </c>
      <c r="G237" s="4" t="s">
        <v>925</v>
      </c>
      <c r="H237" s="5">
        <v>1240</v>
      </c>
      <c r="I237" s="4" t="s">
        <v>110</v>
      </c>
      <c r="J237" s="4" t="s">
        <v>23</v>
      </c>
      <c r="K237" s="4" t="s">
        <v>944</v>
      </c>
      <c r="L237" s="4" t="s">
        <v>74</v>
      </c>
      <c r="M237" s="39">
        <v>10544</v>
      </c>
      <c r="N237" s="39">
        <v>10282</v>
      </c>
      <c r="O237" s="38">
        <v>0.71430000000000005</v>
      </c>
      <c r="P237" s="39">
        <v>10.23</v>
      </c>
      <c r="Q237" s="39">
        <v>10.66</v>
      </c>
      <c r="R237" s="38">
        <v>0.42859999999999998</v>
      </c>
      <c r="S237" s="40">
        <v>15</v>
      </c>
      <c r="T237" s="39">
        <v>10.42</v>
      </c>
      <c r="U237" s="39">
        <v>10.5</v>
      </c>
      <c r="V237" s="39">
        <v>10.7</v>
      </c>
      <c r="W237" s="52">
        <v>0.87209999999999999</v>
      </c>
      <c r="X237" s="39">
        <v>60.42</v>
      </c>
      <c r="Y237" s="41">
        <v>88917.742183010196</v>
      </c>
      <c r="Z237" s="40">
        <v>2224</v>
      </c>
      <c r="AA237" s="39">
        <v>1.0661669244460701</v>
      </c>
    </row>
    <row r="238" spans="1:27" s="22" customFormat="1" x14ac:dyDescent="0.25">
      <c r="A238" s="7" t="str">
        <f t="shared" si="3"/>
        <v>2687Providence Holy Cross Medical Center553072084700 Telecommunications</v>
      </c>
      <c r="B238" s="7"/>
      <c r="C238" s="29" t="s">
        <v>924</v>
      </c>
      <c r="D238" s="29" t="s">
        <v>924</v>
      </c>
      <c r="E238" s="29" t="s">
        <v>924</v>
      </c>
      <c r="F238" s="29">
        <v>2687</v>
      </c>
      <c r="G238" s="4" t="s">
        <v>925</v>
      </c>
      <c r="H238" s="5">
        <v>5530</v>
      </c>
      <c r="I238" s="4" t="s">
        <v>144</v>
      </c>
      <c r="J238" s="4" t="s">
        <v>68</v>
      </c>
      <c r="K238" s="4" t="s">
        <v>945</v>
      </c>
      <c r="L238" s="4" t="s">
        <v>18</v>
      </c>
      <c r="M238" s="39">
        <v>22822.799999999999</v>
      </c>
      <c r="N238" s="39">
        <v>25655.98</v>
      </c>
      <c r="O238" s="38">
        <v>0.42859999999999998</v>
      </c>
      <c r="P238" s="39">
        <v>0.6</v>
      </c>
      <c r="Q238" s="39">
        <v>0.57999999999999996</v>
      </c>
      <c r="R238" s="38">
        <v>0.66669999999999996</v>
      </c>
      <c r="S238" s="40">
        <v>15</v>
      </c>
      <c r="T238" s="39">
        <v>0.39</v>
      </c>
      <c r="U238" s="39">
        <v>0.48</v>
      </c>
      <c r="V238" s="39">
        <v>0.5</v>
      </c>
      <c r="W238" s="52">
        <v>0.92430000000000001</v>
      </c>
      <c r="X238" s="39">
        <v>7.74</v>
      </c>
      <c r="Y238" s="41">
        <v>48658.328605935501</v>
      </c>
      <c r="Z238" s="40">
        <v>2820</v>
      </c>
      <c r="AA238" s="39">
        <v>1.3519978804370401</v>
      </c>
    </row>
    <row r="239" spans="1:27" s="22" customFormat="1" x14ac:dyDescent="0.25">
      <c r="A239" s="7" t="str">
        <f t="shared" si="3"/>
        <v>2687Providence Holy Cross Medical Center345072076700 HOSP Ultrasound</v>
      </c>
      <c r="B239" s="7"/>
      <c r="C239" s="29" t="s">
        <v>924</v>
      </c>
      <c r="D239" s="29" t="s">
        <v>924</v>
      </c>
      <c r="E239" s="29" t="s">
        <v>924</v>
      </c>
      <c r="F239" s="29">
        <v>2687</v>
      </c>
      <c r="G239" s="4" t="s">
        <v>925</v>
      </c>
      <c r="H239" s="5">
        <v>3450</v>
      </c>
      <c r="I239" s="4" t="s">
        <v>122</v>
      </c>
      <c r="J239" s="4" t="s">
        <v>57</v>
      </c>
      <c r="K239" s="4" t="s">
        <v>947</v>
      </c>
      <c r="L239" s="4" t="s">
        <v>99</v>
      </c>
      <c r="M239" s="39">
        <v>40660.89</v>
      </c>
      <c r="N239" s="39">
        <v>48750.559999999998</v>
      </c>
      <c r="O239" s="38">
        <v>0.6</v>
      </c>
      <c r="P239" s="39">
        <v>0.39</v>
      </c>
      <c r="Q239" s="39">
        <v>0.28999999999999998</v>
      </c>
      <c r="R239" s="38">
        <v>0</v>
      </c>
      <c r="S239" s="40">
        <v>16</v>
      </c>
      <c r="T239" s="39">
        <v>0.42</v>
      </c>
      <c r="U239" s="39">
        <v>0.46</v>
      </c>
      <c r="V239" s="39">
        <v>0.47</v>
      </c>
      <c r="W239" s="52">
        <v>0.92700000000000005</v>
      </c>
      <c r="X239" s="39">
        <v>7.24</v>
      </c>
      <c r="Y239" s="41">
        <v>-456119.03462283901</v>
      </c>
      <c r="Z239" s="40">
        <v>-9091</v>
      </c>
      <c r="AA239" s="39">
        <v>-4.3586078520302598</v>
      </c>
    </row>
    <row r="240" spans="1:27" s="22" customFormat="1" x14ac:dyDescent="0.25">
      <c r="A240" s="7" t="str">
        <f t="shared" si="3"/>
        <v>2687Providence Holy Cross Medical Center341272076310, PHCMC RADIOLOGY SPECIAL PROC</v>
      </c>
      <c r="B240" s="7"/>
      <c r="C240" s="29" t="s">
        <v>924</v>
      </c>
      <c r="D240" s="29" t="s">
        <v>924</v>
      </c>
      <c r="E240" s="29" t="s">
        <v>924</v>
      </c>
      <c r="F240" s="29">
        <v>2687</v>
      </c>
      <c r="G240" s="4" t="s">
        <v>925</v>
      </c>
      <c r="H240" s="5">
        <v>3412</v>
      </c>
      <c r="I240" s="4" t="s">
        <v>118</v>
      </c>
      <c r="J240" s="4" t="s">
        <v>57</v>
      </c>
      <c r="K240" s="4" t="s">
        <v>949</v>
      </c>
      <c r="L240" s="4" t="s">
        <v>99</v>
      </c>
      <c r="M240" s="39">
        <v>34875.279999999999</v>
      </c>
      <c r="N240" s="39">
        <v>51874.19</v>
      </c>
      <c r="O240" s="38">
        <v>0.625</v>
      </c>
      <c r="P240" s="39">
        <v>0.28000000000000003</v>
      </c>
      <c r="Q240" s="39">
        <v>0.17</v>
      </c>
      <c r="R240" s="38">
        <v>0.125</v>
      </c>
      <c r="S240" s="40">
        <v>17</v>
      </c>
      <c r="T240" s="39">
        <v>0.17</v>
      </c>
      <c r="U240" s="39">
        <v>0.2</v>
      </c>
      <c r="V240" s="39">
        <v>0.24</v>
      </c>
      <c r="W240" s="52">
        <v>0.88339999999999996</v>
      </c>
      <c r="X240" s="39">
        <v>4.67</v>
      </c>
      <c r="Y240" s="41">
        <v>-123609.78628157399</v>
      </c>
      <c r="Z240" s="40">
        <v>-2004</v>
      </c>
      <c r="AA240" s="39">
        <v>-0.96082575007108095</v>
      </c>
    </row>
    <row r="241" spans="1:27" s="22" customFormat="1" x14ac:dyDescent="0.25">
      <c r="A241" s="7" t="str">
        <f t="shared" si="3"/>
        <v>2687Providence Holy Cross Medical Center33507207500 Clinical Lab Operations</v>
      </c>
      <c r="B241" s="7"/>
      <c r="C241" s="29" t="s">
        <v>924</v>
      </c>
      <c r="D241" s="29" t="s">
        <v>924</v>
      </c>
      <c r="E241" s="29" t="s">
        <v>924</v>
      </c>
      <c r="F241" s="29">
        <v>2687</v>
      </c>
      <c r="G241" s="4" t="s">
        <v>925</v>
      </c>
      <c r="H241" s="5">
        <v>3350</v>
      </c>
      <c r="I241" s="4" t="s">
        <v>93</v>
      </c>
      <c r="J241" s="4" t="s">
        <v>53</v>
      </c>
      <c r="K241" s="4" t="s">
        <v>948</v>
      </c>
      <c r="L241" s="4" t="s">
        <v>94</v>
      </c>
      <c r="M241" s="39">
        <v>10348.18</v>
      </c>
      <c r="N241" s="39">
        <v>10685.2</v>
      </c>
      <c r="O241" s="38">
        <v>0.625</v>
      </c>
      <c r="P241" s="39">
        <v>9.9700000000000006</v>
      </c>
      <c r="Q241" s="39">
        <v>10.14</v>
      </c>
      <c r="R241" s="38">
        <v>0.375</v>
      </c>
      <c r="S241" s="40">
        <v>17</v>
      </c>
      <c r="T241" s="39">
        <v>8.99</v>
      </c>
      <c r="U241" s="39">
        <v>9.9600000000000009</v>
      </c>
      <c r="V241" s="39">
        <v>12.25</v>
      </c>
      <c r="W241" s="52">
        <v>0.92459999999999998</v>
      </c>
      <c r="X241" s="39">
        <v>56.32</v>
      </c>
      <c r="Y241" s="41">
        <v>88856.395859021402</v>
      </c>
      <c r="Z241" s="40">
        <v>2363</v>
      </c>
      <c r="AA241" s="39">
        <v>1.1330663993996</v>
      </c>
    </row>
    <row r="242" spans="1:27" s="22" customFormat="1" x14ac:dyDescent="0.25">
      <c r="A242" s="7" t="str">
        <f t="shared" si="3"/>
        <v>2687Providence Holy Cross Medical Center342072076800 HOSP CAT Scan</v>
      </c>
      <c r="B242" s="7"/>
      <c r="C242" s="29" t="s">
        <v>924</v>
      </c>
      <c r="D242" s="29" t="s">
        <v>924</v>
      </c>
      <c r="E242" s="29" t="s">
        <v>924</v>
      </c>
      <c r="F242" s="29">
        <v>2687</v>
      </c>
      <c r="G242" s="4" t="s">
        <v>925</v>
      </c>
      <c r="H242" s="5">
        <v>3420</v>
      </c>
      <c r="I242" s="4" t="s">
        <v>123</v>
      </c>
      <c r="J242" s="4" t="s">
        <v>57</v>
      </c>
      <c r="K242" s="4" t="s">
        <v>952</v>
      </c>
      <c r="L242" s="4" t="s">
        <v>99</v>
      </c>
      <c r="M242" s="39">
        <v>90956.67</v>
      </c>
      <c r="N242" s="39">
        <v>93929.7</v>
      </c>
      <c r="O242" s="38">
        <v>0.47060000000000002</v>
      </c>
      <c r="P242" s="39">
        <v>0.15</v>
      </c>
      <c r="Q242" s="39">
        <v>0.16</v>
      </c>
      <c r="R242" s="38">
        <v>0</v>
      </c>
      <c r="S242" s="40">
        <v>18</v>
      </c>
      <c r="T242" s="39">
        <v>0.22</v>
      </c>
      <c r="U242" s="39">
        <v>0.23</v>
      </c>
      <c r="V242" s="39">
        <v>0.24</v>
      </c>
      <c r="W242" s="52">
        <v>0.85409999999999997</v>
      </c>
      <c r="X242" s="39">
        <v>8.3699999999999992</v>
      </c>
      <c r="Y242" s="41">
        <v>-359254.25916757702</v>
      </c>
      <c r="Z242" s="40">
        <v>-7837</v>
      </c>
      <c r="AA242" s="39">
        <v>-3.7574699801931302</v>
      </c>
    </row>
    <row r="243" spans="1:27" s="22" customFormat="1" x14ac:dyDescent="0.25">
      <c r="A243" s="7" t="str">
        <f t="shared" si="3"/>
        <v>2687Providence Holy Cross Medical Center464072072350 Hematology Oncology Infusion Therapy</v>
      </c>
      <c r="B243" s="7"/>
      <c r="C243" s="29" t="s">
        <v>924</v>
      </c>
      <c r="D243" s="29" t="s">
        <v>924</v>
      </c>
      <c r="E243" s="29" t="s">
        <v>924</v>
      </c>
      <c r="F243" s="29">
        <v>2687</v>
      </c>
      <c r="G243" s="4" t="s">
        <v>925</v>
      </c>
      <c r="H243" s="5">
        <v>4640</v>
      </c>
      <c r="I243" s="4" t="s">
        <v>82</v>
      </c>
      <c r="J243" s="4" t="s">
        <v>83</v>
      </c>
      <c r="K243" s="4" t="s">
        <v>950</v>
      </c>
      <c r="L243" s="4" t="s">
        <v>84</v>
      </c>
      <c r="M243" s="39">
        <v>1463</v>
      </c>
      <c r="N243" s="39">
        <v>2121</v>
      </c>
      <c r="O243" s="38">
        <v>0.58819999999999995</v>
      </c>
      <c r="P243" s="39">
        <v>1.57</v>
      </c>
      <c r="Q243" s="39">
        <v>2.0099999999999998</v>
      </c>
      <c r="R243" s="38">
        <v>0.23530000000000001</v>
      </c>
      <c r="S243" s="40">
        <v>18</v>
      </c>
      <c r="T243" s="39">
        <v>2.02</v>
      </c>
      <c r="U243" s="39">
        <v>2.2200000000000002</v>
      </c>
      <c r="V243" s="39">
        <v>2.35</v>
      </c>
      <c r="W243" s="52">
        <v>0.92510000000000003</v>
      </c>
      <c r="X243" s="39">
        <v>2.2200000000000002</v>
      </c>
      <c r="Y243" s="41">
        <v>-31525.825958387199</v>
      </c>
      <c r="Z243" s="40">
        <v>-460</v>
      </c>
      <c r="AA243" s="39">
        <v>-0.22035563406693601</v>
      </c>
    </row>
    <row r="244" spans="1:27" s="22" customFormat="1" x14ac:dyDescent="0.25">
      <c r="A244" s="7" t="str">
        <f t="shared" si="3"/>
        <v>2687Providence Holy Cross Medical Center651072087100 Medical Staff Office</v>
      </c>
      <c r="B244" s="7"/>
      <c r="C244" s="29" t="s">
        <v>924</v>
      </c>
      <c r="D244" s="29" t="s">
        <v>924</v>
      </c>
      <c r="E244" s="29" t="s">
        <v>924</v>
      </c>
      <c r="F244" s="29">
        <v>2687</v>
      </c>
      <c r="G244" s="43" t="s">
        <v>925</v>
      </c>
      <c r="H244" s="42">
        <v>6510</v>
      </c>
      <c r="I244" s="43" t="s">
        <v>19</v>
      </c>
      <c r="J244" s="43" t="s">
        <v>19</v>
      </c>
      <c r="K244" s="43" t="s">
        <v>951</v>
      </c>
      <c r="L244" s="43" t="s">
        <v>20</v>
      </c>
      <c r="M244" s="46">
        <v>155</v>
      </c>
      <c r="N244" s="46">
        <v>244</v>
      </c>
      <c r="O244" s="71"/>
      <c r="P244" s="46">
        <v>56.34</v>
      </c>
      <c r="Q244" s="46">
        <f>8481.48/N244</f>
        <v>34.760163934426231</v>
      </c>
      <c r="R244" s="45">
        <v>0.92859999999999998</v>
      </c>
      <c r="S244" s="47">
        <v>18</v>
      </c>
      <c r="T244" s="46">
        <v>23.67</v>
      </c>
      <c r="U244" s="46">
        <v>27.85</v>
      </c>
      <c r="V244" s="46">
        <v>30.35</v>
      </c>
      <c r="W244" s="138">
        <v>0.90720000000000001</v>
      </c>
      <c r="X244" s="46">
        <v>4.49</v>
      </c>
      <c r="Y244" s="48">
        <f>Z244*40.05</f>
        <v>74435.079365079349</v>
      </c>
      <c r="Z244" s="47">
        <f>SUM((Q244-U244)*N244)/W244</f>
        <v>1858.553791887125</v>
      </c>
      <c r="AA244" s="46">
        <f>+Z244/2085.7</f>
        <v>0.8910935378468261</v>
      </c>
    </row>
    <row r="245" spans="1:27" s="22" customFormat="1" x14ac:dyDescent="0.25">
      <c r="A245" s="7" t="str">
        <f t="shared" si="3"/>
        <v>2687Providence Holy Cross Medical Center591072084200 Security</v>
      </c>
      <c r="B245" s="7"/>
      <c r="C245" s="29" t="s">
        <v>924</v>
      </c>
      <c r="D245" s="29" t="s">
        <v>924</v>
      </c>
      <c r="E245" s="29" t="s">
        <v>924</v>
      </c>
      <c r="F245" s="29">
        <v>2687</v>
      </c>
      <c r="G245" s="4" t="s">
        <v>925</v>
      </c>
      <c r="H245" s="5">
        <v>5910</v>
      </c>
      <c r="I245" s="4" t="s">
        <v>139</v>
      </c>
      <c r="J245" s="4" t="s">
        <v>136</v>
      </c>
      <c r="K245" s="4" t="s">
        <v>953</v>
      </c>
      <c r="L245" s="4" t="s">
        <v>140</v>
      </c>
      <c r="M245" s="39">
        <v>874.06</v>
      </c>
      <c r="N245" s="39">
        <v>874.06</v>
      </c>
      <c r="O245" s="38">
        <v>0.61109999999999998</v>
      </c>
      <c r="P245" s="39">
        <v>32.97</v>
      </c>
      <c r="Q245" s="39">
        <v>18.55</v>
      </c>
      <c r="R245" s="38">
        <v>0.3125</v>
      </c>
      <c r="S245" s="40">
        <v>19</v>
      </c>
      <c r="T245" s="39">
        <v>15</v>
      </c>
      <c r="U245" s="39">
        <v>20.05</v>
      </c>
      <c r="V245" s="39">
        <v>25.45</v>
      </c>
      <c r="W245" s="52">
        <v>0.92130000000000001</v>
      </c>
      <c r="X245" s="39">
        <v>8.4600000000000009</v>
      </c>
      <c r="Y245" s="41">
        <v>-29960.583674074202</v>
      </c>
      <c r="Z245" s="40">
        <v>-1377</v>
      </c>
      <c r="AA245" s="39">
        <v>-0.66016531441057902</v>
      </c>
    </row>
    <row r="246" spans="1:27" s="22" customFormat="1" x14ac:dyDescent="0.25">
      <c r="A246" s="7" t="str">
        <f t="shared" si="3"/>
        <v>2687Providence Holy Cross Medical Center3499Imaging Services Administration (U,N)</v>
      </c>
      <c r="B246" s="7"/>
      <c r="C246" s="29" t="s">
        <v>924</v>
      </c>
      <c r="D246" s="29" t="s">
        <v>924</v>
      </c>
      <c r="E246" s="29" t="s">
        <v>924</v>
      </c>
      <c r="F246" s="29">
        <v>2687</v>
      </c>
      <c r="G246" s="4" t="s">
        <v>925</v>
      </c>
      <c r="H246" s="5">
        <v>3499</v>
      </c>
      <c r="I246" s="4" t="s">
        <v>56</v>
      </c>
      <c r="J246" s="4" t="s">
        <v>57</v>
      </c>
      <c r="K246" s="4" t="s">
        <v>954</v>
      </c>
      <c r="L246" s="4" t="s">
        <v>58</v>
      </c>
      <c r="M246" s="39">
        <v>313278.09999999998</v>
      </c>
      <c r="N246" s="39">
        <v>355525</v>
      </c>
      <c r="O246" s="38">
        <v>0.65190000000000003</v>
      </c>
      <c r="P246" s="39">
        <v>0.03</v>
      </c>
      <c r="Q246" s="39">
        <v>0.04</v>
      </c>
      <c r="R246" s="38">
        <v>0.128</v>
      </c>
      <c r="S246" s="40">
        <v>21</v>
      </c>
      <c r="T246" s="39">
        <v>0.05</v>
      </c>
      <c r="U246" s="39">
        <v>0.05</v>
      </c>
      <c r="V246" s="39">
        <v>0.06</v>
      </c>
      <c r="W246" s="52">
        <v>0.90790000000000004</v>
      </c>
      <c r="X246" s="39">
        <v>7.59</v>
      </c>
      <c r="Y246" s="41">
        <v>-155869.76211214499</v>
      </c>
      <c r="Z246" s="40">
        <v>-3749</v>
      </c>
      <c r="AA246" s="39">
        <v>-1.7975073963999799</v>
      </c>
    </row>
    <row r="247" spans="1:27" s="22" customFormat="1" x14ac:dyDescent="0.25">
      <c r="A247" s="7" t="str">
        <f t="shared" si="3"/>
        <v>2687Providence Holy Cross Medical Center423072075700 Card Cath Lab Invasive Cardiology</v>
      </c>
      <c r="B247" s="7"/>
      <c r="C247" s="29" t="s">
        <v>924</v>
      </c>
      <c r="D247" s="29" t="s">
        <v>924</v>
      </c>
      <c r="E247" s="29" t="s">
        <v>924</v>
      </c>
      <c r="F247" s="29">
        <v>2687</v>
      </c>
      <c r="G247" s="4" t="s">
        <v>925</v>
      </c>
      <c r="H247" s="5">
        <v>4230</v>
      </c>
      <c r="I247" s="4" t="s">
        <v>96</v>
      </c>
      <c r="J247" s="4" t="s">
        <v>60</v>
      </c>
      <c r="K247" s="4" t="s">
        <v>955</v>
      </c>
      <c r="L247" s="4" t="s">
        <v>97</v>
      </c>
      <c r="M247" s="7"/>
      <c r="N247" s="39">
        <v>90455</v>
      </c>
      <c r="O247" s="38">
        <v>0.45</v>
      </c>
      <c r="P247" s="7"/>
      <c r="Q247" s="39">
        <v>0.22</v>
      </c>
      <c r="R247" s="38">
        <v>0.35289999999999999</v>
      </c>
      <c r="S247" s="40">
        <v>21</v>
      </c>
      <c r="T247" s="39">
        <v>0.21</v>
      </c>
      <c r="U247" s="39">
        <v>0.22</v>
      </c>
      <c r="V247" s="39">
        <v>0.24</v>
      </c>
      <c r="W247" s="52">
        <v>0.88990000000000002</v>
      </c>
      <c r="X247" s="39">
        <v>10.68</v>
      </c>
      <c r="Y247" s="41">
        <v>-5006.1153857801201</v>
      </c>
      <c r="Z247" s="40">
        <v>-87</v>
      </c>
      <c r="AA247" s="39">
        <v>-4.1664441357784902E-2</v>
      </c>
    </row>
    <row r="248" spans="1:27" s="22" customFormat="1" x14ac:dyDescent="0.25">
      <c r="A248" s="7" t="str">
        <f t="shared" si="3"/>
        <v>2687Providence Holy Cross Medical Center341172076300 Hosp Radiology Diagnostic</v>
      </c>
      <c r="B248" s="7"/>
      <c r="C248" s="29" t="s">
        <v>924</v>
      </c>
      <c r="D248" s="29" t="s">
        <v>924</v>
      </c>
      <c r="E248" s="29" t="s">
        <v>924</v>
      </c>
      <c r="F248" s="29">
        <v>2687</v>
      </c>
      <c r="G248" s="4" t="s">
        <v>925</v>
      </c>
      <c r="H248" s="5">
        <v>3411</v>
      </c>
      <c r="I248" s="4" t="s">
        <v>117</v>
      </c>
      <c r="J248" s="4" t="s">
        <v>57</v>
      </c>
      <c r="K248" s="4" t="s">
        <v>956</v>
      </c>
      <c r="L248" s="4" t="s">
        <v>99</v>
      </c>
      <c r="M248" s="39">
        <v>62649.86</v>
      </c>
      <c r="N248" s="39">
        <v>71082.429999999993</v>
      </c>
      <c r="O248" s="38">
        <v>0.72729999999999995</v>
      </c>
      <c r="P248" s="39">
        <v>0.54</v>
      </c>
      <c r="Q248" s="39">
        <v>0.5</v>
      </c>
      <c r="R248" s="38">
        <v>0.1053</v>
      </c>
      <c r="S248" s="40">
        <v>23</v>
      </c>
      <c r="T248" s="39">
        <v>0.57999999999999996</v>
      </c>
      <c r="U248" s="39">
        <v>0.6</v>
      </c>
      <c r="V248" s="39">
        <v>0.63</v>
      </c>
      <c r="W248" s="52">
        <v>0.91620000000000001</v>
      </c>
      <c r="X248" s="39">
        <v>18.670000000000002</v>
      </c>
      <c r="Y248" s="41">
        <v>-303670.33218342601</v>
      </c>
      <c r="Z248" s="40">
        <v>-7610</v>
      </c>
      <c r="AA248" s="39">
        <v>-3.6488281295159801</v>
      </c>
    </row>
    <row r="249" spans="1:27" s="22" customFormat="1" x14ac:dyDescent="0.25">
      <c r="A249" s="7" t="str">
        <f t="shared" si="3"/>
        <v>2687Providence Holy Cross Medical Center592572083700 Patient Escort (Transport) Service</v>
      </c>
      <c r="B249" s="7"/>
      <c r="C249" s="29" t="s">
        <v>924</v>
      </c>
      <c r="D249" s="29" t="s">
        <v>924</v>
      </c>
      <c r="E249" s="29" t="s">
        <v>924</v>
      </c>
      <c r="F249" s="29">
        <v>2687</v>
      </c>
      <c r="G249" s="43" t="s">
        <v>925</v>
      </c>
      <c r="H249" s="42">
        <v>5925</v>
      </c>
      <c r="I249" s="43" t="s">
        <v>135</v>
      </c>
      <c r="J249" s="43" t="s">
        <v>136</v>
      </c>
      <c r="K249" s="43" t="s">
        <v>957</v>
      </c>
      <c r="L249" s="43" t="s">
        <v>137</v>
      </c>
      <c r="M249" s="46">
        <v>420</v>
      </c>
      <c r="N249" s="46">
        <v>443.76</v>
      </c>
      <c r="O249" s="45">
        <v>0.59089999999999998</v>
      </c>
      <c r="P249" s="46">
        <v>53.39</v>
      </c>
      <c r="Q249" s="46">
        <f>25819.29/N249</f>
        <v>58.183004326663067</v>
      </c>
      <c r="R249" s="45">
        <v>0.75</v>
      </c>
      <c r="S249" s="47">
        <v>23</v>
      </c>
      <c r="T249" s="46">
        <v>43.19</v>
      </c>
      <c r="U249" s="46">
        <v>46.95</v>
      </c>
      <c r="V249" s="46">
        <v>52.86</v>
      </c>
      <c r="W249" s="138">
        <v>0.92269999999999996</v>
      </c>
      <c r="X249" s="46">
        <v>14.46</v>
      </c>
      <c r="Y249" s="48">
        <f>Z249*19.17</f>
        <v>103563.25009212097</v>
      </c>
      <c r="Z249" s="47">
        <f>SUM((Q249-U249)*N249)/W249</f>
        <v>5402.3604638560755</v>
      </c>
      <c r="AA249" s="46">
        <f>+Z249/2085.7</f>
        <v>2.5901905661677498</v>
      </c>
    </row>
    <row r="250" spans="1:27" s="22" customFormat="1" x14ac:dyDescent="0.25">
      <c r="A250" s="7" t="str">
        <f t="shared" si="3"/>
        <v>2687Providence Holy Cross Medical Center6610Hospital Administration</v>
      </c>
      <c r="B250" s="7"/>
      <c r="C250" s="29" t="s">
        <v>924</v>
      </c>
      <c r="D250" s="29" t="s">
        <v>924</v>
      </c>
      <c r="E250" s="29" t="s">
        <v>924</v>
      </c>
      <c r="F250" s="29">
        <v>2687</v>
      </c>
      <c r="G250" s="43" t="s">
        <v>925</v>
      </c>
      <c r="H250" s="42">
        <v>6610</v>
      </c>
      <c r="I250" s="43" t="s">
        <v>72</v>
      </c>
      <c r="J250" s="43" t="s">
        <v>72</v>
      </c>
      <c r="K250" s="43" t="s">
        <v>830</v>
      </c>
      <c r="L250" s="43" t="s">
        <v>14</v>
      </c>
      <c r="M250" s="46">
        <v>228.23</v>
      </c>
      <c r="N250" s="46">
        <v>256.56</v>
      </c>
      <c r="O250" s="45">
        <v>0.40910000000000002</v>
      </c>
      <c r="P250" s="46">
        <v>114.42</v>
      </c>
      <c r="Q250" s="46">
        <f>23800.22/N250</f>
        <v>92.766682257561584</v>
      </c>
      <c r="R250" s="45">
        <v>0.95</v>
      </c>
      <c r="S250" s="47">
        <v>23</v>
      </c>
      <c r="T250" s="46">
        <v>55.27</v>
      </c>
      <c r="U250" s="46">
        <v>61.56</v>
      </c>
      <c r="V250" s="46">
        <v>69.8</v>
      </c>
      <c r="W250" s="138">
        <v>0.90210000000000001</v>
      </c>
      <c r="X250" s="46">
        <v>14.77</v>
      </c>
      <c r="Y250" s="48">
        <f>Z250*90.57</f>
        <v>803833.73932823399</v>
      </c>
      <c r="Z250" s="47">
        <f>SUM((Q250-U250)*N250)/W250</f>
        <v>8875.2759117614441</v>
      </c>
      <c r="AA250" s="46">
        <f>+Z250/2085.7</f>
        <v>4.2552984186419165</v>
      </c>
    </row>
    <row r="251" spans="1:27" s="22" customFormat="1" x14ac:dyDescent="0.25">
      <c r="A251" s="7" t="str">
        <f t="shared" si="3"/>
        <v>2687Providence Holy Cross Medical Center127272063800, 72065320 Maternity / Nursery</v>
      </c>
      <c r="B251" s="7"/>
      <c r="C251" s="29" t="s">
        <v>924</v>
      </c>
      <c r="D251" s="29" t="s">
        <v>924</v>
      </c>
      <c r="E251" s="29" t="s">
        <v>924</v>
      </c>
      <c r="F251" s="29">
        <v>2687</v>
      </c>
      <c r="G251" s="4" t="s">
        <v>925</v>
      </c>
      <c r="H251" s="5">
        <v>1272</v>
      </c>
      <c r="I251" s="4" t="s">
        <v>112</v>
      </c>
      <c r="J251" s="4" t="s">
        <v>23</v>
      </c>
      <c r="K251" s="4" t="s">
        <v>958</v>
      </c>
      <c r="L251" s="4" t="s">
        <v>74</v>
      </c>
      <c r="M251" s="39">
        <v>15033</v>
      </c>
      <c r="N251" s="39">
        <v>15330</v>
      </c>
      <c r="O251" s="7"/>
      <c r="P251" s="39">
        <v>6.39</v>
      </c>
      <c r="Q251" s="39">
        <v>6.97</v>
      </c>
      <c r="R251" s="38">
        <v>0.14330000000000001</v>
      </c>
      <c r="S251" s="40">
        <v>24</v>
      </c>
      <c r="T251" s="39">
        <v>7.47</v>
      </c>
      <c r="U251" s="39">
        <v>7.7</v>
      </c>
      <c r="V251" s="39">
        <v>8.51</v>
      </c>
      <c r="W251" s="52">
        <v>0.91010000000000002</v>
      </c>
      <c r="X251" s="39">
        <v>56.42</v>
      </c>
      <c r="Y251" s="41">
        <v>-529769.55619966798</v>
      </c>
      <c r="Z251" s="40">
        <v>-12026</v>
      </c>
      <c r="AA251" s="39">
        <v>-5.7659000545449599</v>
      </c>
    </row>
    <row r="252" spans="1:27" s="22" customFormat="1" x14ac:dyDescent="0.25">
      <c r="A252" s="7" t="str">
        <f t="shared" si="3"/>
        <v>2687Providence Holy Cross Medical Center621072087440 Clinical Staff Education</v>
      </c>
      <c r="B252" s="7"/>
      <c r="C252" s="29" t="s">
        <v>924</v>
      </c>
      <c r="D252" s="29" t="s">
        <v>924</v>
      </c>
      <c r="E252" s="29" t="s">
        <v>924</v>
      </c>
      <c r="F252" s="29">
        <v>2687</v>
      </c>
      <c r="G252" s="43" t="s">
        <v>925</v>
      </c>
      <c r="H252" s="42">
        <v>6210</v>
      </c>
      <c r="I252" s="43" t="s">
        <v>28</v>
      </c>
      <c r="J252" s="43" t="s">
        <v>21</v>
      </c>
      <c r="K252" s="43" t="s">
        <v>959</v>
      </c>
      <c r="L252" s="43" t="s">
        <v>18</v>
      </c>
      <c r="M252" s="46">
        <v>22822.799999999999</v>
      </c>
      <c r="N252" s="46">
        <v>25655.98</v>
      </c>
      <c r="O252" s="45">
        <v>0.54169999999999996</v>
      </c>
      <c r="P252" s="46">
        <v>0.86</v>
      </c>
      <c r="Q252" s="46">
        <v>0.62</v>
      </c>
      <c r="R252" s="45">
        <v>0.6522</v>
      </c>
      <c r="S252" s="47">
        <v>25</v>
      </c>
      <c r="T252" s="46">
        <v>0.37</v>
      </c>
      <c r="U252" s="46">
        <v>0.39</v>
      </c>
      <c r="V252" s="46">
        <v>0.53</v>
      </c>
      <c r="W252" s="138">
        <v>0.89080000000000004</v>
      </c>
      <c r="X252" s="46">
        <v>8.5500000000000007</v>
      </c>
      <c r="Y252" s="48">
        <v>378667.86426629598</v>
      </c>
      <c r="Z252" s="47">
        <v>6600</v>
      </c>
      <c r="AA252" s="46">
        <v>3.16456032018574</v>
      </c>
    </row>
    <row r="253" spans="1:27" s="22" customFormat="1" x14ac:dyDescent="0.25">
      <c r="A253" s="7" t="str">
        <f t="shared" si="3"/>
        <v>2687Providence Holy Cross Medical Center441072077100 Pharmacy</v>
      </c>
      <c r="B253" s="7"/>
      <c r="C253" s="29" t="s">
        <v>924</v>
      </c>
      <c r="D253" s="29" t="s">
        <v>924</v>
      </c>
      <c r="E253" s="29" t="s">
        <v>924</v>
      </c>
      <c r="F253" s="29">
        <v>2687</v>
      </c>
      <c r="G253" s="4" t="s">
        <v>925</v>
      </c>
      <c r="H253" s="5">
        <v>4410</v>
      </c>
      <c r="I253" s="4" t="s">
        <v>37</v>
      </c>
      <c r="J253" s="4" t="s">
        <v>37</v>
      </c>
      <c r="K253" s="4" t="s">
        <v>960</v>
      </c>
      <c r="L253" s="4" t="s">
        <v>100</v>
      </c>
      <c r="M253" s="39">
        <v>27925.64</v>
      </c>
      <c r="N253" s="39">
        <v>40870.26</v>
      </c>
      <c r="O253" s="38">
        <v>0.16</v>
      </c>
      <c r="P253" s="39">
        <v>2.57</v>
      </c>
      <c r="Q253" s="39">
        <v>1.81</v>
      </c>
      <c r="R253" s="38">
        <v>0.32140000000000002</v>
      </c>
      <c r="S253" s="40">
        <v>26</v>
      </c>
      <c r="T253" s="39">
        <v>1.72</v>
      </c>
      <c r="U253" s="39">
        <v>1.93</v>
      </c>
      <c r="V253" s="39">
        <v>2.06</v>
      </c>
      <c r="W253" s="52">
        <v>0.91559999999999997</v>
      </c>
      <c r="X253" s="39">
        <v>39.93</v>
      </c>
      <c r="Y253" s="41">
        <v>-135914.57263665801</v>
      </c>
      <c r="Z253" s="40">
        <v>-2869</v>
      </c>
      <c r="AA253" s="39">
        <v>-1.3754239846182299</v>
      </c>
    </row>
    <row r="254" spans="1:27" s="22" customFormat="1" x14ac:dyDescent="0.25">
      <c r="A254" s="7" t="str">
        <f t="shared" si="3"/>
        <v>2687Providence Holy Cross Medical Center500172084100 500 600 Landscape Engr Plant Maint</v>
      </c>
      <c r="B254" s="7"/>
      <c r="C254" s="29" t="s">
        <v>924</v>
      </c>
      <c r="D254" s="29" t="s">
        <v>924</v>
      </c>
      <c r="E254" s="29" t="s">
        <v>924</v>
      </c>
      <c r="F254" s="29">
        <v>2687</v>
      </c>
      <c r="G254" s="43" t="s">
        <v>925</v>
      </c>
      <c r="H254" s="42">
        <v>5001</v>
      </c>
      <c r="I254" s="43" t="s">
        <v>141</v>
      </c>
      <c r="J254" s="43" t="s">
        <v>62</v>
      </c>
      <c r="K254" s="43" t="s">
        <v>961</v>
      </c>
      <c r="L254" s="43" t="s">
        <v>63</v>
      </c>
      <c r="M254" s="71"/>
      <c r="N254" s="46">
        <v>719.79700000000003</v>
      </c>
      <c r="O254" s="45"/>
      <c r="P254" s="71"/>
      <c r="Q254" s="46">
        <f>35024.71/N254</f>
        <v>48.659149732494022</v>
      </c>
      <c r="R254" s="71"/>
      <c r="S254" s="47">
        <v>27</v>
      </c>
      <c r="T254" s="46">
        <v>30.21</v>
      </c>
      <c r="U254" s="46">
        <v>34.090000000000003</v>
      </c>
      <c r="V254" s="46">
        <v>37.520000000000003</v>
      </c>
      <c r="W254" s="138">
        <v>0.90620000000000001</v>
      </c>
      <c r="X254" s="46">
        <v>41.46</v>
      </c>
      <c r="Y254" s="48">
        <f>Z254*23.08</f>
        <v>267088.98988258652</v>
      </c>
      <c r="Z254" s="47">
        <f>SUM((Q254-U254)*N254)/W254</f>
        <v>11572.313253144997</v>
      </c>
      <c r="AA254" s="46">
        <f>+Z254/2085.7</f>
        <v>5.5484073707364425</v>
      </c>
    </row>
    <row r="255" spans="1:27" s="22" customFormat="1" x14ac:dyDescent="0.25">
      <c r="A255" s="7" t="str">
        <f t="shared" si="3"/>
        <v>2687Providence Holy Cross Medical Center4899Rehabilitation Services Administration (U,N)</v>
      </c>
      <c r="B255" s="7"/>
      <c r="C255" s="29" t="s">
        <v>924</v>
      </c>
      <c r="D255" s="29" t="s">
        <v>924</v>
      </c>
      <c r="E255" s="29" t="s">
        <v>924</v>
      </c>
      <c r="F255" s="29">
        <v>2687</v>
      </c>
      <c r="G255" s="4" t="s">
        <v>925</v>
      </c>
      <c r="H255" s="5">
        <v>4899</v>
      </c>
      <c r="I255" s="4" t="s">
        <v>40</v>
      </c>
      <c r="J255" s="4" t="s">
        <v>41</v>
      </c>
      <c r="K255" s="4" t="s">
        <v>42</v>
      </c>
      <c r="L255" s="4" t="s">
        <v>43</v>
      </c>
      <c r="M255" s="39">
        <v>2539.5</v>
      </c>
      <c r="N255" s="39">
        <v>3652.62</v>
      </c>
      <c r="O255" s="38">
        <v>0.56499999999999995</v>
      </c>
      <c r="P255" s="39">
        <v>2.4700000000000002</v>
      </c>
      <c r="Q255" s="39">
        <v>2.71</v>
      </c>
      <c r="R255" s="38">
        <v>0.31840000000000002</v>
      </c>
      <c r="S255" s="40">
        <v>29</v>
      </c>
      <c r="T255" s="39">
        <v>2.4700000000000002</v>
      </c>
      <c r="U255" s="39">
        <v>3.07</v>
      </c>
      <c r="V255" s="39">
        <v>4.1900000000000004</v>
      </c>
      <c r="W255" s="52">
        <v>0.87380000000000002</v>
      </c>
      <c r="X255" s="39">
        <v>5.45</v>
      </c>
      <c r="Y255" s="41">
        <v>-66365.654630479607</v>
      </c>
      <c r="Z255" s="40">
        <v>-1466</v>
      </c>
      <c r="AA255" s="39">
        <v>-0.70288767368829297</v>
      </c>
    </row>
    <row r="256" spans="1:27" s="22" customFormat="1" x14ac:dyDescent="0.25">
      <c r="A256" s="7" t="str">
        <f t="shared" si="3"/>
        <v>2687Providence Holy Cross Medical Center141072064400, 3D ACUTE REHAB (IRF)</v>
      </c>
      <c r="B256" s="7"/>
      <c r="C256" s="29" t="s">
        <v>924</v>
      </c>
      <c r="D256" s="29" t="s">
        <v>924</v>
      </c>
      <c r="E256" s="29" t="s">
        <v>924</v>
      </c>
      <c r="F256" s="29">
        <v>2687</v>
      </c>
      <c r="G256" s="4" t="s">
        <v>925</v>
      </c>
      <c r="H256" s="5">
        <v>1410</v>
      </c>
      <c r="I256" s="4" t="s">
        <v>113</v>
      </c>
      <c r="J256" s="4" t="s">
        <v>23</v>
      </c>
      <c r="K256" s="4" t="s">
        <v>962</v>
      </c>
      <c r="L256" s="4" t="s">
        <v>74</v>
      </c>
      <c r="M256" s="39">
        <v>2583</v>
      </c>
      <c r="N256" s="39">
        <v>2859</v>
      </c>
      <c r="O256" s="38">
        <v>0.53569999999999995</v>
      </c>
      <c r="P256" s="39">
        <v>13.43</v>
      </c>
      <c r="Q256" s="39">
        <v>12.97</v>
      </c>
      <c r="R256" s="38">
        <v>0.92</v>
      </c>
      <c r="S256" s="40">
        <v>29</v>
      </c>
      <c r="T256" s="39">
        <v>9.73</v>
      </c>
      <c r="U256" s="39">
        <v>10.130000000000001</v>
      </c>
      <c r="V256" s="39">
        <v>10.47</v>
      </c>
      <c r="W256" s="52">
        <v>0.90180000000000005</v>
      </c>
      <c r="X256" s="39">
        <v>19.77</v>
      </c>
      <c r="Y256" s="41">
        <v>374153.660090335</v>
      </c>
      <c r="Z256" s="40">
        <v>9119</v>
      </c>
      <c r="AA256" s="39">
        <v>4.3720988021878604</v>
      </c>
    </row>
    <row r="257" spans="1:27" s="22" customFormat="1" x14ac:dyDescent="0.25">
      <c r="A257" s="7" t="str">
        <f t="shared" si="3"/>
        <v>2687Providence Holy Cross Medical Center343072076600 HOSP Magnetic Resonance Imaging</v>
      </c>
      <c r="B257" s="7"/>
      <c r="C257" s="29" t="s">
        <v>924</v>
      </c>
      <c r="D257" s="29" t="s">
        <v>924</v>
      </c>
      <c r="E257" s="29" t="s">
        <v>924</v>
      </c>
      <c r="F257" s="29">
        <v>2687</v>
      </c>
      <c r="G257" s="4" t="s">
        <v>925</v>
      </c>
      <c r="H257" s="5">
        <v>3430</v>
      </c>
      <c r="I257" s="4" t="s">
        <v>121</v>
      </c>
      <c r="J257" s="4" t="s">
        <v>57</v>
      </c>
      <c r="K257" s="4" t="s">
        <v>964</v>
      </c>
      <c r="L257" s="4" t="s">
        <v>99</v>
      </c>
      <c r="M257" s="39">
        <v>25204.21</v>
      </c>
      <c r="N257" s="39">
        <v>26677.64</v>
      </c>
      <c r="O257" s="38">
        <v>0.56669999999999998</v>
      </c>
      <c r="P257" s="39">
        <v>0.24</v>
      </c>
      <c r="Q257" s="39">
        <v>0.24</v>
      </c>
      <c r="R257" s="38">
        <v>6.9000000000000006E-2</v>
      </c>
      <c r="S257" s="40">
        <v>31</v>
      </c>
      <c r="T257" s="39">
        <v>0.3</v>
      </c>
      <c r="U257" s="39">
        <v>0.31</v>
      </c>
      <c r="V257" s="39">
        <v>0.35</v>
      </c>
      <c r="W257" s="52">
        <v>0.93620000000000003</v>
      </c>
      <c r="X257" s="39">
        <v>3.31</v>
      </c>
      <c r="Y257" s="41">
        <v>-106606.96807258</v>
      </c>
      <c r="Z257" s="40">
        <v>-1930</v>
      </c>
      <c r="AA257" s="39">
        <v>-0.92534335193895301</v>
      </c>
    </row>
    <row r="258" spans="1:27" s="22" customFormat="1" x14ac:dyDescent="0.25">
      <c r="A258" s="7" t="str">
        <f t="shared" si="3"/>
        <v>2687Providence Holy Cross Medical Center582572087400 72087540 Quality Improvement / Risk Mgmt</v>
      </c>
      <c r="B258" s="7"/>
      <c r="C258" s="29" t="s">
        <v>924</v>
      </c>
      <c r="D258" s="29" t="s">
        <v>924</v>
      </c>
      <c r="E258" s="29" t="s">
        <v>924</v>
      </c>
      <c r="F258" s="29">
        <v>2687</v>
      </c>
      <c r="G258" s="4" t="s">
        <v>925</v>
      </c>
      <c r="H258" s="5">
        <v>5825</v>
      </c>
      <c r="I258" s="4" t="s">
        <v>25</v>
      </c>
      <c r="J258" s="4" t="s">
        <v>26</v>
      </c>
      <c r="K258" s="4" t="s">
        <v>966</v>
      </c>
      <c r="L258" s="4" t="s">
        <v>27</v>
      </c>
      <c r="M258" s="39">
        <v>148996</v>
      </c>
      <c r="N258" s="39">
        <v>142907</v>
      </c>
      <c r="O258" s="38">
        <v>0.5333</v>
      </c>
      <c r="P258" s="39">
        <v>0.14000000000000001</v>
      </c>
      <c r="Q258" s="39">
        <v>0.12</v>
      </c>
      <c r="R258" s="38">
        <v>0.71430000000000005</v>
      </c>
      <c r="S258" s="40">
        <v>31</v>
      </c>
      <c r="T258" s="39">
        <v>7.0000000000000007E-2</v>
      </c>
      <c r="U258" s="39">
        <v>0.09</v>
      </c>
      <c r="V258" s="39">
        <v>0.09</v>
      </c>
      <c r="W258" s="52">
        <v>0.88319999999999999</v>
      </c>
      <c r="X258" s="39">
        <v>9.23</v>
      </c>
      <c r="Y258" s="41">
        <v>236305.21551742801</v>
      </c>
      <c r="Z258" s="40">
        <v>4688</v>
      </c>
      <c r="AA258" s="39">
        <v>2.2479153438215902</v>
      </c>
    </row>
    <row r="259" spans="1:27" s="22" customFormat="1" x14ac:dyDescent="0.25">
      <c r="A259" s="7" t="str">
        <f t="shared" ref="A259:A322" si="4">F259&amp;G259&amp;H259&amp;K259</f>
        <v>2687Providence Holy Cross Medical Center127772060700 NICU</v>
      </c>
      <c r="B259" s="7"/>
      <c r="C259" s="29" t="s">
        <v>924</v>
      </c>
      <c r="D259" s="29" t="s">
        <v>924</v>
      </c>
      <c r="E259" s="29" t="s">
        <v>924</v>
      </c>
      <c r="F259" s="29">
        <v>2687</v>
      </c>
      <c r="G259" s="4" t="s">
        <v>925</v>
      </c>
      <c r="H259" s="5">
        <v>1277</v>
      </c>
      <c r="I259" s="4" t="s">
        <v>106</v>
      </c>
      <c r="J259" s="4" t="s">
        <v>23</v>
      </c>
      <c r="K259" s="4" t="s">
        <v>963</v>
      </c>
      <c r="L259" s="4" t="s">
        <v>107</v>
      </c>
      <c r="M259" s="39">
        <v>3821</v>
      </c>
      <c r="N259" s="39">
        <v>3726</v>
      </c>
      <c r="O259" s="38">
        <v>0.36670000000000003</v>
      </c>
      <c r="P259" s="39">
        <v>16.91</v>
      </c>
      <c r="Q259" s="39">
        <v>16.98</v>
      </c>
      <c r="R259" s="38">
        <v>0.76670000000000005</v>
      </c>
      <c r="S259" s="40">
        <v>31</v>
      </c>
      <c r="T259" s="39">
        <v>13.17</v>
      </c>
      <c r="U259" s="39">
        <v>14.12</v>
      </c>
      <c r="V259" s="39">
        <v>15.27</v>
      </c>
      <c r="W259" s="52">
        <v>0.89280000000000004</v>
      </c>
      <c r="X259" s="39">
        <v>34.06</v>
      </c>
      <c r="Y259" s="41">
        <v>673058.15293564904</v>
      </c>
      <c r="Z259" s="40">
        <v>12111</v>
      </c>
      <c r="AA259" s="39">
        <v>5.8065475349035802</v>
      </c>
    </row>
    <row r="260" spans="1:27" s="22" customFormat="1" x14ac:dyDescent="0.25">
      <c r="A260" s="7" t="str">
        <f t="shared" si="4"/>
        <v>2687Providence Holy Cross Medical Center303072072300 Surgery Pre Op and Post Recovery Only</v>
      </c>
      <c r="B260" s="7"/>
      <c r="C260" s="29" t="s">
        <v>924</v>
      </c>
      <c r="D260" s="29" t="s">
        <v>924</v>
      </c>
      <c r="E260" s="29" t="s">
        <v>924</v>
      </c>
      <c r="F260" s="29">
        <v>2687</v>
      </c>
      <c r="G260" s="43" t="s">
        <v>925</v>
      </c>
      <c r="H260" s="42">
        <v>3030</v>
      </c>
      <c r="I260" s="43" t="s">
        <v>80</v>
      </c>
      <c r="J260" s="43" t="s">
        <v>47</v>
      </c>
      <c r="K260" s="43" t="s">
        <v>965</v>
      </c>
      <c r="L260" s="43" t="s">
        <v>81</v>
      </c>
      <c r="M260" s="71"/>
      <c r="N260" s="46">
        <f>741425/100</f>
        <v>7414.25</v>
      </c>
      <c r="O260" s="45"/>
      <c r="P260" s="71"/>
      <c r="Q260" s="46">
        <f>22232.17/N260</f>
        <v>2.998573018174461</v>
      </c>
      <c r="R260" s="45">
        <v>0.99970000000000003</v>
      </c>
      <c r="S260" s="47">
        <v>31</v>
      </c>
      <c r="T260" s="46">
        <v>2.36</v>
      </c>
      <c r="U260" s="46">
        <v>2.58</v>
      </c>
      <c r="V260" s="46">
        <v>2.99</v>
      </c>
      <c r="W260" s="138">
        <v>0.9143</v>
      </c>
      <c r="X260" s="46">
        <v>11.69</v>
      </c>
      <c r="Y260" s="48">
        <f>Z260*49.41</f>
        <v>167712.17439571241</v>
      </c>
      <c r="Z260" s="47">
        <f>SUM((Q260-U260)*N260)/W260</f>
        <v>3394.2961828721395</v>
      </c>
      <c r="AA260" s="46">
        <f>+Z260/2085.7</f>
        <v>1.6274134261265474</v>
      </c>
    </row>
    <row r="261" spans="1:27" s="22" customFormat="1" x14ac:dyDescent="0.25">
      <c r="A261" s="7" t="str">
        <f t="shared" si="4"/>
        <v>2687Providence Holy Cross Medical Center486172077800 Speech Therapy</v>
      </c>
      <c r="B261" s="7"/>
      <c r="C261" s="29" t="s">
        <v>924</v>
      </c>
      <c r="D261" s="29" t="s">
        <v>924</v>
      </c>
      <c r="E261" s="29" t="s">
        <v>924</v>
      </c>
      <c r="F261" s="29">
        <v>2687</v>
      </c>
      <c r="G261" s="4" t="s">
        <v>925</v>
      </c>
      <c r="H261" s="5">
        <v>4861</v>
      </c>
      <c r="I261" s="4" t="s">
        <v>125</v>
      </c>
      <c r="J261" s="4" t="s">
        <v>41</v>
      </c>
      <c r="K261" s="4" t="s">
        <v>967</v>
      </c>
      <c r="L261" s="4" t="s">
        <v>79</v>
      </c>
      <c r="M261" s="39">
        <v>134.13999999999999</v>
      </c>
      <c r="N261" s="39">
        <v>507.73</v>
      </c>
      <c r="O261" s="38">
        <v>0.875</v>
      </c>
      <c r="P261" s="39">
        <v>76</v>
      </c>
      <c r="Q261" s="39">
        <v>19.559999999999999</v>
      </c>
      <c r="R261" s="38">
        <v>6.4500000000000002E-2</v>
      </c>
      <c r="S261" s="40">
        <v>33</v>
      </c>
      <c r="T261" s="39">
        <v>21.83</v>
      </c>
      <c r="U261" s="39">
        <v>23.46</v>
      </c>
      <c r="V261" s="39">
        <v>25.73</v>
      </c>
      <c r="W261" s="52">
        <v>0.92649999999999999</v>
      </c>
      <c r="X261" s="39">
        <v>5.15</v>
      </c>
      <c r="Y261" s="41">
        <v>-98193.733593270998</v>
      </c>
      <c r="Z261" s="40">
        <v>-2115</v>
      </c>
      <c r="AA261" s="39">
        <v>-1.0140133139029299</v>
      </c>
    </row>
    <row r="262" spans="1:27" s="22" customFormat="1" x14ac:dyDescent="0.25">
      <c r="A262" s="7" t="str">
        <f t="shared" si="4"/>
        <v>2687Providence Holy Cross Medical Center302072074270 Post Anesthesia Care Unit (PACU) / Recovery</v>
      </c>
      <c r="B262" s="7"/>
      <c r="C262" s="29" t="s">
        <v>924</v>
      </c>
      <c r="D262" s="29" t="s">
        <v>924</v>
      </c>
      <c r="E262" s="29" t="s">
        <v>924</v>
      </c>
      <c r="F262" s="29">
        <v>2687</v>
      </c>
      <c r="G262" s="4" t="s">
        <v>925</v>
      </c>
      <c r="H262" s="5">
        <v>3020</v>
      </c>
      <c r="I262" s="4" t="s">
        <v>89</v>
      </c>
      <c r="J262" s="4" t="s">
        <v>47</v>
      </c>
      <c r="K262" s="4" t="s">
        <v>968</v>
      </c>
      <c r="L262" s="4" t="s">
        <v>90</v>
      </c>
      <c r="M262" s="39">
        <v>6831.59</v>
      </c>
      <c r="N262" s="39">
        <v>6926.22</v>
      </c>
      <c r="O262" s="38">
        <v>0.45450000000000002</v>
      </c>
      <c r="P262" s="39">
        <v>3.51</v>
      </c>
      <c r="Q262" s="39">
        <v>3.44</v>
      </c>
      <c r="R262" s="38">
        <v>0.45450000000000002</v>
      </c>
      <c r="S262" s="40">
        <v>34</v>
      </c>
      <c r="T262" s="39">
        <v>2.99</v>
      </c>
      <c r="U262" s="39">
        <v>3.23</v>
      </c>
      <c r="V262" s="39">
        <v>3.52</v>
      </c>
      <c r="W262" s="52">
        <v>0.87809999999999999</v>
      </c>
      <c r="X262" s="39">
        <v>13.04</v>
      </c>
      <c r="Y262" s="41">
        <v>99212.230608080106</v>
      </c>
      <c r="Z262" s="40">
        <v>1720</v>
      </c>
      <c r="AA262" s="39">
        <v>0.82473238275592597</v>
      </c>
    </row>
    <row r="263" spans="1:27" s="22" customFormat="1" x14ac:dyDescent="0.25">
      <c r="A263" s="7" t="str">
        <f t="shared" si="4"/>
        <v>2687Providence Holy Cross Medical Center504072084650 Biomedical Engineering</v>
      </c>
      <c r="B263" s="7"/>
      <c r="C263" s="29" t="s">
        <v>924</v>
      </c>
      <c r="D263" s="29" t="s">
        <v>924</v>
      </c>
      <c r="E263" s="29" t="s">
        <v>924</v>
      </c>
      <c r="F263" s="29">
        <v>2687</v>
      </c>
      <c r="G263" s="4" t="s">
        <v>925</v>
      </c>
      <c r="H263" s="5">
        <v>5040</v>
      </c>
      <c r="I263" s="4" t="s">
        <v>142</v>
      </c>
      <c r="J263" s="4" t="s">
        <v>62</v>
      </c>
      <c r="K263" s="4" t="s">
        <v>969</v>
      </c>
      <c r="L263" s="4" t="s">
        <v>143</v>
      </c>
      <c r="M263" s="39">
        <v>50.48</v>
      </c>
      <c r="N263" s="39">
        <v>58</v>
      </c>
      <c r="O263" s="38">
        <v>0.52939999999999998</v>
      </c>
      <c r="P263" s="39">
        <v>207.53</v>
      </c>
      <c r="Q263" s="39">
        <v>177.48</v>
      </c>
      <c r="R263" s="38">
        <v>0.66669999999999996</v>
      </c>
      <c r="S263" s="40">
        <v>35</v>
      </c>
      <c r="T263" s="39">
        <v>128.86000000000001</v>
      </c>
      <c r="U263" s="39">
        <v>139.58000000000001</v>
      </c>
      <c r="V263" s="39">
        <v>158.27000000000001</v>
      </c>
      <c r="W263" s="52">
        <v>0.91239999999999999</v>
      </c>
      <c r="X263" s="39">
        <v>5.42</v>
      </c>
      <c r="Y263" s="41">
        <v>92841.933685202399</v>
      </c>
      <c r="Z263" s="40">
        <v>2432</v>
      </c>
      <c r="AA263" s="39">
        <v>1.1658375509883701</v>
      </c>
    </row>
    <row r="264" spans="1:27" s="22" customFormat="1" x14ac:dyDescent="0.25">
      <c r="A264" s="7" t="str">
        <f t="shared" si="4"/>
        <v>2687Providence Holy Cross Medical Center522172083500 Laundry</v>
      </c>
      <c r="B264" s="7"/>
      <c r="C264" s="29" t="s">
        <v>924</v>
      </c>
      <c r="D264" s="29" t="s">
        <v>924</v>
      </c>
      <c r="E264" s="29" t="s">
        <v>924</v>
      </c>
      <c r="F264" s="29">
        <v>2687</v>
      </c>
      <c r="G264" s="4" t="s">
        <v>925</v>
      </c>
      <c r="H264" s="5">
        <v>5221</v>
      </c>
      <c r="I264" s="4" t="s">
        <v>131</v>
      </c>
      <c r="J264" s="4" t="s">
        <v>50</v>
      </c>
      <c r="K264" s="4" t="s">
        <v>970</v>
      </c>
      <c r="L264" s="4" t="s">
        <v>132</v>
      </c>
      <c r="M264" s="39">
        <v>14169.26</v>
      </c>
      <c r="N264" s="39">
        <v>19762.009999999998</v>
      </c>
      <c r="O264" s="38">
        <v>0.57140000000000002</v>
      </c>
      <c r="P264" s="39">
        <v>0.25</v>
      </c>
      <c r="Q264" s="39">
        <v>0.25</v>
      </c>
      <c r="R264" s="38">
        <v>0.2286</v>
      </c>
      <c r="S264" s="40">
        <v>36</v>
      </c>
      <c r="T264" s="39">
        <v>0.26</v>
      </c>
      <c r="U264" s="39">
        <v>0.28999999999999998</v>
      </c>
      <c r="V264" s="39">
        <v>0.39</v>
      </c>
      <c r="W264" s="52">
        <v>0.92859999999999998</v>
      </c>
      <c r="X264" s="39">
        <v>2.58</v>
      </c>
      <c r="Y264" s="41">
        <v>-12627.481532157801</v>
      </c>
      <c r="Z264" s="40">
        <v>-791</v>
      </c>
      <c r="AA264" s="39">
        <v>-0.37902471204514399</v>
      </c>
    </row>
    <row r="265" spans="1:27" s="22" customFormat="1" x14ac:dyDescent="0.25">
      <c r="A265" s="7" t="str">
        <f t="shared" si="4"/>
        <v>2687Providence Holy Cross Medical Center521172084400 Environmental (Housekeeping) Services</v>
      </c>
      <c r="B265" s="7"/>
      <c r="C265" s="29" t="s">
        <v>924</v>
      </c>
      <c r="D265" s="29" t="s">
        <v>924</v>
      </c>
      <c r="E265" s="29" t="s">
        <v>924</v>
      </c>
      <c r="F265" s="29">
        <v>2687</v>
      </c>
      <c r="G265" s="43" t="s">
        <v>925</v>
      </c>
      <c r="H265" s="42">
        <v>5211</v>
      </c>
      <c r="I265" s="43" t="s">
        <v>50</v>
      </c>
      <c r="J265" s="43" t="s">
        <v>50</v>
      </c>
      <c r="K265" s="43" t="s">
        <v>971</v>
      </c>
      <c r="L265" s="43" t="s">
        <v>51</v>
      </c>
      <c r="M265" s="46">
        <v>422.59</v>
      </c>
      <c r="N265" s="46">
        <v>575.83799999999997</v>
      </c>
      <c r="O265" s="45"/>
      <c r="P265" s="46">
        <v>247.67</v>
      </c>
      <c r="Q265" s="140">
        <f>115600/N265</f>
        <v>200.75090563665478</v>
      </c>
      <c r="R265" s="45">
        <v>0.34</v>
      </c>
      <c r="S265" s="47">
        <v>38</v>
      </c>
      <c r="T265" s="46">
        <v>166.33</v>
      </c>
      <c r="U265" s="46">
        <v>176.27</v>
      </c>
      <c r="V265" s="46">
        <v>193.22</v>
      </c>
      <c r="W265" s="138">
        <v>0.91310000000000002</v>
      </c>
      <c r="X265" s="46">
        <v>38.97</v>
      </c>
      <c r="Y265" s="48">
        <f>Z265*16.71</f>
        <v>257979.92247880858</v>
      </c>
      <c r="Z265" s="47">
        <f>SUM((Q265-U265)*N265)/W265</f>
        <v>15438.65484612858</v>
      </c>
      <c r="AA265" s="46">
        <f>+Z265/2085.7</f>
        <v>7.4021454888663669</v>
      </c>
    </row>
    <row r="266" spans="1:27" s="22" customFormat="1" x14ac:dyDescent="0.25">
      <c r="A266" s="7" t="str">
        <f t="shared" si="4"/>
        <v>2687Providence Holy Cross Medical Center3099Surgical Services Administration (U,N)</v>
      </c>
      <c r="B266" s="7"/>
      <c r="C266" s="29" t="s">
        <v>924</v>
      </c>
      <c r="D266" s="29" t="s">
        <v>924</v>
      </c>
      <c r="E266" s="29" t="s">
        <v>924</v>
      </c>
      <c r="F266" s="29">
        <v>2687</v>
      </c>
      <c r="G266" s="4" t="s">
        <v>925</v>
      </c>
      <c r="H266" s="5">
        <v>3099</v>
      </c>
      <c r="I266" s="4" t="s">
        <v>46</v>
      </c>
      <c r="J266" s="4" t="s">
        <v>47</v>
      </c>
      <c r="K266" s="4" t="s">
        <v>48</v>
      </c>
      <c r="L266" s="4" t="s">
        <v>49</v>
      </c>
      <c r="M266" s="39">
        <v>6294</v>
      </c>
      <c r="N266" s="39">
        <v>6747</v>
      </c>
      <c r="O266" s="38">
        <v>0.54949999999999999</v>
      </c>
      <c r="P266" s="39">
        <v>2.86</v>
      </c>
      <c r="Q266" s="39">
        <v>2.59</v>
      </c>
      <c r="R266" s="38">
        <v>0.8569</v>
      </c>
      <c r="S266" s="40">
        <v>38</v>
      </c>
      <c r="T266" s="39">
        <v>1.22</v>
      </c>
      <c r="U266" s="39">
        <v>1.4</v>
      </c>
      <c r="V266" s="39">
        <v>1.6</v>
      </c>
      <c r="W266" s="52">
        <v>0.88939999999999997</v>
      </c>
      <c r="X266" s="39">
        <v>9.4499999999999993</v>
      </c>
      <c r="Y266" s="41">
        <v>220532.25902731001</v>
      </c>
      <c r="Z266" s="40">
        <v>9089</v>
      </c>
      <c r="AA266" s="39">
        <v>4.3579837658815803</v>
      </c>
    </row>
    <row r="267" spans="1:27" s="22" customFormat="1" x14ac:dyDescent="0.25">
      <c r="A267" s="7" t="str">
        <f t="shared" si="4"/>
        <v>2687Providence Holy Cross Medical Center121372061721, 2S MED SURG TELE</v>
      </c>
      <c r="B267" s="7"/>
      <c r="C267" s="29" t="s">
        <v>924</v>
      </c>
      <c r="D267" s="29" t="s">
        <v>924</v>
      </c>
      <c r="E267" s="29" t="s">
        <v>924</v>
      </c>
      <c r="F267" s="29">
        <v>2687</v>
      </c>
      <c r="G267" s="43" t="s">
        <v>925</v>
      </c>
      <c r="H267" s="42">
        <v>1213</v>
      </c>
      <c r="I267" s="43" t="s">
        <v>108</v>
      </c>
      <c r="J267" s="43" t="s">
        <v>23</v>
      </c>
      <c r="K267" s="43" t="s">
        <v>972</v>
      </c>
      <c r="L267" s="43" t="s">
        <v>74</v>
      </c>
      <c r="M267" s="46">
        <v>8155</v>
      </c>
      <c r="N267" s="46">
        <v>9321</v>
      </c>
      <c r="O267" s="45">
        <v>0.52629999999999999</v>
      </c>
      <c r="P267" s="46">
        <v>10.44</v>
      </c>
      <c r="Q267" s="46">
        <v>10.79</v>
      </c>
      <c r="R267" s="45">
        <v>0.44740000000000002</v>
      </c>
      <c r="S267" s="47">
        <v>39</v>
      </c>
      <c r="T267" s="46">
        <v>10.45</v>
      </c>
      <c r="U267" s="46">
        <v>10.56</v>
      </c>
      <c r="V267" s="46">
        <v>10.99</v>
      </c>
      <c r="W267" s="138">
        <v>0.90449999999999997</v>
      </c>
      <c r="X267" s="46">
        <v>53.44</v>
      </c>
      <c r="Y267" s="48">
        <v>104830.547040151</v>
      </c>
      <c r="Z267" s="47">
        <v>2638</v>
      </c>
      <c r="AA267" s="46">
        <v>1.26457277786165</v>
      </c>
    </row>
    <row r="268" spans="1:27" s="22" customFormat="1" x14ac:dyDescent="0.25">
      <c r="A268" s="7" t="str">
        <f t="shared" si="4"/>
        <v>2687Providence Holy Cross Medical Center128572074000 Labor &amp; Delivery</v>
      </c>
      <c r="B268" s="7"/>
      <c r="C268" s="29" t="s">
        <v>924</v>
      </c>
      <c r="D268" s="29" t="s">
        <v>924</v>
      </c>
      <c r="E268" s="29" t="s">
        <v>924</v>
      </c>
      <c r="F268" s="29">
        <v>2687</v>
      </c>
      <c r="G268" s="4" t="s">
        <v>925</v>
      </c>
      <c r="H268" s="5">
        <v>1285</v>
      </c>
      <c r="I268" s="4" t="s">
        <v>85</v>
      </c>
      <c r="J268" s="4" t="s">
        <v>23</v>
      </c>
      <c r="K268" s="4" t="s">
        <v>973</v>
      </c>
      <c r="L268" s="4" t="s">
        <v>86</v>
      </c>
      <c r="M268" s="39">
        <v>3260</v>
      </c>
      <c r="N268" s="39">
        <v>3347</v>
      </c>
      <c r="O268" s="38">
        <v>0.57499999999999996</v>
      </c>
      <c r="P268" s="39">
        <v>30.61</v>
      </c>
      <c r="Q268" s="39">
        <v>27.74</v>
      </c>
      <c r="R268" s="38">
        <v>7.4999999999999997E-2</v>
      </c>
      <c r="S268" s="40">
        <v>41</v>
      </c>
      <c r="T268" s="39">
        <v>32.450000000000003</v>
      </c>
      <c r="U268" s="39">
        <v>33.76</v>
      </c>
      <c r="V268" s="39">
        <v>35.35</v>
      </c>
      <c r="W268" s="52">
        <v>0.90439999999999998</v>
      </c>
      <c r="X268" s="39">
        <v>44.64</v>
      </c>
      <c r="Y268" s="41">
        <f>Z268*49.45</f>
        <v>-1101686.2925696594</v>
      </c>
      <c r="Z268" s="40">
        <f>SUM((Q268-U268)*N268)/W268</f>
        <v>-22278.792569659443</v>
      </c>
      <c r="AA268" s="39">
        <f>+Z268/2085.7</f>
        <v>-10.681686038097254</v>
      </c>
    </row>
    <row r="269" spans="1:27" s="22" customFormat="1" x14ac:dyDescent="0.25">
      <c r="A269" s="7" t="str">
        <f t="shared" si="4"/>
        <v>2687Providence Holy Cross Medical Center481272070760 Physical Therapy - Outpatient Only</v>
      </c>
      <c r="B269" s="7"/>
      <c r="C269" s="29" t="s">
        <v>924</v>
      </c>
      <c r="D269" s="29" t="s">
        <v>924</v>
      </c>
      <c r="E269" s="29" t="s">
        <v>924</v>
      </c>
      <c r="F269" s="29">
        <v>2687</v>
      </c>
      <c r="G269" s="4" t="s">
        <v>925</v>
      </c>
      <c r="H269" s="5">
        <v>4812</v>
      </c>
      <c r="I269" s="4" t="s">
        <v>78</v>
      </c>
      <c r="J269" s="4" t="s">
        <v>41</v>
      </c>
      <c r="K269" s="4" t="s">
        <v>974</v>
      </c>
      <c r="L269" s="4" t="s">
        <v>79</v>
      </c>
      <c r="M269" s="39">
        <v>320.38</v>
      </c>
      <c r="N269" s="39">
        <v>321.18</v>
      </c>
      <c r="O269" s="38">
        <v>0.3659</v>
      </c>
      <c r="P269" s="39">
        <v>27.14</v>
      </c>
      <c r="Q269" s="39">
        <v>25.53</v>
      </c>
      <c r="R269" s="38">
        <v>0.6</v>
      </c>
      <c r="S269" s="40">
        <v>42</v>
      </c>
      <c r="T269" s="39">
        <v>21.52</v>
      </c>
      <c r="U269" s="39">
        <v>22.76</v>
      </c>
      <c r="V269" s="39">
        <v>24.29</v>
      </c>
      <c r="W269" s="52">
        <v>0.85770000000000002</v>
      </c>
      <c r="X269" s="39">
        <v>4.5999999999999996</v>
      </c>
      <c r="Y269" s="41">
        <v>44648.4989853101</v>
      </c>
      <c r="Z269" s="40">
        <v>1071</v>
      </c>
      <c r="AA269" s="39">
        <v>0.513669395805608</v>
      </c>
    </row>
    <row r="270" spans="1:27" s="22" customFormat="1" x14ac:dyDescent="0.25">
      <c r="A270" s="7" t="str">
        <f t="shared" si="4"/>
        <v>2687Providence Holy Cross Medical Center112272060150, 3S STEPDOWN / PROGRESSIVE CARE</v>
      </c>
      <c r="B270" s="7"/>
      <c r="C270" s="29" t="s">
        <v>924</v>
      </c>
      <c r="D270" s="29" t="s">
        <v>924</v>
      </c>
      <c r="E270" s="29" t="s">
        <v>924</v>
      </c>
      <c r="F270" s="29">
        <v>2687</v>
      </c>
      <c r="G270" s="4" t="s">
        <v>925</v>
      </c>
      <c r="H270" s="5">
        <v>1122</v>
      </c>
      <c r="I270" s="4" t="s">
        <v>105</v>
      </c>
      <c r="J270" s="4" t="s">
        <v>23</v>
      </c>
      <c r="K270" s="4" t="s">
        <v>975</v>
      </c>
      <c r="L270" s="4" t="s">
        <v>74</v>
      </c>
      <c r="M270" s="39">
        <v>5564</v>
      </c>
      <c r="N270" s="39">
        <v>6866</v>
      </c>
      <c r="O270" s="38">
        <v>0.44679999999999997</v>
      </c>
      <c r="P270" s="39">
        <v>15.11</v>
      </c>
      <c r="Q270" s="39">
        <v>14.83</v>
      </c>
      <c r="R270" s="38">
        <v>0.9556</v>
      </c>
      <c r="S270" s="40">
        <v>48</v>
      </c>
      <c r="T270" s="39">
        <v>10.85</v>
      </c>
      <c r="U270" s="39">
        <v>11.24</v>
      </c>
      <c r="V270" s="39">
        <v>11.56</v>
      </c>
      <c r="W270" s="52">
        <v>0.91820000000000002</v>
      </c>
      <c r="X270" s="39">
        <v>53.32</v>
      </c>
      <c r="Y270" s="41">
        <v>1169011.5186636699</v>
      </c>
      <c r="Z270" s="40">
        <v>27161</v>
      </c>
      <c r="AA270" s="39">
        <v>13.022233066112101</v>
      </c>
    </row>
    <row r="271" spans="1:27" s="22" customFormat="1" x14ac:dyDescent="0.25">
      <c r="A271" s="7" t="str">
        <f t="shared" si="4"/>
        <v>2687Providence Holy Cross Medical Center301172074200 PHCMC SURGERY</v>
      </c>
      <c r="B271" s="7"/>
      <c r="C271" s="29" t="s">
        <v>924</v>
      </c>
      <c r="D271" s="29" t="s">
        <v>924</v>
      </c>
      <c r="E271" s="29" t="s">
        <v>924</v>
      </c>
      <c r="F271" s="29">
        <v>2687</v>
      </c>
      <c r="G271" s="4" t="s">
        <v>925</v>
      </c>
      <c r="H271" s="5">
        <v>3011</v>
      </c>
      <c r="I271" s="4" t="s">
        <v>87</v>
      </c>
      <c r="J271" s="4" t="s">
        <v>47</v>
      </c>
      <c r="K271" s="4" t="s">
        <v>976</v>
      </c>
      <c r="L271" s="4" t="s">
        <v>88</v>
      </c>
      <c r="M271" s="39">
        <v>7942.71</v>
      </c>
      <c r="N271" s="39">
        <v>8027.72</v>
      </c>
      <c r="O271" s="38">
        <v>0.5625</v>
      </c>
      <c r="P271" s="39">
        <v>10.14</v>
      </c>
      <c r="Q271" s="39">
        <v>11.37</v>
      </c>
      <c r="R271" s="38">
        <v>0.42549999999999999</v>
      </c>
      <c r="S271" s="40">
        <v>49</v>
      </c>
      <c r="T271" s="39">
        <v>10.65</v>
      </c>
      <c r="U271" s="39">
        <v>10.98</v>
      </c>
      <c r="V271" s="39">
        <v>11.77</v>
      </c>
      <c r="W271" s="52">
        <v>0.90090000000000003</v>
      </c>
      <c r="X271" s="39">
        <v>48.7</v>
      </c>
      <c r="Y271" s="41">
        <v>164399.12260536899</v>
      </c>
      <c r="Z271" s="40">
        <v>3733</v>
      </c>
      <c r="AA271" s="39">
        <v>1.78992489027969</v>
      </c>
    </row>
    <row r="272" spans="1:27" s="22" customFormat="1" x14ac:dyDescent="0.25">
      <c r="A272" s="7" t="str">
        <f t="shared" si="4"/>
        <v>3851Providence Holy Family Hospital221636572220, ANTICOAGULATION OP CLINIC</v>
      </c>
      <c r="B272" s="7"/>
      <c r="C272" s="29" t="s">
        <v>297</v>
      </c>
      <c r="D272" s="29" t="s">
        <v>349</v>
      </c>
      <c r="E272" s="29" t="s">
        <v>186</v>
      </c>
      <c r="F272" s="29">
        <v>3851</v>
      </c>
      <c r="G272" s="4" t="s">
        <v>363</v>
      </c>
      <c r="H272" s="5">
        <v>2216</v>
      </c>
      <c r="I272" s="4" t="s">
        <v>264</v>
      </c>
      <c r="J272" s="4" t="s">
        <v>176</v>
      </c>
      <c r="K272" s="4" t="s">
        <v>367</v>
      </c>
      <c r="L272" s="4" t="s">
        <v>77</v>
      </c>
      <c r="M272" s="6">
        <v>29748</v>
      </c>
      <c r="N272" s="6">
        <v>50385</v>
      </c>
      <c r="O272" s="7"/>
      <c r="P272" s="6">
        <v>0.88</v>
      </c>
      <c r="Q272" s="6">
        <v>0.6</v>
      </c>
      <c r="R272" s="19">
        <v>0.625</v>
      </c>
      <c r="S272" s="20">
        <v>8</v>
      </c>
      <c r="T272" s="6">
        <v>0.47</v>
      </c>
      <c r="U272" s="6">
        <v>0.56000000000000005</v>
      </c>
      <c r="V272" s="6">
        <v>0.59</v>
      </c>
      <c r="W272" s="19">
        <v>0.91859999999999997</v>
      </c>
      <c r="X272" s="6">
        <v>15.73</v>
      </c>
      <c r="Y272" s="21">
        <v>103757.49461325</v>
      </c>
      <c r="Z272" s="6">
        <v>2092</v>
      </c>
      <c r="AA272" s="6">
        <v>1.0031111957143199</v>
      </c>
    </row>
    <row r="273" spans="1:27" s="22" customFormat="1" x14ac:dyDescent="0.25">
      <c r="A273" s="7" t="str">
        <f t="shared" si="4"/>
        <v>3851Providence Holy Family Hospital227036570708, PAIN CLINIC</v>
      </c>
      <c r="B273" s="7"/>
      <c r="C273" s="29" t="s">
        <v>297</v>
      </c>
      <c r="D273" s="29" t="s">
        <v>349</v>
      </c>
      <c r="E273" s="29" t="s">
        <v>186</v>
      </c>
      <c r="F273" s="29">
        <v>3851</v>
      </c>
      <c r="G273" s="4" t="s">
        <v>363</v>
      </c>
      <c r="H273" s="5">
        <v>2270</v>
      </c>
      <c r="I273" s="4" t="s">
        <v>365</v>
      </c>
      <c r="J273" s="4" t="s">
        <v>176</v>
      </c>
      <c r="K273" s="4" t="s">
        <v>366</v>
      </c>
      <c r="L273" s="4" t="s">
        <v>77</v>
      </c>
      <c r="M273" s="6">
        <v>1776</v>
      </c>
      <c r="N273" s="6">
        <v>2182</v>
      </c>
      <c r="O273" s="19">
        <v>0.57140000000000002</v>
      </c>
      <c r="P273" s="6">
        <v>2.0499999999999998</v>
      </c>
      <c r="Q273" s="6">
        <v>1.91</v>
      </c>
      <c r="R273" s="19">
        <v>0.16669999999999999</v>
      </c>
      <c r="S273" s="20">
        <v>8</v>
      </c>
      <c r="T273" s="6">
        <v>1.92</v>
      </c>
      <c r="U273" s="6">
        <v>1.95</v>
      </c>
      <c r="V273" s="6">
        <v>2.14</v>
      </c>
      <c r="W273" s="19">
        <v>0.83679999999999999</v>
      </c>
      <c r="X273" s="6">
        <v>2.4</v>
      </c>
      <c r="Y273" s="21">
        <v>-2962.7311411917099</v>
      </c>
      <c r="Z273" s="6">
        <v>-79</v>
      </c>
      <c r="AA273" s="6">
        <v>-3.7899761931630999E-2</v>
      </c>
    </row>
    <row r="274" spans="1:27" s="22" customFormat="1" x14ac:dyDescent="0.25">
      <c r="A274" s="7" t="str">
        <f t="shared" si="4"/>
        <v>3851Providence Holy Family Hospital121436561710, MEDICAL ACUTE</v>
      </c>
      <c r="B274" s="7"/>
      <c r="C274" s="29" t="s">
        <v>297</v>
      </c>
      <c r="D274" s="29" t="s">
        <v>349</v>
      </c>
      <c r="E274" s="29" t="s">
        <v>186</v>
      </c>
      <c r="F274" s="29">
        <v>3851</v>
      </c>
      <c r="G274" s="4" t="s">
        <v>363</v>
      </c>
      <c r="H274" s="5">
        <v>1214</v>
      </c>
      <c r="I274" s="4" t="s">
        <v>109</v>
      </c>
      <c r="J274" s="4" t="s">
        <v>23</v>
      </c>
      <c r="K274" s="4" t="s">
        <v>373</v>
      </c>
      <c r="L274" s="4" t="s">
        <v>74</v>
      </c>
      <c r="M274" s="6">
        <v>11747.83</v>
      </c>
      <c r="N274" s="6">
        <v>12130</v>
      </c>
      <c r="O274" s="19">
        <v>0.88890000000000002</v>
      </c>
      <c r="P274" s="6">
        <v>8.6999999999999993</v>
      </c>
      <c r="Q274" s="6">
        <v>9.02</v>
      </c>
      <c r="R274" s="19">
        <v>0.1111</v>
      </c>
      <c r="S274" s="20">
        <v>10</v>
      </c>
      <c r="T274" s="6">
        <v>9.74</v>
      </c>
      <c r="U274" s="6">
        <v>9.84</v>
      </c>
      <c r="V274" s="6">
        <v>10.039999999999999</v>
      </c>
      <c r="W274" s="19">
        <v>0.88919999999999999</v>
      </c>
      <c r="X274" s="6">
        <v>59.18</v>
      </c>
      <c r="Y274" s="21">
        <v>-392414.12981327198</v>
      </c>
      <c r="Z274" s="6">
        <v>-10800</v>
      </c>
      <c r="AA274" s="6">
        <v>-5.1783059684684103</v>
      </c>
    </row>
    <row r="275" spans="1:27" s="22" customFormat="1" x14ac:dyDescent="0.25">
      <c r="A275" s="7" t="str">
        <f t="shared" si="4"/>
        <v>3851Providence Holy Family Hospital504036584601, BIOMED INSTRUMENT SERVICES</v>
      </c>
      <c r="B275" s="7"/>
      <c r="C275" s="29" t="s">
        <v>297</v>
      </c>
      <c r="D275" s="29" t="s">
        <v>349</v>
      </c>
      <c r="E275" s="29" t="s">
        <v>186</v>
      </c>
      <c r="F275" s="29">
        <v>3851</v>
      </c>
      <c r="G275" s="4" t="s">
        <v>363</v>
      </c>
      <c r="H275" s="5">
        <v>5040</v>
      </c>
      <c r="I275" s="4" t="s">
        <v>142</v>
      </c>
      <c r="J275" s="4" t="s">
        <v>62</v>
      </c>
      <c r="K275" s="4" t="s">
        <v>393</v>
      </c>
      <c r="L275" s="4" t="s">
        <v>143</v>
      </c>
      <c r="M275" s="6">
        <v>18.87</v>
      </c>
      <c r="N275" s="6">
        <v>18.149999999999999</v>
      </c>
      <c r="O275" s="19">
        <v>0.4</v>
      </c>
      <c r="P275" s="6">
        <v>174.12</v>
      </c>
      <c r="Q275" s="6">
        <v>190.77</v>
      </c>
      <c r="R275" s="19">
        <v>0.5</v>
      </c>
      <c r="S275" s="20">
        <v>11</v>
      </c>
      <c r="T275" s="6">
        <v>177.17</v>
      </c>
      <c r="U275" s="6">
        <v>182.65</v>
      </c>
      <c r="V275" s="6">
        <v>190.77</v>
      </c>
      <c r="W275" s="19">
        <v>0.83160000000000001</v>
      </c>
      <c r="X275" s="6">
        <v>2</v>
      </c>
      <c r="Y275" s="21">
        <v>7691.9941196134296</v>
      </c>
      <c r="Z275" s="6">
        <v>185</v>
      </c>
      <c r="AA275" s="6">
        <v>8.8695051944799999E-2</v>
      </c>
    </row>
    <row r="276" spans="1:27" s="22" customFormat="1" x14ac:dyDescent="0.25">
      <c r="A276" s="7" t="str">
        <f t="shared" si="4"/>
        <v>3851Providence Holy Family Hospital581036583600, SOCIAL WORK SRVS</v>
      </c>
      <c r="B276" s="7"/>
      <c r="C276" s="29" t="s">
        <v>297</v>
      </c>
      <c r="D276" s="29" t="s">
        <v>349</v>
      </c>
      <c r="E276" s="29" t="s">
        <v>186</v>
      </c>
      <c r="F276" s="29">
        <v>3851</v>
      </c>
      <c r="G276" s="4" t="s">
        <v>363</v>
      </c>
      <c r="H276" s="5">
        <v>5810</v>
      </c>
      <c r="I276" s="4" t="s">
        <v>133</v>
      </c>
      <c r="J276" s="4" t="s">
        <v>26</v>
      </c>
      <c r="K276" s="4" t="s">
        <v>389</v>
      </c>
      <c r="L276" s="4" t="s">
        <v>134</v>
      </c>
      <c r="M276" s="7"/>
      <c r="N276" s="6">
        <v>8555</v>
      </c>
      <c r="O276" s="19">
        <v>0.36359999999999998</v>
      </c>
      <c r="P276" s="7"/>
      <c r="Q276" s="6">
        <v>1.61</v>
      </c>
      <c r="R276" s="19">
        <v>0.61539999999999995</v>
      </c>
      <c r="S276" s="20">
        <v>12</v>
      </c>
      <c r="T276" s="6">
        <v>0.84</v>
      </c>
      <c r="U276" s="6">
        <v>0.98</v>
      </c>
      <c r="V276" s="6">
        <v>1.05</v>
      </c>
      <c r="W276" s="19">
        <v>0.88529999999999998</v>
      </c>
      <c r="X276" s="6">
        <v>7.49</v>
      </c>
      <c r="Y276" s="21">
        <v>191496.46092322801</v>
      </c>
      <c r="Z276" s="6">
        <v>6152</v>
      </c>
      <c r="AA276" s="6">
        <v>2.9494989106268901</v>
      </c>
    </row>
    <row r="277" spans="1:27" s="22" customFormat="1" x14ac:dyDescent="0.25">
      <c r="A277" s="7" t="str">
        <f t="shared" si="4"/>
        <v>3851Providence Holy Family Hospital466536574201, SURG PROC CALL CTR</v>
      </c>
      <c r="B277" s="7"/>
      <c r="C277" s="29" t="s">
        <v>297</v>
      </c>
      <c r="D277" s="29" t="s">
        <v>349</v>
      </c>
      <c r="E277" s="29" t="s">
        <v>186</v>
      </c>
      <c r="F277" s="29">
        <v>3851</v>
      </c>
      <c r="G277" s="4" t="s">
        <v>363</v>
      </c>
      <c r="H277" s="5">
        <v>4665</v>
      </c>
      <c r="I277" s="4" t="s">
        <v>192</v>
      </c>
      <c r="J277" s="4" t="s">
        <v>83</v>
      </c>
      <c r="K277" s="4" t="s">
        <v>369</v>
      </c>
      <c r="L277" s="4" t="s">
        <v>77</v>
      </c>
      <c r="M277" s="6">
        <v>1186</v>
      </c>
      <c r="N277" s="6">
        <v>1359</v>
      </c>
      <c r="O277" s="19">
        <v>0.36359999999999998</v>
      </c>
      <c r="P277" s="6">
        <v>7.65</v>
      </c>
      <c r="Q277" s="6">
        <v>6.73</v>
      </c>
      <c r="R277" s="19">
        <v>0.63639999999999997</v>
      </c>
      <c r="S277" s="20">
        <v>12</v>
      </c>
      <c r="T277" s="6">
        <v>4.2</v>
      </c>
      <c r="U277" s="6">
        <v>4.34</v>
      </c>
      <c r="V277" s="6">
        <v>5.82</v>
      </c>
      <c r="W277" s="19">
        <v>0.87070000000000003</v>
      </c>
      <c r="X277" s="6">
        <v>5.05</v>
      </c>
      <c r="Y277" s="21">
        <v>176152.176458292</v>
      </c>
      <c r="Z277" s="6">
        <v>3759</v>
      </c>
      <c r="AA277" s="6">
        <v>1.8022035658889199</v>
      </c>
    </row>
    <row r="278" spans="1:27" s="22" customFormat="1" x14ac:dyDescent="0.25">
      <c r="A278" s="7" t="str">
        <f t="shared" si="4"/>
        <v>3851Providence Holy Family Hospital181036577150, IV THERAPY</v>
      </c>
      <c r="B278" s="7"/>
      <c r="C278" s="29" t="s">
        <v>297</v>
      </c>
      <c r="D278" s="29" t="s">
        <v>349</v>
      </c>
      <c r="E278" s="29" t="s">
        <v>186</v>
      </c>
      <c r="F278" s="29">
        <v>3851</v>
      </c>
      <c r="G278" s="4" t="s">
        <v>363</v>
      </c>
      <c r="H278" s="5">
        <v>1810</v>
      </c>
      <c r="I278" s="4" t="s">
        <v>162</v>
      </c>
      <c r="J278" s="4" t="s">
        <v>23</v>
      </c>
      <c r="K278" s="4" t="s">
        <v>384</v>
      </c>
      <c r="L278" s="4" t="s">
        <v>163</v>
      </c>
      <c r="M278" s="6">
        <v>206.11</v>
      </c>
      <c r="N278" s="6">
        <v>207.54</v>
      </c>
      <c r="O278" s="19">
        <v>0.63639999999999997</v>
      </c>
      <c r="P278" s="6">
        <v>53.69</v>
      </c>
      <c r="Q278" s="6">
        <v>47.77</v>
      </c>
      <c r="R278" s="19">
        <v>0.3</v>
      </c>
      <c r="S278" s="20">
        <v>12</v>
      </c>
      <c r="T278" s="6">
        <v>45.56</v>
      </c>
      <c r="U278" s="6">
        <v>48.25</v>
      </c>
      <c r="V278" s="6">
        <v>70.95</v>
      </c>
      <c r="W278" s="19">
        <v>0.90610000000000002</v>
      </c>
      <c r="X278" s="6">
        <v>5.26</v>
      </c>
      <c r="Y278" s="21">
        <v>-3845.6309082979701</v>
      </c>
      <c r="Z278" s="6">
        <v>-81</v>
      </c>
      <c r="AA278" s="6">
        <v>-3.8722291472472699E-2</v>
      </c>
    </row>
    <row r="279" spans="1:27" s="22" customFormat="1" x14ac:dyDescent="0.25">
      <c r="A279" s="7" t="str">
        <f t="shared" si="4"/>
        <v>3851Providence Holy Family Hospital3399Laboratory Services Administration (U,N)</v>
      </c>
      <c r="B279" s="7"/>
      <c r="C279" s="29" t="s">
        <v>297</v>
      </c>
      <c r="D279" s="29" t="s">
        <v>349</v>
      </c>
      <c r="E279" s="29" t="s">
        <v>186</v>
      </c>
      <c r="F279" s="29">
        <v>3851</v>
      </c>
      <c r="G279" s="4" t="s">
        <v>363</v>
      </c>
      <c r="H279" s="5">
        <v>3399</v>
      </c>
      <c r="I279" s="4" t="s">
        <v>52</v>
      </c>
      <c r="J279" s="4" t="s">
        <v>53</v>
      </c>
      <c r="K279" s="4" t="s">
        <v>54</v>
      </c>
      <c r="L279" s="4" t="s">
        <v>55</v>
      </c>
      <c r="M279" s="6">
        <v>3684.73</v>
      </c>
      <c r="N279" s="6">
        <v>3830.62</v>
      </c>
      <c r="O279" s="19">
        <v>0.54869999999999997</v>
      </c>
      <c r="P279" s="6">
        <v>2.31</v>
      </c>
      <c r="Q279" s="6">
        <v>2.58</v>
      </c>
      <c r="R279" s="19">
        <v>0.92600000000000005</v>
      </c>
      <c r="S279" s="20">
        <v>13</v>
      </c>
      <c r="T279" s="6">
        <v>0.57999999999999996</v>
      </c>
      <c r="U279" s="6">
        <v>0.71</v>
      </c>
      <c r="V279" s="6">
        <v>0.83</v>
      </c>
      <c r="W279" s="19">
        <v>0.96040000000000003</v>
      </c>
      <c r="X279" s="6">
        <v>4.95</v>
      </c>
      <c r="Y279" s="21">
        <v>284683.82063738501</v>
      </c>
      <c r="Z279" s="6">
        <v>7492</v>
      </c>
      <c r="AA279" s="6">
        <v>3.59223869339574</v>
      </c>
    </row>
    <row r="280" spans="1:27" s="22" customFormat="1" x14ac:dyDescent="0.25">
      <c r="A280" s="7" t="str">
        <f t="shared" si="4"/>
        <v>3851Providence Holy Family Hospital5608Centralized Scheduling (U,N)</v>
      </c>
      <c r="B280" s="7"/>
      <c r="C280" s="29" t="s">
        <v>297</v>
      </c>
      <c r="D280" s="29" t="s">
        <v>349</v>
      </c>
      <c r="E280" s="29" t="s">
        <v>186</v>
      </c>
      <c r="F280" s="29">
        <v>3851</v>
      </c>
      <c r="G280" s="4" t="s">
        <v>363</v>
      </c>
      <c r="H280" s="5">
        <v>5608</v>
      </c>
      <c r="I280" s="4" t="s">
        <v>257</v>
      </c>
      <c r="J280" s="4" t="s">
        <v>12</v>
      </c>
      <c r="K280" s="4" t="s">
        <v>258</v>
      </c>
      <c r="L280" s="4" t="s">
        <v>18</v>
      </c>
      <c r="M280" s="6">
        <v>19196.98</v>
      </c>
      <c r="N280" s="6">
        <v>18392</v>
      </c>
      <c r="O280" s="19">
        <v>0.41810000000000003</v>
      </c>
      <c r="P280" s="6">
        <v>0.42</v>
      </c>
      <c r="Q280" s="6">
        <v>0.37</v>
      </c>
      <c r="R280" s="19">
        <v>0.12529999999999999</v>
      </c>
      <c r="S280" s="20">
        <v>13</v>
      </c>
      <c r="T280" s="6">
        <v>0.49</v>
      </c>
      <c r="U280" s="6">
        <v>0.63</v>
      </c>
      <c r="V280" s="6">
        <v>0.8</v>
      </c>
      <c r="W280" s="19">
        <v>0.8639</v>
      </c>
      <c r="X280" s="6">
        <v>3.8</v>
      </c>
      <c r="Y280" s="21">
        <v>-103820.85607127</v>
      </c>
      <c r="Z280" s="6">
        <v>-5487</v>
      </c>
      <c r="AA280" s="6">
        <v>-2.6306399255830302</v>
      </c>
    </row>
    <row r="281" spans="1:27" s="22" customFormat="1" x14ac:dyDescent="0.25">
      <c r="A281" s="7" t="str">
        <f t="shared" si="4"/>
        <v>3851Providence Holy Family Hospital183036560300, CARDIAC REHABILITATION (U)</v>
      </c>
      <c r="B281" s="7"/>
      <c r="C281" s="29" t="s">
        <v>297</v>
      </c>
      <c r="D281" s="29" t="s">
        <v>349</v>
      </c>
      <c r="E281" s="29" t="s">
        <v>186</v>
      </c>
      <c r="F281" s="29">
        <v>3851</v>
      </c>
      <c r="G281" s="4" t="s">
        <v>363</v>
      </c>
      <c r="H281" s="5">
        <v>1830</v>
      </c>
      <c r="I281" s="4" t="s">
        <v>22</v>
      </c>
      <c r="J281" s="4" t="s">
        <v>23</v>
      </c>
      <c r="K281" s="4" t="s">
        <v>372</v>
      </c>
      <c r="L281" s="4" t="s">
        <v>24</v>
      </c>
      <c r="M281" s="6">
        <v>9676</v>
      </c>
      <c r="N281" s="6">
        <v>10086</v>
      </c>
      <c r="O281" s="19">
        <v>0.41339999999999999</v>
      </c>
      <c r="P281" s="6">
        <v>1.07</v>
      </c>
      <c r="Q281" s="6">
        <v>0.9</v>
      </c>
      <c r="R281" s="19">
        <v>0.54849999999999999</v>
      </c>
      <c r="S281" s="20">
        <v>15</v>
      </c>
      <c r="T281" s="6">
        <v>0.74</v>
      </c>
      <c r="U281" s="6">
        <v>0.76</v>
      </c>
      <c r="V281" s="6">
        <v>0.84</v>
      </c>
      <c r="W281" s="19">
        <v>0.86939999999999995</v>
      </c>
      <c r="X281" s="6">
        <v>5</v>
      </c>
      <c r="Y281" s="21">
        <v>34045.892029821</v>
      </c>
      <c r="Z281" s="6">
        <v>1612</v>
      </c>
      <c r="AA281" s="6">
        <v>0.77271937505494703</v>
      </c>
    </row>
    <row r="282" spans="1:27" s="22" customFormat="1" x14ac:dyDescent="0.25">
      <c r="A282" s="7" t="str">
        <f t="shared" si="4"/>
        <v>3851Providence Holy Family Hospital191036587200, NURSING ADMINISTRATION</v>
      </c>
      <c r="B282" s="7"/>
      <c r="C282" s="29" t="s">
        <v>297</v>
      </c>
      <c r="D282" s="29" t="s">
        <v>349</v>
      </c>
      <c r="E282" s="29" t="s">
        <v>186</v>
      </c>
      <c r="F282" s="29">
        <v>3851</v>
      </c>
      <c r="G282" s="4" t="s">
        <v>363</v>
      </c>
      <c r="H282" s="5">
        <v>1910</v>
      </c>
      <c r="I282" s="4" t="s">
        <v>34</v>
      </c>
      <c r="J282" s="4" t="s">
        <v>23</v>
      </c>
      <c r="K282" s="4" t="s">
        <v>395</v>
      </c>
      <c r="L282" s="4" t="s">
        <v>35</v>
      </c>
      <c r="M282" s="6">
        <v>346</v>
      </c>
      <c r="N282" s="6">
        <v>351</v>
      </c>
      <c r="O282" s="19">
        <v>0.42859999999999998</v>
      </c>
      <c r="P282" s="6">
        <v>54.99</v>
      </c>
      <c r="Q282" s="6">
        <v>51.17</v>
      </c>
      <c r="R282" s="19">
        <v>0.46150000000000002</v>
      </c>
      <c r="S282" s="20">
        <v>15</v>
      </c>
      <c r="T282" s="6">
        <v>44.33</v>
      </c>
      <c r="U282" s="6">
        <v>46.44</v>
      </c>
      <c r="V282" s="6">
        <v>51.99</v>
      </c>
      <c r="W282" s="19">
        <v>0.87260000000000004</v>
      </c>
      <c r="X282" s="6">
        <v>7.88</v>
      </c>
      <c r="Y282" s="21">
        <v>-153000.04131838901</v>
      </c>
      <c r="Z282" s="6">
        <v>-2245</v>
      </c>
      <c r="AA282" s="6">
        <v>-1.0763751796158001</v>
      </c>
    </row>
    <row r="283" spans="1:27" s="22" customFormat="1" x14ac:dyDescent="0.25">
      <c r="A283" s="7" t="str">
        <f t="shared" si="4"/>
        <v>3851Providence Holy Family Hospital522136583500, LAUNDRY AND LINEN</v>
      </c>
      <c r="B283" s="7"/>
      <c r="C283" s="29" t="s">
        <v>297</v>
      </c>
      <c r="D283" s="29" t="s">
        <v>349</v>
      </c>
      <c r="E283" s="29" t="s">
        <v>186</v>
      </c>
      <c r="F283" s="29">
        <v>3851</v>
      </c>
      <c r="G283" s="4" t="s">
        <v>363</v>
      </c>
      <c r="H283" s="5">
        <v>5221</v>
      </c>
      <c r="I283" s="4" t="s">
        <v>131</v>
      </c>
      <c r="J283" s="4" t="s">
        <v>50</v>
      </c>
      <c r="K283" s="4" t="s">
        <v>388</v>
      </c>
      <c r="L283" s="4" t="s">
        <v>132</v>
      </c>
      <c r="M283" s="6">
        <v>11876.71</v>
      </c>
      <c r="N283" s="6">
        <v>12280.84</v>
      </c>
      <c r="O283" s="19">
        <v>0.5333</v>
      </c>
      <c r="P283" s="6">
        <v>0.32</v>
      </c>
      <c r="Q283" s="6">
        <v>0.32</v>
      </c>
      <c r="R283" s="19">
        <v>0.4667</v>
      </c>
      <c r="S283" s="20">
        <v>16</v>
      </c>
      <c r="T283" s="6">
        <v>0.22</v>
      </c>
      <c r="U283" s="6">
        <v>0.26</v>
      </c>
      <c r="V283" s="6">
        <v>0.32</v>
      </c>
      <c r="W283" s="19">
        <v>0.87519999999999998</v>
      </c>
      <c r="X283" s="6">
        <v>2.15</v>
      </c>
      <c r="Y283" s="21">
        <v>13505.8171906513</v>
      </c>
      <c r="Z283" s="6">
        <v>836</v>
      </c>
      <c r="AA283" s="6">
        <v>0.40078871279739903</v>
      </c>
    </row>
    <row r="284" spans="1:27" s="22" customFormat="1" x14ac:dyDescent="0.25">
      <c r="A284" s="7" t="str">
        <f t="shared" si="4"/>
        <v>3851Providence Holy Family Hospital651036587100, MEDICAL STAFF ADMINISTRATION</v>
      </c>
      <c r="B284" s="7"/>
      <c r="C284" s="29" t="s">
        <v>297</v>
      </c>
      <c r="D284" s="29" t="s">
        <v>349</v>
      </c>
      <c r="E284" s="29" t="s">
        <v>186</v>
      </c>
      <c r="F284" s="29">
        <v>3851</v>
      </c>
      <c r="G284" s="4" t="s">
        <v>363</v>
      </c>
      <c r="H284" s="5">
        <v>6510</v>
      </c>
      <c r="I284" s="4" t="s">
        <v>19</v>
      </c>
      <c r="J284" s="4" t="s">
        <v>19</v>
      </c>
      <c r="K284" s="4" t="s">
        <v>394</v>
      </c>
      <c r="L284" s="4" t="s">
        <v>20</v>
      </c>
      <c r="M284" s="6">
        <v>261</v>
      </c>
      <c r="N284" s="6">
        <v>287</v>
      </c>
      <c r="O284" s="19">
        <v>0.5625</v>
      </c>
      <c r="P284" s="6">
        <v>17.25</v>
      </c>
      <c r="Q284" s="6">
        <v>15.99</v>
      </c>
      <c r="R284" s="19">
        <v>0.1333</v>
      </c>
      <c r="S284" s="20">
        <v>17</v>
      </c>
      <c r="T284" s="6">
        <v>16.079999999999998</v>
      </c>
      <c r="U284" s="6">
        <v>22.39</v>
      </c>
      <c r="V284" s="6">
        <v>25.06</v>
      </c>
      <c r="W284" s="19">
        <v>0.87829999999999997</v>
      </c>
      <c r="X284" s="6">
        <v>2.5099999999999998</v>
      </c>
      <c r="Y284" s="21">
        <v>-63341.508540060997</v>
      </c>
      <c r="Z284" s="6">
        <v>-2081</v>
      </c>
      <c r="AA284" s="6">
        <v>-0.99785203784431697</v>
      </c>
    </row>
    <row r="285" spans="1:27" s="22" customFormat="1" x14ac:dyDescent="0.25">
      <c r="A285" s="7" t="str">
        <f t="shared" si="4"/>
        <v>3851Providence Holy Family Hospital5111Clinical Nutrition Services (N)</v>
      </c>
      <c r="B285" s="7"/>
      <c r="C285" s="29" t="s">
        <v>297</v>
      </c>
      <c r="D285" s="29" t="s">
        <v>349</v>
      </c>
      <c r="E285" s="29" t="s">
        <v>186</v>
      </c>
      <c r="F285" s="29">
        <v>3851</v>
      </c>
      <c r="G285" s="4" t="s">
        <v>363</v>
      </c>
      <c r="H285" s="5">
        <v>5111</v>
      </c>
      <c r="I285" s="4" t="s">
        <v>64</v>
      </c>
      <c r="J285" s="4" t="s">
        <v>65</v>
      </c>
      <c r="K285" s="4" t="s">
        <v>396</v>
      </c>
      <c r="L285" s="4" t="s">
        <v>67</v>
      </c>
      <c r="M285" s="6">
        <v>19420</v>
      </c>
      <c r="N285" s="6">
        <v>15769</v>
      </c>
      <c r="O285" s="19">
        <v>0.58819999999999995</v>
      </c>
      <c r="P285" s="6">
        <v>0.5</v>
      </c>
      <c r="Q285" s="6">
        <v>0.61</v>
      </c>
      <c r="R285" s="19">
        <v>0.70589999999999997</v>
      </c>
      <c r="S285" s="20">
        <v>18</v>
      </c>
      <c r="T285" s="6">
        <v>0.39</v>
      </c>
      <c r="U285" s="6">
        <v>0.44</v>
      </c>
      <c r="V285" s="6">
        <v>0.45</v>
      </c>
      <c r="W285" s="19">
        <v>0.89200000000000002</v>
      </c>
      <c r="X285" s="6">
        <v>5.15</v>
      </c>
      <c r="Y285" s="21">
        <v>89651.521607248593</v>
      </c>
      <c r="Z285" s="6">
        <v>2963</v>
      </c>
      <c r="AA285" s="6">
        <v>1.4205899730193501</v>
      </c>
    </row>
    <row r="286" spans="1:27" s="22" customFormat="1" x14ac:dyDescent="0.25">
      <c r="A286" s="7" t="str">
        <f t="shared" si="4"/>
        <v>3851Providence Holy Family Hospital101036560100, INTENSIVE CARE</v>
      </c>
      <c r="B286" s="7"/>
      <c r="C286" s="29" t="s">
        <v>297</v>
      </c>
      <c r="D286" s="29" t="s">
        <v>349</v>
      </c>
      <c r="E286" s="29" t="s">
        <v>186</v>
      </c>
      <c r="F286" s="29">
        <v>3851</v>
      </c>
      <c r="G286" s="4" t="s">
        <v>363</v>
      </c>
      <c r="H286" s="5">
        <v>1010</v>
      </c>
      <c r="I286" s="4" t="s">
        <v>287</v>
      </c>
      <c r="J286" s="4" t="s">
        <v>23</v>
      </c>
      <c r="K286" s="4" t="s">
        <v>370</v>
      </c>
      <c r="L286" s="4" t="s">
        <v>74</v>
      </c>
      <c r="M286" s="6">
        <v>3548.65</v>
      </c>
      <c r="N286" s="6">
        <v>3638</v>
      </c>
      <c r="O286" s="19">
        <v>0.5</v>
      </c>
      <c r="P286" s="6">
        <v>17.57</v>
      </c>
      <c r="Q286" s="6">
        <v>17.78</v>
      </c>
      <c r="R286" s="19">
        <v>0.375</v>
      </c>
      <c r="S286" s="20">
        <v>19</v>
      </c>
      <c r="T286" s="6">
        <v>17.48</v>
      </c>
      <c r="U286" s="6">
        <v>17.71</v>
      </c>
      <c r="V286" s="6">
        <v>18.57</v>
      </c>
      <c r="W286" s="19">
        <v>0.86009999999999998</v>
      </c>
      <c r="X286" s="6">
        <v>36.159999999999997</v>
      </c>
      <c r="Y286" s="21">
        <v>21879.502226025401</v>
      </c>
      <c r="Z286" s="6">
        <v>510</v>
      </c>
      <c r="AA286" s="6">
        <v>0.24461989272965201</v>
      </c>
    </row>
    <row r="287" spans="1:27" s="22" customFormat="1" x14ac:dyDescent="0.25">
      <c r="A287" s="7" t="str">
        <f t="shared" si="4"/>
        <v>3851Providence Holy Family Hospital432036578740, SLEEP LABORATORY</v>
      </c>
      <c r="B287" s="7"/>
      <c r="C287" s="29" t="s">
        <v>297</v>
      </c>
      <c r="D287" s="29" t="s">
        <v>349</v>
      </c>
      <c r="E287" s="29" t="s">
        <v>186</v>
      </c>
      <c r="F287" s="29">
        <v>3851</v>
      </c>
      <c r="G287" s="4" t="s">
        <v>363</v>
      </c>
      <c r="H287" s="5">
        <v>4320</v>
      </c>
      <c r="I287" s="4" t="s">
        <v>166</v>
      </c>
      <c r="J287" s="4" t="s">
        <v>116</v>
      </c>
      <c r="K287" s="4" t="s">
        <v>386</v>
      </c>
      <c r="L287" s="4" t="s">
        <v>99</v>
      </c>
      <c r="M287" s="6">
        <v>9483.36</v>
      </c>
      <c r="N287" s="6">
        <v>11081.69</v>
      </c>
      <c r="O287" s="19">
        <v>0.61899999999999999</v>
      </c>
      <c r="P287" s="6">
        <v>0.94</v>
      </c>
      <c r="Q287" s="6">
        <v>0.91</v>
      </c>
      <c r="R287" s="19">
        <v>0.4</v>
      </c>
      <c r="S287" s="20">
        <v>22</v>
      </c>
      <c r="T287" s="6">
        <v>0.82</v>
      </c>
      <c r="U287" s="6">
        <v>0.85</v>
      </c>
      <c r="V287" s="6">
        <v>0.97</v>
      </c>
      <c r="W287" s="19">
        <v>0.86299999999999999</v>
      </c>
      <c r="X287" s="6">
        <v>5.61</v>
      </c>
      <c r="Y287" s="21">
        <v>28637.633077852599</v>
      </c>
      <c r="Z287" s="6">
        <v>786</v>
      </c>
      <c r="AA287" s="6">
        <v>0.37686081367071</v>
      </c>
    </row>
    <row r="288" spans="1:27" s="22" customFormat="1" x14ac:dyDescent="0.25">
      <c r="A288" s="7" t="str">
        <f t="shared" si="4"/>
        <v>3851Providence Holy Family Hospital341236576310, CATH LAB</v>
      </c>
      <c r="B288" s="7"/>
      <c r="C288" s="29" t="s">
        <v>297</v>
      </c>
      <c r="D288" s="29" t="s">
        <v>349</v>
      </c>
      <c r="E288" s="29" t="s">
        <v>186</v>
      </c>
      <c r="F288" s="29">
        <v>3851</v>
      </c>
      <c r="G288" s="4" t="s">
        <v>363</v>
      </c>
      <c r="H288" s="5">
        <v>3412</v>
      </c>
      <c r="I288" s="4" t="s">
        <v>118</v>
      </c>
      <c r="J288" s="4" t="s">
        <v>57</v>
      </c>
      <c r="K288" s="4" t="s">
        <v>382</v>
      </c>
      <c r="L288" s="4" t="s">
        <v>99</v>
      </c>
      <c r="M288" s="6">
        <v>26569.95</v>
      </c>
      <c r="N288" s="6">
        <v>20940.259999999998</v>
      </c>
      <c r="O288" s="19">
        <v>0.33329999999999999</v>
      </c>
      <c r="P288" s="6">
        <v>0.27</v>
      </c>
      <c r="Q288" s="6">
        <v>0.3</v>
      </c>
      <c r="R288" s="19">
        <v>0.25</v>
      </c>
      <c r="S288" s="20">
        <v>22</v>
      </c>
      <c r="T288" s="6">
        <v>0.3</v>
      </c>
      <c r="U288" s="6">
        <v>0.3</v>
      </c>
      <c r="V288" s="6">
        <v>0.33</v>
      </c>
      <c r="W288" s="19">
        <v>0.86099999999999999</v>
      </c>
      <c r="X288" s="6">
        <v>3.46</v>
      </c>
      <c r="Y288" s="21">
        <v>-4014.6418239996101</v>
      </c>
      <c r="Z288" s="6">
        <v>-80</v>
      </c>
      <c r="AA288" s="6">
        <v>-3.8229774042889603E-2</v>
      </c>
    </row>
    <row r="289" spans="1:27" s="22" customFormat="1" x14ac:dyDescent="0.25">
      <c r="A289" s="7" t="str">
        <f t="shared" si="4"/>
        <v>3851Providence Holy Family Hospital4490Pharmacy Administration and Support (U,N)</v>
      </c>
      <c r="B289" s="7"/>
      <c r="C289" s="29" t="s">
        <v>297</v>
      </c>
      <c r="D289" s="29" t="s">
        <v>349</v>
      </c>
      <c r="E289" s="29" t="s">
        <v>186</v>
      </c>
      <c r="F289" s="29">
        <v>3851</v>
      </c>
      <c r="G289" s="4" t="s">
        <v>363</v>
      </c>
      <c r="H289" s="5">
        <v>4490</v>
      </c>
      <c r="I289" s="4" t="s">
        <v>36</v>
      </c>
      <c r="J289" s="4" t="s">
        <v>37</v>
      </c>
      <c r="K289" s="4" t="s">
        <v>38</v>
      </c>
      <c r="L289" s="4" t="s">
        <v>39</v>
      </c>
      <c r="M289" s="6">
        <v>27480.48</v>
      </c>
      <c r="N289" s="6">
        <v>27157.63</v>
      </c>
      <c r="O289" s="19">
        <v>0.56089999999999995</v>
      </c>
      <c r="P289" s="6">
        <v>0.22</v>
      </c>
      <c r="Q289" s="6">
        <v>0.2</v>
      </c>
      <c r="R289" s="19">
        <v>0.21890000000000001</v>
      </c>
      <c r="S289" s="20">
        <v>22</v>
      </c>
      <c r="T289" s="6">
        <v>0.21</v>
      </c>
      <c r="U289" s="6">
        <v>0.23</v>
      </c>
      <c r="V289" s="6">
        <v>0.32</v>
      </c>
      <c r="W289" s="19">
        <v>0.90359999999999996</v>
      </c>
      <c r="X289" s="6">
        <v>2.91</v>
      </c>
      <c r="Y289" s="21">
        <v>-44849.761890974201</v>
      </c>
      <c r="Z289" s="6">
        <v>-843</v>
      </c>
      <c r="AA289" s="6">
        <v>-0.40429864863422299</v>
      </c>
    </row>
    <row r="290" spans="1:27" s="22" customFormat="1" x14ac:dyDescent="0.25">
      <c r="A290" s="7" t="str">
        <f t="shared" si="4"/>
        <v>3851Providence Holy Family Hospital335036575000, CLINICAL LABORATORY SERVICES</v>
      </c>
      <c r="B290" s="7"/>
      <c r="C290" s="29" t="s">
        <v>297</v>
      </c>
      <c r="D290" s="29" t="s">
        <v>349</v>
      </c>
      <c r="E290" s="29" t="s">
        <v>186</v>
      </c>
      <c r="F290" s="29">
        <v>3851</v>
      </c>
      <c r="G290" s="4" t="s">
        <v>363</v>
      </c>
      <c r="H290" s="5">
        <v>3350</v>
      </c>
      <c r="I290" s="4" t="s">
        <v>93</v>
      </c>
      <c r="J290" s="4" t="s">
        <v>53</v>
      </c>
      <c r="K290" s="4" t="s">
        <v>380</v>
      </c>
      <c r="L290" s="4" t="s">
        <v>94</v>
      </c>
      <c r="M290" s="6">
        <v>3684.73</v>
      </c>
      <c r="N290" s="6">
        <v>3830.62</v>
      </c>
      <c r="O290" s="19">
        <v>0.58330000000000004</v>
      </c>
      <c r="P290" s="6">
        <v>14.65</v>
      </c>
      <c r="Q290" s="6">
        <v>14.12</v>
      </c>
      <c r="R290" s="19">
        <v>0.2727</v>
      </c>
      <c r="S290" s="20">
        <v>25</v>
      </c>
      <c r="T290" s="6">
        <v>14.09</v>
      </c>
      <c r="U290" s="6">
        <v>14.49</v>
      </c>
      <c r="V290" s="6">
        <v>14.86</v>
      </c>
      <c r="W290" s="19">
        <v>0.85070000000000001</v>
      </c>
      <c r="X290" s="6">
        <v>30.57</v>
      </c>
      <c r="Y290" s="21">
        <v>-42819.0761207162</v>
      </c>
      <c r="Z290" s="6">
        <v>-1487</v>
      </c>
      <c r="AA290" s="6">
        <v>-0.71305680975400398</v>
      </c>
    </row>
    <row r="291" spans="1:27" s="22" customFormat="1" x14ac:dyDescent="0.25">
      <c r="A291" s="7" t="str">
        <f t="shared" si="4"/>
        <v>3851Providence Holy Family Hospital303036574300, SURG-MED ADMISSIONS UNIT</v>
      </c>
      <c r="B291" s="7"/>
      <c r="C291" s="29" t="s">
        <v>297</v>
      </c>
      <c r="D291" s="29" t="s">
        <v>349</v>
      </c>
      <c r="E291" s="29" t="s">
        <v>186</v>
      </c>
      <c r="F291" s="29">
        <v>3851</v>
      </c>
      <c r="G291" s="4" t="s">
        <v>363</v>
      </c>
      <c r="H291" s="5">
        <v>3030</v>
      </c>
      <c r="I291" s="4" t="s">
        <v>80</v>
      </c>
      <c r="J291" s="4" t="s">
        <v>47</v>
      </c>
      <c r="K291" s="4" t="s">
        <v>378</v>
      </c>
      <c r="L291" s="4" t="s">
        <v>81</v>
      </c>
      <c r="M291" s="6">
        <v>14264.4</v>
      </c>
      <c r="N291" s="6">
        <v>10964.05</v>
      </c>
      <c r="O291" s="19">
        <v>0.64</v>
      </c>
      <c r="P291" s="6">
        <v>2.0699999999999998</v>
      </c>
      <c r="Q291" s="6">
        <v>2.82</v>
      </c>
      <c r="R291" s="19">
        <v>0.5</v>
      </c>
      <c r="S291" s="20">
        <v>26</v>
      </c>
      <c r="T291" s="6">
        <v>2.1800000000000002</v>
      </c>
      <c r="U291" s="6">
        <v>2.4</v>
      </c>
      <c r="V291" s="6">
        <v>2.82</v>
      </c>
      <c r="W291" s="19">
        <v>0.83899999999999997</v>
      </c>
      <c r="X291" s="6">
        <v>17.71</v>
      </c>
      <c r="Y291" s="21">
        <v>245351.08826784199</v>
      </c>
      <c r="Z291" s="6">
        <v>5575</v>
      </c>
      <c r="AA291" s="6">
        <v>2.6727490631905599</v>
      </c>
    </row>
    <row r="292" spans="1:27" s="22" customFormat="1" x14ac:dyDescent="0.25">
      <c r="A292" s="7" t="str">
        <f t="shared" si="4"/>
        <v>3851Providence Holy Family Hospital307036574701, STERILE PROCESSING</v>
      </c>
      <c r="B292" s="7"/>
      <c r="C292" s="29" t="s">
        <v>297</v>
      </c>
      <c r="D292" s="29" t="s">
        <v>349</v>
      </c>
      <c r="E292" s="29" t="s">
        <v>186</v>
      </c>
      <c r="F292" s="29">
        <v>3851</v>
      </c>
      <c r="G292" s="4" t="s">
        <v>363</v>
      </c>
      <c r="H292" s="5">
        <v>3070</v>
      </c>
      <c r="I292" s="4" t="s">
        <v>91</v>
      </c>
      <c r="J292" s="4" t="s">
        <v>47</v>
      </c>
      <c r="K292" s="4" t="s">
        <v>379</v>
      </c>
      <c r="L292" s="4" t="s">
        <v>92</v>
      </c>
      <c r="M292" s="6">
        <v>1166.53</v>
      </c>
      <c r="N292" s="6">
        <v>1249.8399999999999</v>
      </c>
      <c r="O292" s="19">
        <v>0.5</v>
      </c>
      <c r="P292" s="6">
        <v>22.16</v>
      </c>
      <c r="Q292" s="6">
        <v>21.68</v>
      </c>
      <c r="R292" s="19">
        <v>0.48</v>
      </c>
      <c r="S292" s="20">
        <v>27</v>
      </c>
      <c r="T292" s="6">
        <v>16.21</v>
      </c>
      <c r="U292" s="6">
        <v>18.32</v>
      </c>
      <c r="V292" s="6">
        <v>22.9</v>
      </c>
      <c r="W292" s="19">
        <v>0.91320000000000001</v>
      </c>
      <c r="X292" s="6">
        <v>14.27</v>
      </c>
      <c r="Y292" s="21">
        <v>82438.028156455897</v>
      </c>
      <c r="Z292" s="6">
        <v>4690</v>
      </c>
      <c r="AA292" s="6">
        <v>2.2484035506492499</v>
      </c>
    </row>
    <row r="293" spans="1:27" s="22" customFormat="1" x14ac:dyDescent="0.25">
      <c r="A293" s="7" t="str">
        <f t="shared" si="4"/>
        <v>3851Providence Holy Family Hospital521136584400, ENVIRONMENTAL SERVICES</v>
      </c>
      <c r="B293" s="7"/>
      <c r="C293" s="29" t="s">
        <v>297</v>
      </c>
      <c r="D293" s="29" t="s">
        <v>349</v>
      </c>
      <c r="E293" s="29" t="s">
        <v>186</v>
      </c>
      <c r="F293" s="29">
        <v>3851</v>
      </c>
      <c r="G293" s="4" t="s">
        <v>363</v>
      </c>
      <c r="H293" s="5">
        <v>5211</v>
      </c>
      <c r="I293" s="4" t="s">
        <v>50</v>
      </c>
      <c r="J293" s="4" t="s">
        <v>50</v>
      </c>
      <c r="K293" s="4" t="s">
        <v>391</v>
      </c>
      <c r="L293" s="4" t="s">
        <v>51</v>
      </c>
      <c r="M293" s="6">
        <v>432.16</v>
      </c>
      <c r="N293" s="6">
        <v>432.16</v>
      </c>
      <c r="O293" s="19">
        <v>0.46150000000000002</v>
      </c>
      <c r="P293" s="6">
        <v>130.81</v>
      </c>
      <c r="Q293" s="6">
        <v>128.65</v>
      </c>
      <c r="R293" s="19">
        <v>0</v>
      </c>
      <c r="S293" s="20">
        <v>27</v>
      </c>
      <c r="T293" s="6">
        <v>155.72999999999999</v>
      </c>
      <c r="U293" s="6">
        <v>164.87</v>
      </c>
      <c r="V293" s="6">
        <v>173.12</v>
      </c>
      <c r="W293" s="19">
        <v>0.88049999999999995</v>
      </c>
      <c r="X293" s="6">
        <v>30.36</v>
      </c>
      <c r="Y293" s="21">
        <v>-289352.430764633</v>
      </c>
      <c r="Z293" s="6">
        <v>-17598</v>
      </c>
      <c r="AA293" s="6">
        <v>-8.4376126990267206</v>
      </c>
    </row>
    <row r="294" spans="1:27" s="22" customFormat="1" x14ac:dyDescent="0.25">
      <c r="A294" s="7" t="str">
        <f t="shared" si="4"/>
        <v>3851Providence Holy Family Hospital111136560101, ADVANCED CARE</v>
      </c>
      <c r="B294" s="7"/>
      <c r="C294" s="29" t="s">
        <v>297</v>
      </c>
      <c r="D294" s="29" t="s">
        <v>349</v>
      </c>
      <c r="E294" s="29" t="s">
        <v>186</v>
      </c>
      <c r="F294" s="29">
        <v>3851</v>
      </c>
      <c r="G294" s="4" t="s">
        <v>363</v>
      </c>
      <c r="H294" s="5">
        <v>1111</v>
      </c>
      <c r="I294" s="4" t="s">
        <v>146</v>
      </c>
      <c r="J294" s="4" t="s">
        <v>23</v>
      </c>
      <c r="K294" s="4" t="s">
        <v>371</v>
      </c>
      <c r="L294" s="4" t="s">
        <v>74</v>
      </c>
      <c r="M294" s="6">
        <v>10354.51</v>
      </c>
      <c r="N294" s="6">
        <v>10498</v>
      </c>
      <c r="O294" s="19">
        <v>0.53569999999999995</v>
      </c>
      <c r="P294" s="6">
        <v>10.31</v>
      </c>
      <c r="Q294" s="6">
        <v>10.96</v>
      </c>
      <c r="R294" s="19">
        <v>0.28570000000000001</v>
      </c>
      <c r="S294" s="20">
        <v>29</v>
      </c>
      <c r="T294" s="6">
        <v>10.77</v>
      </c>
      <c r="U294" s="6">
        <v>11.28</v>
      </c>
      <c r="V294" s="6">
        <v>12.06</v>
      </c>
      <c r="W294" s="19">
        <v>0.87709999999999999</v>
      </c>
      <c r="X294" s="6">
        <v>63.09</v>
      </c>
      <c r="Y294" s="21">
        <v>-120348.88089922399</v>
      </c>
      <c r="Z294" s="6">
        <v>-3423</v>
      </c>
      <c r="AA294" s="6">
        <v>-1.6413576642969301</v>
      </c>
    </row>
    <row r="295" spans="1:27" s="22" customFormat="1" x14ac:dyDescent="0.25">
      <c r="A295" s="7" t="str">
        <f t="shared" si="4"/>
        <v>3851Providence Holy Family Hospital309936574204, SURGERY ADMIN</v>
      </c>
      <c r="B295" s="7"/>
      <c r="C295" s="29" t="s">
        <v>297</v>
      </c>
      <c r="D295" s="29" t="s">
        <v>349</v>
      </c>
      <c r="E295" s="29" t="s">
        <v>186</v>
      </c>
      <c r="F295" s="29">
        <v>3851</v>
      </c>
      <c r="G295" s="43" t="s">
        <v>363</v>
      </c>
      <c r="H295" s="42">
        <v>3099</v>
      </c>
      <c r="I295" s="43" t="s">
        <v>46</v>
      </c>
      <c r="J295" s="43" t="s">
        <v>47</v>
      </c>
      <c r="K295" s="43" t="s">
        <v>376</v>
      </c>
      <c r="L295" s="43" t="s">
        <v>49</v>
      </c>
      <c r="M295" s="46">
        <v>7748</v>
      </c>
      <c r="N295" s="46">
        <v>9082</v>
      </c>
      <c r="O295" s="45">
        <v>0.35709999999999997</v>
      </c>
      <c r="P295" s="46">
        <v>0.98</v>
      </c>
      <c r="Q295" s="46">
        <v>0.82</v>
      </c>
      <c r="R295" s="45">
        <v>6.6699999999999995E-2</v>
      </c>
      <c r="S295" s="47">
        <v>29</v>
      </c>
      <c r="T295" s="46">
        <v>1.1299999999999999</v>
      </c>
      <c r="U295" s="46">
        <v>1.4</v>
      </c>
      <c r="V295" s="46">
        <v>1.71</v>
      </c>
      <c r="W295" s="45">
        <v>0.87229999999999996</v>
      </c>
      <c r="X295" s="46">
        <v>4.1100000000000003</v>
      </c>
      <c r="Y295" s="48">
        <v>-236422.69348041201</v>
      </c>
      <c r="Z295" s="46">
        <v>-6004</v>
      </c>
      <c r="AA295" s="46">
        <v>-2.8786263223091599</v>
      </c>
    </row>
    <row r="296" spans="1:27" s="22" customFormat="1" x14ac:dyDescent="0.25">
      <c r="A296" s="7" t="str">
        <f t="shared" si="4"/>
        <v>3851Providence Holy Family Hospital500136584500, PLANT OPERATIONS</v>
      </c>
      <c r="B296" s="7"/>
      <c r="C296" s="29" t="s">
        <v>297</v>
      </c>
      <c r="D296" s="29" t="s">
        <v>349</v>
      </c>
      <c r="E296" s="29" t="s">
        <v>186</v>
      </c>
      <c r="F296" s="29">
        <v>3851</v>
      </c>
      <c r="G296" s="4" t="s">
        <v>363</v>
      </c>
      <c r="H296" s="5">
        <v>5001</v>
      </c>
      <c r="I296" s="4" t="s">
        <v>141</v>
      </c>
      <c r="J296" s="4" t="s">
        <v>62</v>
      </c>
      <c r="K296" s="4" t="s">
        <v>392</v>
      </c>
      <c r="L296" s="4" t="s">
        <v>63</v>
      </c>
      <c r="M296" s="6">
        <v>863.36</v>
      </c>
      <c r="N296" s="6">
        <v>836.84</v>
      </c>
      <c r="O296" s="19">
        <v>0.44119999999999998</v>
      </c>
      <c r="P296" s="6">
        <v>24.8</v>
      </c>
      <c r="Q296" s="6">
        <v>26.47</v>
      </c>
      <c r="R296" s="19">
        <v>0.21879999999999999</v>
      </c>
      <c r="S296" s="20">
        <v>35</v>
      </c>
      <c r="T296" s="6">
        <v>26.87</v>
      </c>
      <c r="U296" s="6">
        <v>27.93</v>
      </c>
      <c r="V296" s="6">
        <v>30.73</v>
      </c>
      <c r="W296" s="19">
        <v>0.83209999999999995</v>
      </c>
      <c r="X296" s="6">
        <v>12.8</v>
      </c>
      <c r="Y296" s="21">
        <v>-49619.766000471303</v>
      </c>
      <c r="Z296" s="6">
        <v>-1392</v>
      </c>
      <c r="AA296" s="6">
        <v>-0.66746958332392703</v>
      </c>
    </row>
    <row r="297" spans="1:27" s="22" customFormat="1" x14ac:dyDescent="0.25">
      <c r="A297" s="7" t="str">
        <f t="shared" si="4"/>
        <v>3851Providence Holy Family Hospital422036575900, CARDIOLOGY SERVICES</v>
      </c>
      <c r="B297" s="7"/>
      <c r="C297" s="29" t="s">
        <v>297</v>
      </c>
      <c r="D297" s="29" t="s">
        <v>349</v>
      </c>
      <c r="E297" s="29" t="s">
        <v>186</v>
      </c>
      <c r="F297" s="29">
        <v>3851</v>
      </c>
      <c r="G297" s="4" t="s">
        <v>363</v>
      </c>
      <c r="H297" s="5">
        <v>4220</v>
      </c>
      <c r="I297" s="4" t="s">
        <v>98</v>
      </c>
      <c r="J297" s="4" t="s">
        <v>60</v>
      </c>
      <c r="K297" s="4" t="s">
        <v>381</v>
      </c>
      <c r="L297" s="4" t="s">
        <v>99</v>
      </c>
      <c r="M297" s="6">
        <v>18130.04</v>
      </c>
      <c r="N297" s="6">
        <v>30365.29</v>
      </c>
      <c r="O297" s="19">
        <v>0.35139999999999999</v>
      </c>
      <c r="P297" s="6">
        <v>0.56999999999999995</v>
      </c>
      <c r="Q297" s="6">
        <v>0.34</v>
      </c>
      <c r="R297" s="19">
        <v>0.54049999999999998</v>
      </c>
      <c r="S297" s="20">
        <v>38</v>
      </c>
      <c r="T297" s="6">
        <v>0.26</v>
      </c>
      <c r="U297" s="6">
        <v>0.28000000000000003</v>
      </c>
      <c r="V297" s="6">
        <v>0.34</v>
      </c>
      <c r="W297" s="19">
        <v>0.90390000000000004</v>
      </c>
      <c r="X297" s="6">
        <v>5.51</v>
      </c>
      <c r="Y297" s="21">
        <v>67703.022579000404</v>
      </c>
      <c r="Z297" s="6">
        <v>2086</v>
      </c>
      <c r="AA297" s="6">
        <v>1.00013816487676</v>
      </c>
    </row>
    <row r="298" spans="1:27" s="22" customFormat="1" x14ac:dyDescent="0.25">
      <c r="A298" s="7" t="str">
        <f t="shared" si="4"/>
        <v>3851Providence Holy Family Hospital511236583400, DIETARY</v>
      </c>
      <c r="B298" s="7"/>
      <c r="C298" s="29" t="s">
        <v>297</v>
      </c>
      <c r="D298" s="29" t="s">
        <v>349</v>
      </c>
      <c r="E298" s="29" t="s">
        <v>186</v>
      </c>
      <c r="F298" s="29">
        <v>3851</v>
      </c>
      <c r="G298" s="4" t="s">
        <v>363</v>
      </c>
      <c r="H298" s="5">
        <v>5112</v>
      </c>
      <c r="I298" s="4" t="s">
        <v>281</v>
      </c>
      <c r="J298" s="4" t="s">
        <v>65</v>
      </c>
      <c r="K298" s="4" t="s">
        <v>387</v>
      </c>
      <c r="L298" s="4" t="s">
        <v>282</v>
      </c>
      <c r="M298" s="6">
        <v>569021.28</v>
      </c>
      <c r="N298" s="6">
        <v>602920.21</v>
      </c>
      <c r="O298" s="19">
        <v>0.48649999999999999</v>
      </c>
      <c r="P298" s="6">
        <v>0.11</v>
      </c>
      <c r="Q298" s="6">
        <v>0.11</v>
      </c>
      <c r="R298" s="19">
        <v>5.8799999999999998E-2</v>
      </c>
      <c r="S298" s="20">
        <v>38</v>
      </c>
      <c r="T298" s="6">
        <v>0.13</v>
      </c>
      <c r="U298" s="6">
        <v>0.13</v>
      </c>
      <c r="V298" s="6">
        <v>0.14000000000000001</v>
      </c>
      <c r="W298" s="19">
        <v>0.873</v>
      </c>
      <c r="X298" s="6">
        <v>36.58</v>
      </c>
      <c r="Y298" s="21">
        <v>-223441.49782801801</v>
      </c>
      <c r="Z298" s="6">
        <v>-13487</v>
      </c>
      <c r="AA298" s="6">
        <v>-6.4664269840320499</v>
      </c>
    </row>
    <row r="299" spans="1:27" s="22" customFormat="1" x14ac:dyDescent="0.25">
      <c r="A299" s="7" t="str">
        <f t="shared" si="4"/>
        <v>3851Providence Holy Family Hospital591036584200, SECURITY</v>
      </c>
      <c r="B299" s="7"/>
      <c r="C299" s="29" t="s">
        <v>297</v>
      </c>
      <c r="D299" s="29" t="s">
        <v>349</v>
      </c>
      <c r="E299" s="29" t="s">
        <v>186</v>
      </c>
      <c r="F299" s="29">
        <v>3851</v>
      </c>
      <c r="G299" s="4" t="s">
        <v>363</v>
      </c>
      <c r="H299" s="5">
        <v>5910</v>
      </c>
      <c r="I299" s="4" t="s">
        <v>139</v>
      </c>
      <c r="J299" s="4" t="s">
        <v>136</v>
      </c>
      <c r="K299" s="4" t="s">
        <v>390</v>
      </c>
      <c r="L299" s="4" t="s">
        <v>140</v>
      </c>
      <c r="M299" s="6">
        <v>1498.52</v>
      </c>
      <c r="N299" s="6">
        <v>1498.52</v>
      </c>
      <c r="O299" s="19">
        <v>0.46150000000000002</v>
      </c>
      <c r="P299" s="6">
        <v>11.87</v>
      </c>
      <c r="Q299" s="6">
        <v>11.93</v>
      </c>
      <c r="R299" s="19">
        <v>0.32350000000000001</v>
      </c>
      <c r="S299" s="20">
        <v>40</v>
      </c>
      <c r="T299" s="6">
        <v>10.93</v>
      </c>
      <c r="U299" s="6">
        <v>12.87</v>
      </c>
      <c r="V299" s="6">
        <v>15.71</v>
      </c>
      <c r="W299" s="19">
        <v>0.8679</v>
      </c>
      <c r="X299" s="6">
        <v>9.9</v>
      </c>
      <c r="Y299" s="21">
        <v>-33820.978127191098</v>
      </c>
      <c r="Z299" s="6">
        <v>-1573</v>
      </c>
      <c r="AA299" s="6">
        <v>-0.75416849956548004</v>
      </c>
    </row>
    <row r="300" spans="1:27" s="22" customFormat="1" x14ac:dyDescent="0.25">
      <c r="A300" s="7" t="str">
        <f t="shared" si="4"/>
        <v>3851Providence Holy Family Hospital411036577200, RESPIRATORY THERAPY</v>
      </c>
      <c r="B300" s="7"/>
      <c r="C300" s="29" t="s">
        <v>297</v>
      </c>
      <c r="D300" s="29" t="s">
        <v>349</v>
      </c>
      <c r="E300" s="29" t="s">
        <v>186</v>
      </c>
      <c r="F300" s="29">
        <v>3851</v>
      </c>
      <c r="G300" s="4" t="s">
        <v>363</v>
      </c>
      <c r="H300" s="5">
        <v>4110</v>
      </c>
      <c r="I300" s="4" t="s">
        <v>145</v>
      </c>
      <c r="J300" s="4" t="s">
        <v>44</v>
      </c>
      <c r="K300" s="4" t="s">
        <v>385</v>
      </c>
      <c r="L300" s="4" t="s">
        <v>45</v>
      </c>
      <c r="M300" s="39">
        <v>90849.22</v>
      </c>
      <c r="N300" s="6">
        <v>175623.22</v>
      </c>
      <c r="O300" s="19">
        <v>9.7600000000000006E-2</v>
      </c>
      <c r="P300" s="6">
        <v>4.34</v>
      </c>
      <c r="Q300" s="6">
        <f>58297.66/N300</f>
        <v>0.3319473358932834</v>
      </c>
      <c r="R300" s="19">
        <v>0.90480000000000005</v>
      </c>
      <c r="S300" s="20">
        <v>42</v>
      </c>
      <c r="T300" s="6">
        <v>0.27</v>
      </c>
      <c r="U300" s="6">
        <v>0.33</v>
      </c>
      <c r="V300" s="6">
        <v>0.35</v>
      </c>
      <c r="W300" s="19">
        <v>0.87719999999999998</v>
      </c>
      <c r="X300" s="6">
        <v>31.95</v>
      </c>
      <c r="Y300" s="56">
        <f>Z300*33.78</f>
        <v>13169.940916552845</v>
      </c>
      <c r="Z300" s="55">
        <f>SUM((Q300-U300)*N300)/W300</f>
        <v>389.8739170086692</v>
      </c>
      <c r="AA300" s="53">
        <f>+Z300/2085.7</f>
        <v>0.18692713094340951</v>
      </c>
    </row>
    <row r="301" spans="1:27" s="22" customFormat="1" x14ac:dyDescent="0.25">
      <c r="A301" s="7" t="str">
        <f t="shared" si="4"/>
        <v>3851Providence Holy Family Hospital302036574270, RECOVERY ROOM SERVICES</v>
      </c>
      <c r="B301" s="7"/>
      <c r="C301" s="29" t="s">
        <v>297</v>
      </c>
      <c r="D301" s="29" t="s">
        <v>349</v>
      </c>
      <c r="E301" s="29" t="s">
        <v>186</v>
      </c>
      <c r="F301" s="29">
        <v>3851</v>
      </c>
      <c r="G301" s="4" t="s">
        <v>363</v>
      </c>
      <c r="H301" s="5">
        <v>3020</v>
      </c>
      <c r="I301" s="4" t="s">
        <v>89</v>
      </c>
      <c r="J301" s="4" t="s">
        <v>47</v>
      </c>
      <c r="K301" s="4" t="s">
        <v>377</v>
      </c>
      <c r="L301" s="4" t="s">
        <v>90</v>
      </c>
      <c r="M301" s="6">
        <v>3860.25</v>
      </c>
      <c r="N301" s="6">
        <v>8620.16</v>
      </c>
      <c r="O301" s="19">
        <v>0.58540000000000003</v>
      </c>
      <c r="P301" s="6">
        <v>3.35</v>
      </c>
      <c r="Q301" s="6">
        <v>1.57</v>
      </c>
      <c r="R301" s="7"/>
      <c r="S301" s="20">
        <v>42</v>
      </c>
      <c r="T301" s="6">
        <v>2.67</v>
      </c>
      <c r="U301" s="6">
        <v>2.93</v>
      </c>
      <c r="V301" s="6">
        <v>3.18</v>
      </c>
      <c r="W301" s="19">
        <v>0.87770000000000004</v>
      </c>
      <c r="X301" s="6">
        <v>7.41</v>
      </c>
      <c r="Y301" s="21">
        <v>-704876.36817111506</v>
      </c>
      <c r="Z301" s="6">
        <v>-13321</v>
      </c>
      <c r="AA301" s="6">
        <v>-6.3870109114300702</v>
      </c>
    </row>
    <row r="302" spans="1:27" s="22" customFormat="1" x14ac:dyDescent="0.25">
      <c r="A302" s="7" t="str">
        <f t="shared" si="4"/>
        <v>3851Providence Holy Family Hospital127036563800, FAMILY MATERNITY CENTER (U)</v>
      </c>
      <c r="B302" s="7"/>
      <c r="C302" s="29" t="s">
        <v>297</v>
      </c>
      <c r="D302" s="29" t="s">
        <v>349</v>
      </c>
      <c r="E302" s="29" t="s">
        <v>186</v>
      </c>
      <c r="F302" s="29">
        <v>3851</v>
      </c>
      <c r="G302" s="4" t="s">
        <v>363</v>
      </c>
      <c r="H302" s="5">
        <v>1270</v>
      </c>
      <c r="I302" s="4" t="s">
        <v>199</v>
      </c>
      <c r="J302" s="4" t="s">
        <v>23</v>
      </c>
      <c r="K302" s="4" t="s">
        <v>375</v>
      </c>
      <c r="L302" s="4" t="s">
        <v>86</v>
      </c>
      <c r="M302" s="6">
        <v>1235</v>
      </c>
      <c r="N302" s="6">
        <v>1316</v>
      </c>
      <c r="O302" s="19">
        <v>0.68079999999999996</v>
      </c>
      <c r="P302" s="6">
        <v>53.51</v>
      </c>
      <c r="Q302" s="6">
        <v>54.98</v>
      </c>
      <c r="R302" s="19">
        <v>1.9400000000000001E-2</v>
      </c>
      <c r="S302" s="20">
        <v>47</v>
      </c>
      <c r="T302" s="6">
        <v>62.13</v>
      </c>
      <c r="U302" s="6">
        <v>64.3</v>
      </c>
      <c r="V302" s="6">
        <v>66.91</v>
      </c>
      <c r="W302" s="19">
        <v>0.87680000000000002</v>
      </c>
      <c r="X302" s="6">
        <v>39.67</v>
      </c>
      <c r="Y302" s="21">
        <v>-602817.24648439395</v>
      </c>
      <c r="Z302" s="6">
        <v>-13769</v>
      </c>
      <c r="AA302" s="6">
        <v>-6.6015960508278697</v>
      </c>
    </row>
    <row r="303" spans="1:27" s="22" customFormat="1" x14ac:dyDescent="0.25">
      <c r="A303" s="7" t="str">
        <f t="shared" si="4"/>
        <v>3851Providence Holy Family Hospital441036577100, PHARMACY</v>
      </c>
      <c r="B303" s="7"/>
      <c r="C303" s="29" t="s">
        <v>297</v>
      </c>
      <c r="D303" s="29" t="s">
        <v>349</v>
      </c>
      <c r="E303" s="29" t="s">
        <v>186</v>
      </c>
      <c r="F303" s="29">
        <v>3851</v>
      </c>
      <c r="G303" s="4" t="s">
        <v>363</v>
      </c>
      <c r="H303" s="5">
        <v>4410</v>
      </c>
      <c r="I303" s="4" t="s">
        <v>37</v>
      </c>
      <c r="J303" s="4" t="s">
        <v>37</v>
      </c>
      <c r="K303" s="4" t="s">
        <v>383</v>
      </c>
      <c r="L303" s="4" t="s">
        <v>100</v>
      </c>
      <c r="M303" s="6">
        <v>22974.799999999999</v>
      </c>
      <c r="N303" s="6">
        <v>25177.45</v>
      </c>
      <c r="O303" s="19">
        <v>0.47920000000000001</v>
      </c>
      <c r="P303" s="6">
        <v>1.56</v>
      </c>
      <c r="Q303" s="6">
        <v>1.57</v>
      </c>
      <c r="R303" s="19">
        <v>0.15559999999999999</v>
      </c>
      <c r="S303" s="20">
        <v>49</v>
      </c>
      <c r="T303" s="6">
        <v>1.66</v>
      </c>
      <c r="U303" s="6">
        <v>1.77</v>
      </c>
      <c r="V303" s="6">
        <v>1.98</v>
      </c>
      <c r="W303" s="19">
        <v>0.87539999999999996</v>
      </c>
      <c r="X303" s="6">
        <v>21.7</v>
      </c>
      <c r="Y303" s="21">
        <v>-258519.297445278</v>
      </c>
      <c r="Z303" s="6">
        <v>-5647</v>
      </c>
      <c r="AA303" s="6">
        <v>-2.7076869868427198</v>
      </c>
    </row>
    <row r="304" spans="1:27" s="22" customFormat="1" x14ac:dyDescent="0.25">
      <c r="A304" s="7" t="str">
        <f t="shared" si="4"/>
        <v>3851Providence Holy Family Hospital121236561720, SURGICAL ACUTE</v>
      </c>
      <c r="B304" s="7"/>
      <c r="C304" s="29" t="s">
        <v>297</v>
      </c>
      <c r="D304" s="29" t="s">
        <v>349</v>
      </c>
      <c r="E304" s="29" t="s">
        <v>186</v>
      </c>
      <c r="F304" s="29">
        <v>3851</v>
      </c>
      <c r="G304" s="4" t="s">
        <v>363</v>
      </c>
      <c r="H304" s="5">
        <v>1212</v>
      </c>
      <c r="I304" s="4" t="s">
        <v>160</v>
      </c>
      <c r="J304" s="4" t="s">
        <v>23</v>
      </c>
      <c r="K304" s="4" t="s">
        <v>374</v>
      </c>
      <c r="L304" s="4" t="s">
        <v>74</v>
      </c>
      <c r="M304" s="6">
        <v>9006.86</v>
      </c>
      <c r="N304" s="6">
        <v>9037</v>
      </c>
      <c r="O304" s="19">
        <v>0.4909</v>
      </c>
      <c r="P304" s="6">
        <v>8.86</v>
      </c>
      <c r="Q304" s="6">
        <v>9.86</v>
      </c>
      <c r="R304" s="19">
        <v>0.22639999999999999</v>
      </c>
      <c r="S304" s="20">
        <v>56</v>
      </c>
      <c r="T304" s="6">
        <v>9.92</v>
      </c>
      <c r="U304" s="6">
        <v>10.4</v>
      </c>
      <c r="V304" s="6">
        <v>10.87</v>
      </c>
      <c r="W304" s="19">
        <v>0.85829999999999995</v>
      </c>
      <c r="X304" s="6">
        <v>49.92</v>
      </c>
      <c r="Y304" s="21">
        <v>-183323.53792949801</v>
      </c>
      <c r="Z304" s="6">
        <v>-5383</v>
      </c>
      <c r="AA304" s="6">
        <v>-2.58089027141994</v>
      </c>
    </row>
    <row r="305" spans="1:27" s="22" customFormat="1" x14ac:dyDescent="0.25">
      <c r="A305" s="7" t="str">
        <f t="shared" si="4"/>
        <v>3851Providence Holy Family Hospital201036570100, 70101 EMERGENCY</v>
      </c>
      <c r="B305" s="7"/>
      <c r="C305" s="29" t="s">
        <v>297</v>
      </c>
      <c r="D305" s="29" t="s">
        <v>349</v>
      </c>
      <c r="E305" s="29" t="s">
        <v>186</v>
      </c>
      <c r="F305" s="29">
        <v>3851</v>
      </c>
      <c r="G305" s="4" t="s">
        <v>363</v>
      </c>
      <c r="H305" s="5">
        <v>2010</v>
      </c>
      <c r="I305" s="4" t="s">
        <v>75</v>
      </c>
      <c r="J305" s="4" t="s">
        <v>76</v>
      </c>
      <c r="K305" s="4" t="s">
        <v>364</v>
      </c>
      <c r="L305" s="4" t="s">
        <v>77</v>
      </c>
      <c r="M305" s="6">
        <v>62324</v>
      </c>
      <c r="N305" s="6">
        <v>64447</v>
      </c>
      <c r="O305" s="19">
        <v>0.58750000000000002</v>
      </c>
      <c r="P305" s="6">
        <v>2.38</v>
      </c>
      <c r="Q305" s="6">
        <v>2.38</v>
      </c>
      <c r="R305" s="19">
        <v>0.10390000000000001</v>
      </c>
      <c r="S305" s="20">
        <v>81</v>
      </c>
      <c r="T305" s="6">
        <v>2.56</v>
      </c>
      <c r="U305" s="6">
        <v>2.72</v>
      </c>
      <c r="V305" s="6">
        <v>2.82</v>
      </c>
      <c r="W305" s="19">
        <v>0.88639999999999997</v>
      </c>
      <c r="X305" s="6">
        <v>83.35</v>
      </c>
      <c r="Y305" s="21">
        <v>-817564.56554757699</v>
      </c>
      <c r="Z305" s="6">
        <v>-23919</v>
      </c>
      <c r="AA305" s="6">
        <v>-11.4678320691233</v>
      </c>
    </row>
    <row r="306" spans="1:27" s="22" customFormat="1" x14ac:dyDescent="0.25">
      <c r="A306" s="7" t="str">
        <f t="shared" si="4"/>
        <v>3851Providence Holy Family Hospital301136574200, SURGICAL SERVICES</v>
      </c>
      <c r="B306" s="7"/>
      <c r="C306" s="29" t="s">
        <v>297</v>
      </c>
      <c r="D306" s="29" t="s">
        <v>349</v>
      </c>
      <c r="E306" s="29" t="s">
        <v>186</v>
      </c>
      <c r="F306" s="29">
        <v>3851</v>
      </c>
      <c r="G306" s="4" t="s">
        <v>363</v>
      </c>
      <c r="H306" s="5">
        <v>3011</v>
      </c>
      <c r="I306" s="4" t="s">
        <v>87</v>
      </c>
      <c r="J306" s="4" t="s">
        <v>47</v>
      </c>
      <c r="K306" s="4" t="s">
        <v>368</v>
      </c>
      <c r="L306" s="4" t="s">
        <v>88</v>
      </c>
      <c r="M306" s="6">
        <v>6214.74</v>
      </c>
      <c r="N306" s="6">
        <v>7105.15</v>
      </c>
      <c r="O306" s="19">
        <v>0.47920000000000001</v>
      </c>
      <c r="P306" s="6">
        <v>11.65</v>
      </c>
      <c r="Q306" s="6">
        <v>10.96</v>
      </c>
      <c r="R306" s="19">
        <v>0.31180000000000002</v>
      </c>
      <c r="S306" s="20">
        <v>97</v>
      </c>
      <c r="T306" s="6">
        <v>10.67</v>
      </c>
      <c r="U306" s="6">
        <v>11.15</v>
      </c>
      <c r="V306" s="6">
        <v>11.85</v>
      </c>
      <c r="W306" s="19">
        <v>0.87649999999999995</v>
      </c>
      <c r="X306" s="6">
        <v>42.73</v>
      </c>
      <c r="Y306" s="21">
        <v>-45543.426151355197</v>
      </c>
      <c r="Z306" s="6">
        <v>-1263</v>
      </c>
      <c r="AA306" s="6">
        <v>-0.60555438124401895</v>
      </c>
    </row>
    <row r="307" spans="1:27" s="22" customFormat="1" x14ac:dyDescent="0.25">
      <c r="A307" s="7" t="str">
        <f t="shared" si="4"/>
        <v>3528Providence Hood River Memorial Hospital127056074000, MATERNITY SERVICES</v>
      </c>
      <c r="B307" s="7"/>
      <c r="C307" s="29" t="s">
        <v>1249</v>
      </c>
      <c r="D307" s="29" t="s">
        <v>1249</v>
      </c>
      <c r="E307" s="29" t="s">
        <v>1249</v>
      </c>
      <c r="F307" s="29">
        <v>3528</v>
      </c>
      <c r="G307" s="4" t="s">
        <v>1250</v>
      </c>
      <c r="H307" s="5">
        <v>1270</v>
      </c>
      <c r="I307" s="4" t="s">
        <v>199</v>
      </c>
      <c r="J307" s="4" t="s">
        <v>23</v>
      </c>
      <c r="K307" s="4" t="s">
        <v>1252</v>
      </c>
      <c r="L307" s="4" t="s">
        <v>86</v>
      </c>
      <c r="M307" s="39">
        <v>461</v>
      </c>
      <c r="N307" s="39">
        <v>413</v>
      </c>
      <c r="O307" s="38">
        <v>0.42859999999999998</v>
      </c>
      <c r="P307" s="39">
        <v>59.91</v>
      </c>
      <c r="Q307" s="39">
        <v>60.49</v>
      </c>
      <c r="R307" s="38">
        <v>0</v>
      </c>
      <c r="S307" s="40">
        <v>8</v>
      </c>
      <c r="T307" s="39">
        <v>69.83</v>
      </c>
      <c r="U307" s="39">
        <v>70.89</v>
      </c>
      <c r="V307" s="39">
        <v>71.89</v>
      </c>
      <c r="W307" s="38">
        <v>0.8548</v>
      </c>
      <c r="X307" s="39">
        <v>14.05</v>
      </c>
      <c r="Y307" s="41">
        <v>-221964.36243742899</v>
      </c>
      <c r="Z307" s="39">
        <v>-4947</v>
      </c>
      <c r="AA307" s="39">
        <v>-2.3717211531275599</v>
      </c>
    </row>
    <row r="308" spans="1:27" s="22" customFormat="1" x14ac:dyDescent="0.25">
      <c r="A308" s="7" t="str">
        <f t="shared" si="4"/>
        <v>3528Providence Hood River Memorial Hospital560856005608, CENTRALIZED SCHEDULING (U,N)</v>
      </c>
      <c r="B308" s="7"/>
      <c r="C308" s="29" t="s">
        <v>1249</v>
      </c>
      <c r="D308" s="29" t="s">
        <v>1249</v>
      </c>
      <c r="E308" s="29" t="s">
        <v>1249</v>
      </c>
      <c r="F308" s="29">
        <v>3528</v>
      </c>
      <c r="G308" s="4" t="s">
        <v>1250</v>
      </c>
      <c r="H308" s="5">
        <v>5608</v>
      </c>
      <c r="I308" s="4" t="s">
        <v>257</v>
      </c>
      <c r="J308" s="4" t="s">
        <v>12</v>
      </c>
      <c r="K308" s="4" t="s">
        <v>1253</v>
      </c>
      <c r="L308" s="4" t="s">
        <v>18</v>
      </c>
      <c r="M308" s="39">
        <v>7842.47</v>
      </c>
      <c r="N308" s="39">
        <v>8612.32</v>
      </c>
      <c r="O308" s="7"/>
      <c r="P308" s="39">
        <v>1.01</v>
      </c>
      <c r="Q308" s="39">
        <v>0.69</v>
      </c>
      <c r="R308" s="38">
        <v>0.17730000000000001</v>
      </c>
      <c r="S308" s="40">
        <v>8</v>
      </c>
      <c r="T308" s="39">
        <v>0.91</v>
      </c>
      <c r="U308" s="39">
        <v>1.19</v>
      </c>
      <c r="V308" s="39">
        <v>1.26</v>
      </c>
      <c r="W308" s="38">
        <v>0.86890000000000001</v>
      </c>
      <c r="X308" s="39">
        <v>3.3</v>
      </c>
      <c r="Y308" s="41">
        <v>-85129.966899919993</v>
      </c>
      <c r="Z308" s="39">
        <v>-4912</v>
      </c>
      <c r="AA308" s="39">
        <v>-2.3551676089839302</v>
      </c>
    </row>
    <row r="309" spans="1:27" s="22" customFormat="1" x14ac:dyDescent="0.25">
      <c r="A309" s="7" t="str">
        <f t="shared" si="4"/>
        <v>3528Providence Hood River Memorial Hospital302056074270, PACU</v>
      </c>
      <c r="B309" s="7"/>
      <c r="C309" s="29" t="s">
        <v>1249</v>
      </c>
      <c r="D309" s="29" t="s">
        <v>1249</v>
      </c>
      <c r="E309" s="29" t="s">
        <v>1249</v>
      </c>
      <c r="F309" s="29">
        <v>3528</v>
      </c>
      <c r="G309" s="4" t="s">
        <v>1250</v>
      </c>
      <c r="H309" s="5">
        <v>3020</v>
      </c>
      <c r="I309" s="4" t="s">
        <v>89</v>
      </c>
      <c r="J309" s="4" t="s">
        <v>47</v>
      </c>
      <c r="K309" s="4" t="s">
        <v>1262</v>
      </c>
      <c r="L309" s="4" t="s">
        <v>90</v>
      </c>
      <c r="M309" s="39">
        <v>1143</v>
      </c>
      <c r="N309" s="39">
        <v>1104</v>
      </c>
      <c r="O309" s="38">
        <v>0.57140000000000002</v>
      </c>
      <c r="P309" s="39">
        <v>4.33</v>
      </c>
      <c r="Q309" s="39">
        <v>4.68</v>
      </c>
      <c r="R309" s="38">
        <v>0.57140000000000002</v>
      </c>
      <c r="S309" s="40">
        <v>8</v>
      </c>
      <c r="T309" s="39">
        <v>4.09</v>
      </c>
      <c r="U309" s="39">
        <v>4.37</v>
      </c>
      <c r="V309" s="39">
        <v>4.68</v>
      </c>
      <c r="W309" s="38">
        <v>0.89090000000000003</v>
      </c>
      <c r="X309" s="39">
        <v>2.79</v>
      </c>
      <c r="Y309" s="41">
        <v>21240.5607153368</v>
      </c>
      <c r="Z309" s="39">
        <v>404</v>
      </c>
      <c r="AA309" s="39">
        <v>0.19361130023438899</v>
      </c>
    </row>
    <row r="310" spans="1:27" s="22" customFormat="1" x14ac:dyDescent="0.25">
      <c r="A310" s="7" t="str">
        <f t="shared" si="4"/>
        <v>3528Providence Hood River Memorial Hospital349956076395, DIAGNOSTIC IMAGING ADM SUPPORT</v>
      </c>
      <c r="B310" s="7"/>
      <c r="C310" s="29" t="s">
        <v>1249</v>
      </c>
      <c r="D310" s="29" t="s">
        <v>1249</v>
      </c>
      <c r="E310" s="29" t="s">
        <v>1249</v>
      </c>
      <c r="F310" s="29">
        <v>3528</v>
      </c>
      <c r="G310" s="4" t="s">
        <v>1250</v>
      </c>
      <c r="H310" s="5">
        <v>3499</v>
      </c>
      <c r="I310" s="4" t="s">
        <v>56</v>
      </c>
      <c r="J310" s="4" t="s">
        <v>57</v>
      </c>
      <c r="K310" s="4" t="s">
        <v>1268</v>
      </c>
      <c r="L310" s="4" t="s">
        <v>58</v>
      </c>
      <c r="M310" s="39">
        <v>43254.29</v>
      </c>
      <c r="N310" s="39">
        <v>44940.17</v>
      </c>
      <c r="O310" s="38">
        <v>0.42859999999999998</v>
      </c>
      <c r="P310" s="39">
        <v>7.0000000000000007E-2</v>
      </c>
      <c r="Q310" s="39">
        <v>0.09</v>
      </c>
      <c r="R310" s="38">
        <v>0.57140000000000002</v>
      </c>
      <c r="S310" s="40">
        <v>8</v>
      </c>
      <c r="T310" s="39">
        <v>0.05</v>
      </c>
      <c r="U310" s="39">
        <v>0.05</v>
      </c>
      <c r="V310" s="39">
        <v>7.0000000000000007E-2</v>
      </c>
      <c r="W310" s="38">
        <v>0.90169999999999995</v>
      </c>
      <c r="X310" s="39">
        <v>2.06</v>
      </c>
      <c r="Y310" s="41">
        <v>69492.204536245205</v>
      </c>
      <c r="Z310" s="39">
        <v>1805</v>
      </c>
      <c r="AA310" s="39">
        <v>0.86521213096554705</v>
      </c>
    </row>
    <row r="311" spans="1:27" s="22" customFormat="1" x14ac:dyDescent="0.25">
      <c r="A311" s="7" t="str">
        <f t="shared" si="4"/>
        <v>3528Providence Hood River Memorial Hospital101156060100, ICU</v>
      </c>
      <c r="B311" s="7"/>
      <c r="C311" s="29" t="s">
        <v>1249</v>
      </c>
      <c r="D311" s="29" t="s">
        <v>1249</v>
      </c>
      <c r="E311" s="29" t="s">
        <v>1249</v>
      </c>
      <c r="F311" s="29">
        <v>3528</v>
      </c>
      <c r="G311" s="4" t="s">
        <v>1250</v>
      </c>
      <c r="H311" s="5">
        <v>1011</v>
      </c>
      <c r="I311" s="4" t="s">
        <v>1205</v>
      </c>
      <c r="J311" s="4" t="s">
        <v>23</v>
      </c>
      <c r="K311" s="4" t="s">
        <v>1258</v>
      </c>
      <c r="L311" s="4" t="s">
        <v>74</v>
      </c>
      <c r="M311" s="39">
        <v>473.58</v>
      </c>
      <c r="N311" s="39">
        <v>442.88</v>
      </c>
      <c r="O311" s="38">
        <v>0.25</v>
      </c>
      <c r="P311" s="39">
        <v>19.579999999999998</v>
      </c>
      <c r="Q311" s="39">
        <v>19.399999999999999</v>
      </c>
      <c r="R311" s="38">
        <v>0.125</v>
      </c>
      <c r="S311" s="40">
        <v>9</v>
      </c>
      <c r="T311" s="39">
        <v>20.149999999999999</v>
      </c>
      <c r="U311" s="39">
        <v>20.39</v>
      </c>
      <c r="V311" s="39">
        <v>24.18</v>
      </c>
      <c r="W311" s="38">
        <v>0.80210000000000004</v>
      </c>
      <c r="X311" s="39">
        <v>5.15</v>
      </c>
      <c r="Y311" s="41">
        <v>-24805.664297577099</v>
      </c>
      <c r="Z311" s="39">
        <v>-517</v>
      </c>
      <c r="AA311" s="39">
        <v>-0.24787641035320601</v>
      </c>
    </row>
    <row r="312" spans="1:27" s="22" customFormat="1" x14ac:dyDescent="0.25">
      <c r="A312" s="7" t="str">
        <f t="shared" si="4"/>
        <v>3528Providence Hood River Memorial Hospital449056004490, PHARMACY SUPPORT SVCS (U,N)</v>
      </c>
      <c r="B312" s="7"/>
      <c r="C312" s="29" t="s">
        <v>1249</v>
      </c>
      <c r="D312" s="29" t="s">
        <v>1249</v>
      </c>
      <c r="E312" s="29" t="s">
        <v>1249</v>
      </c>
      <c r="F312" s="29">
        <v>3528</v>
      </c>
      <c r="G312" s="4" t="s">
        <v>1250</v>
      </c>
      <c r="H312" s="5">
        <v>4490</v>
      </c>
      <c r="I312" s="4" t="s">
        <v>36</v>
      </c>
      <c r="J312" s="25" t="s">
        <v>37</v>
      </c>
      <c r="K312" s="25" t="s">
        <v>1270</v>
      </c>
      <c r="L312" s="25" t="s">
        <v>39</v>
      </c>
      <c r="M312" s="53">
        <v>8835.32</v>
      </c>
      <c r="N312" s="53">
        <v>9124.75</v>
      </c>
      <c r="O312" s="54">
        <v>0.31909999999999999</v>
      </c>
      <c r="P312" s="53">
        <v>0.38</v>
      </c>
      <c r="Q312" s="53">
        <v>0.55000000000000004</v>
      </c>
      <c r="R312" s="58"/>
      <c r="S312" s="55">
        <v>9</v>
      </c>
      <c r="T312" s="53">
        <v>0.16</v>
      </c>
      <c r="U312" s="53">
        <v>0.16</v>
      </c>
      <c r="V312" s="53">
        <v>0.17</v>
      </c>
      <c r="W312" s="54">
        <v>0.90959999999999996</v>
      </c>
      <c r="X312" s="53">
        <v>2.66</v>
      </c>
      <c r="Y312" s="56">
        <f>Z312*41.3</f>
        <v>161579.09877968338</v>
      </c>
      <c r="Z312" s="53">
        <f>SUM((Q312-U312)*N312)/W312</f>
        <v>3912.3268469656996</v>
      </c>
      <c r="AA312" s="53">
        <f>+Z312/2085.7</f>
        <v>1.8757859936547441</v>
      </c>
    </row>
    <row r="313" spans="1:27" s="22" customFormat="1" x14ac:dyDescent="0.25">
      <c r="A313" s="7" t="str">
        <f t="shared" si="4"/>
        <v>3528Providence Hood River Memorial Hospital623056006230, COMBO ALL STAFF EDUC (U,N)</v>
      </c>
      <c r="B313" s="7"/>
      <c r="C313" s="29" t="s">
        <v>1249</v>
      </c>
      <c r="D313" s="29" t="s">
        <v>1249</v>
      </c>
      <c r="E313" s="29" t="s">
        <v>1249</v>
      </c>
      <c r="F313" s="29">
        <v>3528</v>
      </c>
      <c r="G313" s="4" t="s">
        <v>1250</v>
      </c>
      <c r="H313" s="5">
        <v>6230</v>
      </c>
      <c r="I313" s="4" t="s">
        <v>284</v>
      </c>
      <c r="J313" s="4" t="s">
        <v>21</v>
      </c>
      <c r="K313" s="4" t="s">
        <v>1267</v>
      </c>
      <c r="L313" s="4" t="s">
        <v>18</v>
      </c>
      <c r="M313" s="39">
        <v>7842.47</v>
      </c>
      <c r="N313" s="39">
        <v>8612.32</v>
      </c>
      <c r="O313" s="38">
        <v>0.56869999999999998</v>
      </c>
      <c r="P313" s="39">
        <v>0.41</v>
      </c>
      <c r="Q313" s="39">
        <v>0.46</v>
      </c>
      <c r="R313" s="38">
        <v>0.58809999999999996</v>
      </c>
      <c r="S313" s="40">
        <v>10</v>
      </c>
      <c r="T313" s="39">
        <v>0.31</v>
      </c>
      <c r="U313" s="39">
        <v>0.34</v>
      </c>
      <c r="V313" s="39">
        <v>0.37</v>
      </c>
      <c r="W313" s="38">
        <v>0.8589</v>
      </c>
      <c r="X313" s="39">
        <v>2.2200000000000002</v>
      </c>
      <c r="Y313" s="41">
        <v>46554.451879449603</v>
      </c>
      <c r="Z313" s="39">
        <v>1221</v>
      </c>
      <c r="AA313" s="39">
        <v>0.58542583189590203</v>
      </c>
    </row>
    <row r="314" spans="1:27" s="22" customFormat="1" x14ac:dyDescent="0.25">
      <c r="A314" s="7" t="str">
        <f t="shared" si="4"/>
        <v>3528Providence Hood River Memorial Hospital121156061700, MEDICAL_SURGICAL</v>
      </c>
      <c r="B314" s="7"/>
      <c r="C314" s="29" t="s">
        <v>1249</v>
      </c>
      <c r="D314" s="29" t="s">
        <v>1249</v>
      </c>
      <c r="E314" s="29" t="s">
        <v>1249</v>
      </c>
      <c r="F314" s="29">
        <v>3528</v>
      </c>
      <c r="G314" s="4" t="s">
        <v>1250</v>
      </c>
      <c r="H314" s="5">
        <v>1211</v>
      </c>
      <c r="I314" s="4" t="s">
        <v>161</v>
      </c>
      <c r="J314" s="4" t="s">
        <v>23</v>
      </c>
      <c r="K314" s="4" t="s">
        <v>1263</v>
      </c>
      <c r="L314" s="4" t="s">
        <v>74</v>
      </c>
      <c r="M314" s="39">
        <v>2833</v>
      </c>
      <c r="N314" s="39">
        <v>2716.88</v>
      </c>
      <c r="O314" s="38">
        <v>0.6</v>
      </c>
      <c r="P314" s="39">
        <v>11.13</v>
      </c>
      <c r="Q314" s="39">
        <v>13.54</v>
      </c>
      <c r="R314" s="38">
        <v>0.375</v>
      </c>
      <c r="S314" s="40">
        <v>11</v>
      </c>
      <c r="T314" s="39">
        <v>13.01</v>
      </c>
      <c r="U314" s="39">
        <v>13.44</v>
      </c>
      <c r="V314" s="39">
        <v>13.67</v>
      </c>
      <c r="W314" s="38">
        <v>0.87849999999999995</v>
      </c>
      <c r="X314" s="39">
        <v>20.14</v>
      </c>
      <c r="Y314" s="41">
        <v>16199.7848095677</v>
      </c>
      <c r="Z314" s="39">
        <v>441</v>
      </c>
      <c r="AA314" s="39">
        <v>0.21143082271288799</v>
      </c>
    </row>
    <row r="315" spans="1:27" s="22" customFormat="1" x14ac:dyDescent="0.25">
      <c r="A315" s="7" t="str">
        <f t="shared" si="4"/>
        <v>3528Providence Hood River Memorial Hospital227756078400, OP MENTAL HEALTH</v>
      </c>
      <c r="B315" s="7"/>
      <c r="C315" s="29" t="s">
        <v>1249</v>
      </c>
      <c r="D315" s="29" t="s">
        <v>1249</v>
      </c>
      <c r="E315" s="29" t="s">
        <v>1249</v>
      </c>
      <c r="F315" s="29">
        <v>3528</v>
      </c>
      <c r="G315" s="4" t="s">
        <v>1250</v>
      </c>
      <c r="H315" s="5">
        <v>2277</v>
      </c>
      <c r="I315" s="4" t="s">
        <v>1260</v>
      </c>
      <c r="J315" s="4" t="s">
        <v>176</v>
      </c>
      <c r="K315" s="4" t="s">
        <v>1261</v>
      </c>
      <c r="L315" s="4" t="s">
        <v>77</v>
      </c>
      <c r="M315" s="39">
        <v>5842</v>
      </c>
      <c r="N315" s="39">
        <v>4546</v>
      </c>
      <c r="O315" s="38">
        <v>0.54549999999999998</v>
      </c>
      <c r="P315" s="39">
        <v>1.08</v>
      </c>
      <c r="Q315" s="39">
        <v>1.1599999999999999</v>
      </c>
      <c r="R315" s="38">
        <v>0.36359999999999998</v>
      </c>
      <c r="S315" s="40">
        <v>12</v>
      </c>
      <c r="T315" s="39">
        <v>1.04</v>
      </c>
      <c r="U315" s="39">
        <v>1.1599999999999999</v>
      </c>
      <c r="V315" s="39">
        <v>1.52</v>
      </c>
      <c r="W315" s="38">
        <v>0.89390000000000003</v>
      </c>
      <c r="X315" s="39">
        <v>2.85</v>
      </c>
      <c r="Y315" s="41">
        <v>1746.79591253681</v>
      </c>
      <c r="Z315" s="39">
        <v>45</v>
      </c>
      <c r="AA315" s="39">
        <v>2.1562137741763601E-2</v>
      </c>
    </row>
    <row r="316" spans="1:27" s="22" customFormat="1" x14ac:dyDescent="0.25">
      <c r="A316" s="7" t="str">
        <f t="shared" si="4"/>
        <v>3528Providence Hood River Memorial Hospital309956003099, SURG SVCS ADMIN (N)</v>
      </c>
      <c r="B316" s="7"/>
      <c r="C316" s="29" t="s">
        <v>1249</v>
      </c>
      <c r="D316" s="29" t="s">
        <v>1249</v>
      </c>
      <c r="E316" s="29" t="s">
        <v>1249</v>
      </c>
      <c r="F316" s="29">
        <v>3528</v>
      </c>
      <c r="G316" s="4" t="s">
        <v>1250</v>
      </c>
      <c r="H316" s="5">
        <v>3099</v>
      </c>
      <c r="I316" s="4" t="s">
        <v>46</v>
      </c>
      <c r="J316" s="4" t="s">
        <v>47</v>
      </c>
      <c r="K316" s="4" t="s">
        <v>1266</v>
      </c>
      <c r="L316" s="4" t="s">
        <v>49</v>
      </c>
      <c r="M316" s="39">
        <v>2749</v>
      </c>
      <c r="N316" s="39">
        <v>2813</v>
      </c>
      <c r="O316" s="38">
        <v>0.61539999999999995</v>
      </c>
      <c r="P316" s="39">
        <v>2.14</v>
      </c>
      <c r="Q316" s="39">
        <v>1.74</v>
      </c>
      <c r="R316" s="38">
        <v>0.53849999999999998</v>
      </c>
      <c r="S316" s="40">
        <v>14</v>
      </c>
      <c r="T316" s="39">
        <v>1.26</v>
      </c>
      <c r="U316" s="39">
        <v>1.39</v>
      </c>
      <c r="V316" s="39">
        <v>1.64</v>
      </c>
      <c r="W316" s="38">
        <v>0.91579999999999995</v>
      </c>
      <c r="X316" s="39">
        <v>2.57</v>
      </c>
      <c r="Y316" s="41">
        <v>40250.663571573401</v>
      </c>
      <c r="Z316" s="39">
        <v>1091</v>
      </c>
      <c r="AA316" s="39">
        <v>0.52293302431935895</v>
      </c>
    </row>
    <row r="317" spans="1:27" s="22" customFormat="1" x14ac:dyDescent="0.25">
      <c r="A317" s="7" t="str">
        <f t="shared" si="4"/>
        <v>3528Providence Hood River Memorial Hospital413056077200, RESPIRATORY THERAPY</v>
      </c>
      <c r="B317" s="7"/>
      <c r="C317" s="29" t="s">
        <v>1249</v>
      </c>
      <c r="D317" s="29" t="s">
        <v>1249</v>
      </c>
      <c r="E317" s="29" t="s">
        <v>1249</v>
      </c>
      <c r="F317" s="29">
        <v>3528</v>
      </c>
      <c r="G317" s="4" t="s">
        <v>1250</v>
      </c>
      <c r="H317" s="5">
        <v>4130</v>
      </c>
      <c r="I317" s="4" t="s">
        <v>184</v>
      </c>
      <c r="J317" s="4" t="s">
        <v>44</v>
      </c>
      <c r="K317" s="4" t="s">
        <v>1275</v>
      </c>
      <c r="L317" s="4" t="s">
        <v>45</v>
      </c>
      <c r="M317" s="39">
        <v>1749.61</v>
      </c>
      <c r="N317" s="39">
        <v>1716.39</v>
      </c>
      <c r="O317" s="38">
        <v>0.23080000000000001</v>
      </c>
      <c r="P317" s="39">
        <v>6.61</v>
      </c>
      <c r="Q317" s="39">
        <v>6.87</v>
      </c>
      <c r="R317" s="38">
        <v>0.76919999999999999</v>
      </c>
      <c r="S317" s="40">
        <v>14</v>
      </c>
      <c r="T317" s="39">
        <v>2.9</v>
      </c>
      <c r="U317" s="39">
        <v>2.97</v>
      </c>
      <c r="V317" s="39">
        <v>3.89</v>
      </c>
      <c r="W317" s="38">
        <v>0.91820000000000002</v>
      </c>
      <c r="X317" s="39">
        <v>6.17</v>
      </c>
      <c r="Y317" s="41">
        <v>224263.040344326</v>
      </c>
      <c r="Z317" s="39">
        <v>7317</v>
      </c>
      <c r="AA317" s="39">
        <v>3.5081517359076901</v>
      </c>
    </row>
    <row r="318" spans="1:27" s="22" customFormat="1" x14ac:dyDescent="0.25">
      <c r="A318" s="7" t="str">
        <f t="shared" si="4"/>
        <v>3528Providence Hood River Memorial Hospital307056083800, STERILE PROCESSING</v>
      </c>
      <c r="B318" s="7"/>
      <c r="C318" s="29" t="s">
        <v>1249</v>
      </c>
      <c r="D318" s="29" t="s">
        <v>1249</v>
      </c>
      <c r="E318" s="29" t="s">
        <v>1249</v>
      </c>
      <c r="F318" s="29">
        <v>3528</v>
      </c>
      <c r="G318" s="4" t="s">
        <v>1250</v>
      </c>
      <c r="H318" s="5">
        <v>3070</v>
      </c>
      <c r="I318" s="25" t="s">
        <v>91</v>
      </c>
      <c r="J318" s="25" t="s">
        <v>47</v>
      </c>
      <c r="K318" s="25" t="s">
        <v>1264</v>
      </c>
      <c r="L318" s="25" t="s">
        <v>92</v>
      </c>
      <c r="M318" s="53">
        <v>250.39</v>
      </c>
      <c r="N318" s="53">
        <v>232.41</v>
      </c>
      <c r="O318" s="54">
        <v>0.57140000000000002</v>
      </c>
      <c r="P318" s="53">
        <v>21.54</v>
      </c>
      <c r="Q318" s="53">
        <v>24.07</v>
      </c>
      <c r="R318" s="54">
        <v>0.42859999999999998</v>
      </c>
      <c r="S318" s="55">
        <v>15</v>
      </c>
      <c r="T318" s="53">
        <v>18.510000000000002</v>
      </c>
      <c r="U318" s="53">
        <v>22.06</v>
      </c>
      <c r="V318" s="53">
        <v>28.33</v>
      </c>
      <c r="W318" s="54">
        <v>0.89419999999999999</v>
      </c>
      <c r="X318" s="53">
        <v>3.01</v>
      </c>
      <c r="Y318" s="56">
        <f>Z318*18.72</f>
        <v>9779.6215074927386</v>
      </c>
      <c r="Z318" s="53">
        <f>SUM((Q318-U318)*N318)/W318</f>
        <v>522.41567881905655</v>
      </c>
      <c r="AA318" s="53">
        <f>+Z318/2085.7</f>
        <v>0.25047498624876857</v>
      </c>
    </row>
    <row r="319" spans="1:27" s="22" customFormat="1" x14ac:dyDescent="0.25">
      <c r="A319" s="7" t="str">
        <f t="shared" si="4"/>
        <v>3528Providence Hood River Memorial Hospital521156084400, ENVIRONMENTAL SERVICES</v>
      </c>
      <c r="B319" s="7"/>
      <c r="C319" s="29" t="s">
        <v>1249</v>
      </c>
      <c r="D319" s="29" t="s">
        <v>1249</v>
      </c>
      <c r="E319" s="29" t="s">
        <v>1249</v>
      </c>
      <c r="F319" s="29">
        <v>3528</v>
      </c>
      <c r="G319" s="4" t="s">
        <v>1250</v>
      </c>
      <c r="H319" s="5">
        <v>5211</v>
      </c>
      <c r="I319" s="4" t="s">
        <v>50</v>
      </c>
      <c r="J319" s="4" t="s">
        <v>50</v>
      </c>
      <c r="K319" s="4" t="s">
        <v>1272</v>
      </c>
      <c r="L319" s="4" t="s">
        <v>51</v>
      </c>
      <c r="M319" s="39">
        <v>132.22</v>
      </c>
      <c r="N319" s="39">
        <v>132.22</v>
      </c>
      <c r="O319" s="38">
        <v>0.5</v>
      </c>
      <c r="P319" s="39">
        <v>180.61</v>
      </c>
      <c r="Q319" s="39">
        <v>178.1</v>
      </c>
      <c r="R319" s="38">
        <v>0.69230000000000003</v>
      </c>
      <c r="S319" s="40">
        <v>15</v>
      </c>
      <c r="T319" s="39">
        <v>143.22999999999999</v>
      </c>
      <c r="U319" s="39">
        <v>149.09</v>
      </c>
      <c r="V319" s="39">
        <v>169.45</v>
      </c>
      <c r="W319" s="38">
        <v>0.91700000000000004</v>
      </c>
      <c r="X319" s="39">
        <v>12.34</v>
      </c>
      <c r="Y319" s="41">
        <v>65232.118370465098</v>
      </c>
      <c r="Z319" s="39">
        <v>4241</v>
      </c>
      <c r="AA319" s="39">
        <v>2.0331847645719998</v>
      </c>
    </row>
    <row r="320" spans="1:27" s="22" customFormat="1" x14ac:dyDescent="0.25">
      <c r="A320" s="7" t="str">
        <f t="shared" si="4"/>
        <v>3528Providence Hood River Memorial Hospital341156076300, DIAGNOSTIC IMAGING</v>
      </c>
      <c r="B320" s="7"/>
      <c r="C320" s="29" t="s">
        <v>1249</v>
      </c>
      <c r="D320" s="29" t="s">
        <v>1249</v>
      </c>
      <c r="E320" s="29" t="s">
        <v>1249</v>
      </c>
      <c r="F320" s="29">
        <v>3528</v>
      </c>
      <c r="G320" s="4" t="s">
        <v>1250</v>
      </c>
      <c r="H320" s="5">
        <v>3411</v>
      </c>
      <c r="I320" s="4" t="s">
        <v>117</v>
      </c>
      <c r="J320" s="4" t="s">
        <v>57</v>
      </c>
      <c r="K320" s="4" t="s">
        <v>1274</v>
      </c>
      <c r="L320" s="4" t="s">
        <v>99</v>
      </c>
      <c r="M320" s="39">
        <v>9140.94</v>
      </c>
      <c r="N320" s="39">
        <v>10105.61</v>
      </c>
      <c r="O320" s="38">
        <v>0.42859999999999998</v>
      </c>
      <c r="P320" s="39">
        <v>1.57</v>
      </c>
      <c r="Q320" s="39">
        <v>1.44</v>
      </c>
      <c r="R320" s="38">
        <v>0.92859999999999998</v>
      </c>
      <c r="S320" s="40">
        <v>15</v>
      </c>
      <c r="T320" s="39">
        <v>0.83</v>
      </c>
      <c r="U320" s="39">
        <v>0.85</v>
      </c>
      <c r="V320" s="39">
        <v>0.93</v>
      </c>
      <c r="W320" s="38">
        <v>0.88270000000000004</v>
      </c>
      <c r="X320" s="39">
        <v>7.95</v>
      </c>
      <c r="Y320" s="41">
        <v>244704.70252621901</v>
      </c>
      <c r="Z320" s="39">
        <v>6850</v>
      </c>
      <c r="AA320" s="39">
        <v>3.2843034260514101</v>
      </c>
    </row>
    <row r="321" spans="1:27" s="22" customFormat="1" x14ac:dyDescent="0.25">
      <c r="A321" s="7" t="str">
        <f t="shared" si="4"/>
        <v>3528Providence Hood River Memorial Hospital511256083400, PT_NON PT FOOD SVC</v>
      </c>
      <c r="B321" s="7"/>
      <c r="C321" s="29" t="s">
        <v>1249</v>
      </c>
      <c r="D321" s="29" t="s">
        <v>1249</v>
      </c>
      <c r="E321" s="29" t="s">
        <v>1249</v>
      </c>
      <c r="F321" s="29">
        <v>3528</v>
      </c>
      <c r="G321" s="4" t="s">
        <v>1250</v>
      </c>
      <c r="H321" s="5">
        <v>5112</v>
      </c>
      <c r="I321" s="4" t="s">
        <v>281</v>
      </c>
      <c r="J321" s="4" t="s">
        <v>65</v>
      </c>
      <c r="K321" s="4" t="s">
        <v>1269</v>
      </c>
      <c r="L321" s="4" t="s">
        <v>282</v>
      </c>
      <c r="M321" s="39">
        <v>82619.63</v>
      </c>
      <c r="N321" s="39">
        <v>83045.919999999998</v>
      </c>
      <c r="O321" s="38">
        <v>0.57140000000000002</v>
      </c>
      <c r="P321" s="39">
        <v>0.23</v>
      </c>
      <c r="Q321" s="39">
        <v>0.24</v>
      </c>
      <c r="R321" s="38">
        <v>0.83330000000000004</v>
      </c>
      <c r="S321" s="40">
        <v>15</v>
      </c>
      <c r="T321" s="39">
        <v>0.2</v>
      </c>
      <c r="U321" s="39">
        <v>0.21</v>
      </c>
      <c r="V321" s="39">
        <v>0.22</v>
      </c>
      <c r="W321" s="38">
        <v>0.91979999999999995</v>
      </c>
      <c r="X321" s="39">
        <v>10.55</v>
      </c>
      <c r="Y321" s="41">
        <v>46340.530002444102</v>
      </c>
      <c r="Z321" s="39">
        <v>3044</v>
      </c>
      <c r="AA321" s="39">
        <v>1.45940417712876</v>
      </c>
    </row>
    <row r="322" spans="1:27" s="22" customFormat="1" x14ac:dyDescent="0.25">
      <c r="A322" s="7" t="str">
        <f t="shared" si="4"/>
        <v>3528Providence Hood River Memorial Hospital191056087200, NURSING SERVICE ADMIN</v>
      </c>
      <c r="B322" s="7"/>
      <c r="C322" s="29" t="s">
        <v>1249</v>
      </c>
      <c r="D322" s="29" t="s">
        <v>1249</v>
      </c>
      <c r="E322" s="29" t="s">
        <v>1249</v>
      </c>
      <c r="F322" s="29">
        <v>3528</v>
      </c>
      <c r="G322" s="4" t="s">
        <v>1250</v>
      </c>
      <c r="H322" s="5">
        <v>1910</v>
      </c>
      <c r="I322" s="4" t="s">
        <v>34</v>
      </c>
      <c r="J322" s="4" t="s">
        <v>23</v>
      </c>
      <c r="K322" s="4" t="s">
        <v>1259</v>
      </c>
      <c r="L322" s="4" t="s">
        <v>35</v>
      </c>
      <c r="M322" s="39">
        <v>67</v>
      </c>
      <c r="N322" s="39">
        <v>68</v>
      </c>
      <c r="O322" s="38">
        <v>0.4</v>
      </c>
      <c r="P322" s="39">
        <v>140.16999999999999</v>
      </c>
      <c r="Q322" s="39">
        <v>144.41999999999999</v>
      </c>
      <c r="R322" s="38">
        <v>0.5333</v>
      </c>
      <c r="S322" s="40">
        <v>16</v>
      </c>
      <c r="T322" s="39">
        <v>109.53</v>
      </c>
      <c r="U322" s="39">
        <v>115.73</v>
      </c>
      <c r="V322" s="39">
        <v>136.80000000000001</v>
      </c>
      <c r="W322" s="38">
        <v>0.86</v>
      </c>
      <c r="X322" s="39">
        <v>5.49</v>
      </c>
      <c r="Y322" s="41">
        <f>Z322*52.03</f>
        <v>118030.65999999995</v>
      </c>
      <c r="Z322" s="39">
        <f>SUM((Q322-U322)*N322)/W322</f>
        <v>2268.5116279069757</v>
      </c>
      <c r="AA322" s="39">
        <f>+Z322/2085.7</f>
        <v>1.087650010982872</v>
      </c>
    </row>
    <row r="323" spans="1:27" s="22" customFormat="1" x14ac:dyDescent="0.25">
      <c r="A323" s="7" t="str">
        <f t="shared" ref="A323:A386" si="5">F323&amp;G323&amp;H323&amp;K323</f>
        <v>3528Providence Hood River Memorial Hospital335056075000 56075400 56075098 56089008 56089009, CLIN AND BLOOD COMBO</v>
      </c>
      <c r="B323" s="7"/>
      <c r="C323" s="29" t="s">
        <v>1249</v>
      </c>
      <c r="D323" s="29" t="s">
        <v>1249</v>
      </c>
      <c r="E323" s="29" t="s">
        <v>1249</v>
      </c>
      <c r="F323" s="29">
        <v>3528</v>
      </c>
      <c r="G323" s="4" t="s">
        <v>1250</v>
      </c>
      <c r="H323" s="5">
        <v>3350</v>
      </c>
      <c r="I323" s="4" t="s">
        <v>93</v>
      </c>
      <c r="J323" s="4" t="s">
        <v>53</v>
      </c>
      <c r="K323" s="4" t="s">
        <v>1273</v>
      </c>
      <c r="L323" s="4" t="s">
        <v>94</v>
      </c>
      <c r="M323" s="39">
        <v>1372.66</v>
      </c>
      <c r="N323" s="39">
        <v>1104.44</v>
      </c>
      <c r="O323" s="38">
        <v>0.5333</v>
      </c>
      <c r="P323" s="39">
        <v>16.7</v>
      </c>
      <c r="Q323" s="39">
        <v>22.35</v>
      </c>
      <c r="R323" s="38">
        <v>0.73329999999999995</v>
      </c>
      <c r="S323" s="40">
        <v>16</v>
      </c>
      <c r="T323" s="39">
        <v>17.34</v>
      </c>
      <c r="U323" s="39">
        <v>17.98</v>
      </c>
      <c r="V323" s="39">
        <v>19.86</v>
      </c>
      <c r="W323" s="38">
        <v>0.88759999999999994</v>
      </c>
      <c r="X323" s="39">
        <v>13.37</v>
      </c>
      <c r="Y323" s="41">
        <v>153054.68144667899</v>
      </c>
      <c r="Z323" s="39">
        <v>5513</v>
      </c>
      <c r="AA323" s="39">
        <v>2.64338532611271</v>
      </c>
    </row>
    <row r="324" spans="1:27" s="22" customFormat="1" x14ac:dyDescent="0.25">
      <c r="A324" s="7" t="str">
        <f t="shared" si="5"/>
        <v>3528Providence Hood River Memorial Hospital201056070100, 56070101 EMERGENCY SERVICES (U)</v>
      </c>
      <c r="B324" s="7"/>
      <c r="C324" s="29" t="s">
        <v>1249</v>
      </c>
      <c r="D324" s="29" t="s">
        <v>1249</v>
      </c>
      <c r="E324" s="29" t="s">
        <v>1249</v>
      </c>
      <c r="F324" s="29">
        <v>3528</v>
      </c>
      <c r="G324" s="4" t="s">
        <v>1250</v>
      </c>
      <c r="H324" s="5">
        <v>2010</v>
      </c>
      <c r="I324" s="4" t="s">
        <v>75</v>
      </c>
      <c r="J324" s="4" t="s">
        <v>76</v>
      </c>
      <c r="K324" s="4" t="s">
        <v>1255</v>
      </c>
      <c r="L324" s="4" t="s">
        <v>77</v>
      </c>
      <c r="M324" s="39">
        <v>9570</v>
      </c>
      <c r="N324" s="39">
        <v>10624</v>
      </c>
      <c r="O324" s="38">
        <v>0.63819999999999999</v>
      </c>
      <c r="P324" s="39">
        <v>2.71</v>
      </c>
      <c r="Q324" s="39">
        <v>2.64</v>
      </c>
      <c r="R324" s="38">
        <v>6.3899999999999998E-2</v>
      </c>
      <c r="S324" s="40">
        <v>19</v>
      </c>
      <c r="T324" s="39">
        <v>2.83</v>
      </c>
      <c r="U324" s="39">
        <v>2.93</v>
      </c>
      <c r="V324" s="39">
        <v>3.11</v>
      </c>
      <c r="W324" s="38">
        <v>0.86370000000000002</v>
      </c>
      <c r="X324" s="39">
        <v>15.62</v>
      </c>
      <c r="Y324" s="41">
        <v>-166367.40208228599</v>
      </c>
      <c r="Z324" s="39">
        <v>-3462</v>
      </c>
      <c r="AA324" s="39">
        <v>-1.6598879354609299</v>
      </c>
    </row>
    <row r="325" spans="1:27" s="22" customFormat="1" x14ac:dyDescent="0.25">
      <c r="A325" s="7" t="str">
        <f t="shared" si="5"/>
        <v>3528Providence Hood River Memorial Hospital500156084600, MAINTENANCE</v>
      </c>
      <c r="B325" s="7"/>
      <c r="C325" s="29" t="s">
        <v>1249</v>
      </c>
      <c r="D325" s="29" t="s">
        <v>1249</v>
      </c>
      <c r="E325" s="29" t="s">
        <v>1249</v>
      </c>
      <c r="F325" s="29">
        <v>3528</v>
      </c>
      <c r="G325" s="4" t="s">
        <v>1250</v>
      </c>
      <c r="H325" s="5">
        <v>5001</v>
      </c>
      <c r="I325" s="4" t="s">
        <v>141</v>
      </c>
      <c r="J325" s="4" t="s">
        <v>62</v>
      </c>
      <c r="K325" s="4" t="s">
        <v>1265</v>
      </c>
      <c r="L325" s="4" t="s">
        <v>63</v>
      </c>
      <c r="M325" s="39">
        <v>195.75</v>
      </c>
      <c r="N325" s="39">
        <v>195.75</v>
      </c>
      <c r="O325" s="38">
        <v>0.35</v>
      </c>
      <c r="P325" s="39">
        <v>44.27</v>
      </c>
      <c r="Q325" s="39">
        <v>44.05</v>
      </c>
      <c r="R325" s="38">
        <v>0.4</v>
      </c>
      <c r="S325" s="40">
        <v>21</v>
      </c>
      <c r="T325" s="39">
        <v>39.090000000000003</v>
      </c>
      <c r="U325" s="39">
        <v>41.19</v>
      </c>
      <c r="V325" s="39">
        <v>46.74</v>
      </c>
      <c r="W325" s="38">
        <v>0.87719999999999998</v>
      </c>
      <c r="X325" s="39">
        <v>4.7300000000000004</v>
      </c>
      <c r="Y325" s="41">
        <v>19852.712296858099</v>
      </c>
      <c r="Z325" s="39">
        <v>674</v>
      </c>
      <c r="AA325" s="39">
        <v>0.32299951260839699</v>
      </c>
    </row>
    <row r="326" spans="1:27" s="22" customFormat="1" x14ac:dyDescent="0.25">
      <c r="A326" s="7" t="str">
        <f t="shared" si="5"/>
        <v>3528Providence Hood River Memorial Hospital303056074300, SHORT STAY SURGICAL UNIT</v>
      </c>
      <c r="B326" s="7"/>
      <c r="C326" s="29" t="s">
        <v>1249</v>
      </c>
      <c r="D326" s="29" t="s">
        <v>1249</v>
      </c>
      <c r="E326" s="29" t="s">
        <v>1249</v>
      </c>
      <c r="F326" s="29">
        <v>3528</v>
      </c>
      <c r="G326" s="4" t="s">
        <v>1250</v>
      </c>
      <c r="H326" s="5">
        <v>3030</v>
      </c>
      <c r="I326" s="4" t="s">
        <v>80</v>
      </c>
      <c r="J326" s="4" t="s">
        <v>47</v>
      </c>
      <c r="K326" s="4" t="s">
        <v>1254</v>
      </c>
      <c r="L326" s="4" t="s">
        <v>81</v>
      </c>
      <c r="M326" s="53">
        <v>4006.8</v>
      </c>
      <c r="N326" s="53">
        <f>395216/100</f>
        <v>3952.16</v>
      </c>
      <c r="O326" s="54">
        <v>0.58330000000000004</v>
      </c>
      <c r="P326" s="53">
        <v>2.57</v>
      </c>
      <c r="Q326" s="53">
        <f>12390.71/N326</f>
        <v>3.1351741832314479</v>
      </c>
      <c r="R326" s="54">
        <v>4.3499999999999997E-2</v>
      </c>
      <c r="S326" s="55">
        <v>25</v>
      </c>
      <c r="T326" s="53">
        <v>3.78</v>
      </c>
      <c r="U326" s="53">
        <v>4.03</v>
      </c>
      <c r="V326" s="53">
        <v>4.25</v>
      </c>
      <c r="W326" s="54">
        <v>0.84789999999999999</v>
      </c>
      <c r="X326" s="53">
        <v>7.03</v>
      </c>
      <c r="Y326" s="56">
        <f>Z326*45.32</f>
        <v>-189024.58348390152</v>
      </c>
      <c r="Z326" s="53">
        <f>SUM((Q326-U326)*N326)/W326</f>
        <v>-4170.8866611628755</v>
      </c>
      <c r="AA326" s="53">
        <f>+Z326/2085.7</f>
        <v>-1.9997538769539607</v>
      </c>
    </row>
    <row r="327" spans="1:27" s="22" customFormat="1" x14ac:dyDescent="0.25">
      <c r="A327" s="7" t="str">
        <f t="shared" si="5"/>
        <v>3528Providence Hood River Memorial Hospital464056076410, OUTPATIENT TRANSFUSION</v>
      </c>
      <c r="B327" s="7"/>
      <c r="C327" s="29" t="s">
        <v>1249</v>
      </c>
      <c r="D327" s="29" t="s">
        <v>1249</v>
      </c>
      <c r="E327" s="29" t="s">
        <v>1249</v>
      </c>
      <c r="F327" s="29">
        <v>3528</v>
      </c>
      <c r="G327" s="4" t="s">
        <v>1250</v>
      </c>
      <c r="H327" s="5">
        <v>4640</v>
      </c>
      <c r="I327" s="4" t="s">
        <v>82</v>
      </c>
      <c r="J327" s="4" t="s">
        <v>83</v>
      </c>
      <c r="K327" s="4" t="s">
        <v>1257</v>
      </c>
      <c r="L327" s="4" t="s">
        <v>84</v>
      </c>
      <c r="M327" s="39">
        <v>2008</v>
      </c>
      <c r="N327" s="39">
        <v>4031</v>
      </c>
      <c r="O327" s="38">
        <v>0.62960000000000005</v>
      </c>
      <c r="P327" s="39">
        <v>2.93</v>
      </c>
      <c r="Q327" s="39">
        <v>1.75</v>
      </c>
      <c r="R327" s="38">
        <v>0.30769999999999997</v>
      </c>
      <c r="S327" s="40">
        <v>28</v>
      </c>
      <c r="T327" s="39">
        <v>1.71</v>
      </c>
      <c r="U327" s="39">
        <v>1.87</v>
      </c>
      <c r="V327" s="39">
        <v>2.0099999999999998</v>
      </c>
      <c r="W327" s="38">
        <v>0.91310000000000002</v>
      </c>
      <c r="X327" s="39">
        <v>3.71</v>
      </c>
      <c r="Y327" s="41">
        <v>-24154.029303858999</v>
      </c>
      <c r="Z327" s="39">
        <v>-517</v>
      </c>
      <c r="AA327" s="39">
        <v>-0.248076836847828</v>
      </c>
    </row>
    <row r="328" spans="1:27" s="22" customFormat="1" x14ac:dyDescent="0.25">
      <c r="A328" s="7" t="str">
        <f t="shared" si="5"/>
        <v>3528Providence Hood River Memorial Hospital451056077400, HEMODIALYSIS</v>
      </c>
      <c r="B328" s="7"/>
      <c r="C328" s="29" t="s">
        <v>1249</v>
      </c>
      <c r="D328" s="29" t="s">
        <v>1249</v>
      </c>
      <c r="E328" s="29" t="s">
        <v>1249</v>
      </c>
      <c r="F328" s="29">
        <v>3528</v>
      </c>
      <c r="G328" s="4" t="s">
        <v>1250</v>
      </c>
      <c r="H328" s="5">
        <v>4510</v>
      </c>
      <c r="I328" s="4" t="s">
        <v>101</v>
      </c>
      <c r="J328" s="4" t="s">
        <v>102</v>
      </c>
      <c r="K328" s="4" t="s">
        <v>1271</v>
      </c>
      <c r="L328" s="4" t="s">
        <v>103</v>
      </c>
      <c r="M328" s="39">
        <v>6793</v>
      </c>
      <c r="N328" s="39">
        <v>2203</v>
      </c>
      <c r="O328" s="38">
        <v>0.44829999999999998</v>
      </c>
      <c r="P328" s="39">
        <v>2.31</v>
      </c>
      <c r="Q328" s="39">
        <v>6.15</v>
      </c>
      <c r="R328" s="38">
        <v>0.88890000000000002</v>
      </c>
      <c r="S328" s="40">
        <v>30</v>
      </c>
      <c r="T328" s="39">
        <v>4.3</v>
      </c>
      <c r="U328" s="39">
        <v>4.58</v>
      </c>
      <c r="V328" s="39">
        <v>4.8899999999999997</v>
      </c>
      <c r="W328" s="38">
        <v>0.88119999999999998</v>
      </c>
      <c r="X328" s="39">
        <v>7.39</v>
      </c>
      <c r="Y328" s="41">
        <v>143689.919137536</v>
      </c>
      <c r="Z328" s="39">
        <v>3963</v>
      </c>
      <c r="AA328" s="39">
        <v>1.9002363714820001</v>
      </c>
    </row>
    <row r="329" spans="1:27" s="22" customFormat="1" x14ac:dyDescent="0.25">
      <c r="A329" s="7" t="str">
        <f t="shared" si="5"/>
        <v>3528Providence Hood River Memorial Hospital441056077100, PHARMACY</v>
      </c>
      <c r="B329" s="7"/>
      <c r="C329" s="29" t="s">
        <v>1249</v>
      </c>
      <c r="D329" s="29" t="s">
        <v>1249</v>
      </c>
      <c r="E329" s="29" t="s">
        <v>1249</v>
      </c>
      <c r="F329" s="29">
        <v>3528</v>
      </c>
      <c r="G329" s="4" t="s">
        <v>1250</v>
      </c>
      <c r="H329" s="5">
        <v>4410</v>
      </c>
      <c r="I329" s="4" t="s">
        <v>37</v>
      </c>
      <c r="J329" s="4" t="s">
        <v>37</v>
      </c>
      <c r="K329" s="4" t="s">
        <v>1251</v>
      </c>
      <c r="L329" s="4" t="s">
        <v>100</v>
      </c>
      <c r="M329" s="39">
        <v>11672.38</v>
      </c>
      <c r="N329" s="39">
        <v>11734.19</v>
      </c>
      <c r="O329" s="38">
        <v>0.63890000000000002</v>
      </c>
      <c r="P329" s="39">
        <v>0.9</v>
      </c>
      <c r="Q329" s="39">
        <v>1.08</v>
      </c>
      <c r="R329" s="7"/>
      <c r="S329" s="40">
        <v>37</v>
      </c>
      <c r="T329" s="39">
        <v>1.81</v>
      </c>
      <c r="U329" s="39">
        <v>1.99</v>
      </c>
      <c r="V329" s="39">
        <v>2.08</v>
      </c>
      <c r="W329" s="38">
        <v>0.9224</v>
      </c>
      <c r="X329" s="39">
        <v>6.63</v>
      </c>
      <c r="Y329" s="41">
        <f>Z329*44.99</f>
        <v>-520824.26211079792</v>
      </c>
      <c r="Z329" s="39">
        <f>SUM((Q329-U329)*N329)/W329</f>
        <v>-11576.445034692108</v>
      </c>
      <c r="AA329" s="39">
        <f>+Z329/2085.7</f>
        <v>-5.5503883754576924</v>
      </c>
    </row>
    <row r="330" spans="1:27" s="22" customFormat="1" x14ac:dyDescent="0.25">
      <c r="A330" s="7" t="str">
        <f t="shared" si="5"/>
        <v>3528Providence Hood River Memorial Hospital301156074200, SURGICAL SERVICES</v>
      </c>
      <c r="B330" s="7"/>
      <c r="C330" s="29" t="s">
        <v>1249</v>
      </c>
      <c r="D330" s="29" t="s">
        <v>1249</v>
      </c>
      <c r="E330" s="29" t="s">
        <v>1249</v>
      </c>
      <c r="F330" s="29">
        <v>3528</v>
      </c>
      <c r="G330" s="4" t="s">
        <v>1250</v>
      </c>
      <c r="H330" s="5">
        <v>3011</v>
      </c>
      <c r="I330" s="4" t="s">
        <v>87</v>
      </c>
      <c r="J330" s="4" t="s">
        <v>47</v>
      </c>
      <c r="K330" s="4" t="s">
        <v>1256</v>
      </c>
      <c r="L330" s="4" t="s">
        <v>88</v>
      </c>
      <c r="M330" s="39">
        <v>1911</v>
      </c>
      <c r="N330" s="39">
        <v>2251.1799999999998</v>
      </c>
      <c r="O330" s="38">
        <v>0.47370000000000001</v>
      </c>
      <c r="P330" s="39">
        <v>9.99</v>
      </c>
      <c r="Q330" s="39">
        <v>10.61</v>
      </c>
      <c r="R330" s="38">
        <v>0.18920000000000001</v>
      </c>
      <c r="S330" s="40">
        <v>39</v>
      </c>
      <c r="T330" s="39">
        <v>10.82</v>
      </c>
      <c r="U330" s="39">
        <v>11.67</v>
      </c>
      <c r="V330" s="39">
        <v>12.41</v>
      </c>
      <c r="W330" s="38">
        <v>0.90969999999999995</v>
      </c>
      <c r="X330" s="39">
        <v>12.62</v>
      </c>
      <c r="Y330" s="41">
        <v>-112971.233952209</v>
      </c>
      <c r="Z330" s="39">
        <v>-2558</v>
      </c>
      <c r="AA330" s="39">
        <v>-1.2262140755491</v>
      </c>
    </row>
    <row r="331" spans="1:27" s="22" customFormat="1" x14ac:dyDescent="0.25">
      <c r="A331" s="7" t="str">
        <f t="shared" si="5"/>
        <v>4282Providence Kodiak Hospital522018983500, LAUNDRY</v>
      </c>
      <c r="B331" s="7"/>
      <c r="C331" s="29" t="s">
        <v>828</v>
      </c>
      <c r="D331" s="29" t="s">
        <v>828</v>
      </c>
      <c r="E331" s="29" t="s">
        <v>828</v>
      </c>
      <c r="F331" s="29">
        <v>4282</v>
      </c>
      <c r="G331" s="4" t="s">
        <v>907</v>
      </c>
      <c r="H331" s="5">
        <v>5220</v>
      </c>
      <c r="I331" s="4" t="s">
        <v>167</v>
      </c>
      <c r="J331" s="4" t="s">
        <v>50</v>
      </c>
      <c r="K331" s="4" t="s">
        <v>910</v>
      </c>
      <c r="L331" s="4" t="s">
        <v>168</v>
      </c>
      <c r="M331" s="37">
        <v>1387.86</v>
      </c>
      <c r="N331" s="37">
        <v>1343.66</v>
      </c>
      <c r="O331" s="38">
        <v>0</v>
      </c>
      <c r="P331" s="39">
        <v>3.44</v>
      </c>
      <c r="Q331" s="39">
        <v>3.86</v>
      </c>
      <c r="R331" s="38">
        <v>1</v>
      </c>
      <c r="S331" s="40">
        <v>6</v>
      </c>
      <c r="T331" s="39">
        <v>2.33</v>
      </c>
      <c r="U331" s="39">
        <v>2.38</v>
      </c>
      <c r="V331" s="39">
        <v>2.4700000000000002</v>
      </c>
      <c r="W331" s="38">
        <v>0.86970000000000003</v>
      </c>
      <c r="X331" s="39">
        <v>2.86</v>
      </c>
      <c r="Y331" s="41">
        <v>47995.959284593599</v>
      </c>
      <c r="Z331" s="40">
        <v>2288</v>
      </c>
      <c r="AA331" s="39">
        <v>1.09702954368294</v>
      </c>
    </row>
    <row r="332" spans="1:27" s="22" customFormat="1" x14ac:dyDescent="0.25">
      <c r="A332" s="7" t="str">
        <f t="shared" si="5"/>
        <v>4282Providence Kodiak Hospital661018986100, FINANCE ADMIN CFO</v>
      </c>
      <c r="B332" s="7"/>
      <c r="C332" s="29" t="s">
        <v>828</v>
      </c>
      <c r="D332" s="29" t="s">
        <v>828</v>
      </c>
      <c r="E332" s="29" t="s">
        <v>828</v>
      </c>
      <c r="F332" s="29">
        <v>4282</v>
      </c>
      <c r="G332" s="4" t="s">
        <v>907</v>
      </c>
      <c r="H332" s="5">
        <v>6610</v>
      </c>
      <c r="I332" s="4" t="s">
        <v>72</v>
      </c>
      <c r="J332" s="4" t="s">
        <v>72</v>
      </c>
      <c r="K332" s="4" t="s">
        <v>908</v>
      </c>
      <c r="L332" s="4" t="s">
        <v>14</v>
      </c>
      <c r="M332" s="37">
        <v>25.12</v>
      </c>
      <c r="N332" s="37">
        <v>19.59</v>
      </c>
      <c r="O332" s="38">
        <v>0.5</v>
      </c>
      <c r="P332" s="39">
        <v>322.69</v>
      </c>
      <c r="Q332" s="39">
        <v>368.36</v>
      </c>
      <c r="R332" s="38">
        <v>0.16669999999999999</v>
      </c>
      <c r="S332" s="40">
        <v>7</v>
      </c>
      <c r="T332" s="39">
        <v>375.73</v>
      </c>
      <c r="U332" s="39">
        <v>387.58</v>
      </c>
      <c r="V332" s="39">
        <v>427.89</v>
      </c>
      <c r="W332" s="38">
        <v>0.83840000000000003</v>
      </c>
      <c r="X332" s="39">
        <v>4.1399999999999997</v>
      </c>
      <c r="Y332" s="41">
        <v>-18844.687304430601</v>
      </c>
      <c r="Z332" s="40">
        <v>-421</v>
      </c>
      <c r="AA332" s="39">
        <v>-0.20202863867257501</v>
      </c>
    </row>
    <row r="333" spans="1:27" s="22" customFormat="1" x14ac:dyDescent="0.25">
      <c r="A333" s="7" t="str">
        <f t="shared" si="5"/>
        <v>4282Providence Kodiak Hospital3001Surgical Services Combined Without Anesthesia</v>
      </c>
      <c r="B333" s="7"/>
      <c r="C333" s="29" t="s">
        <v>828</v>
      </c>
      <c r="D333" s="29" t="s">
        <v>828</v>
      </c>
      <c r="E333" s="29" t="s">
        <v>828</v>
      </c>
      <c r="F333" s="29">
        <v>4282</v>
      </c>
      <c r="G333" s="4" t="s">
        <v>907</v>
      </c>
      <c r="H333" s="5">
        <v>3001</v>
      </c>
      <c r="I333" s="4" t="s">
        <v>286</v>
      </c>
      <c r="J333" s="4" t="s">
        <v>47</v>
      </c>
      <c r="K333" s="4" t="s">
        <v>286</v>
      </c>
      <c r="L333" s="4" t="s">
        <v>88</v>
      </c>
      <c r="M333" s="37">
        <v>527.83000000000004</v>
      </c>
      <c r="N333" s="37">
        <v>504.12</v>
      </c>
      <c r="O333" s="38">
        <v>0.42859999999999998</v>
      </c>
      <c r="P333" s="39">
        <v>19.73</v>
      </c>
      <c r="Q333" s="39">
        <v>19.87</v>
      </c>
      <c r="R333" s="38">
        <v>0.1429</v>
      </c>
      <c r="S333" s="40">
        <v>8</v>
      </c>
      <c r="T333" s="39">
        <v>21.99</v>
      </c>
      <c r="U333" s="39">
        <v>23.02</v>
      </c>
      <c r="V333" s="39">
        <v>26.58</v>
      </c>
      <c r="W333" s="38">
        <v>0.86519999999999997</v>
      </c>
      <c r="X333" s="39">
        <v>5.57</v>
      </c>
      <c r="Y333" s="41">
        <v>-88759.301772147795</v>
      </c>
      <c r="Z333" s="40">
        <v>-1796</v>
      </c>
      <c r="AA333" s="39">
        <v>-0.86088724440658104</v>
      </c>
    </row>
    <row r="334" spans="1:27" s="22" customFormat="1" x14ac:dyDescent="0.25">
      <c r="A334" s="7" t="str">
        <f t="shared" si="5"/>
        <v>4282Providence Kodiak Hospital582518987520, QUALITY IMPROVEMENT</v>
      </c>
      <c r="B334" s="7"/>
      <c r="C334" s="29" t="s">
        <v>828</v>
      </c>
      <c r="D334" s="29" t="s">
        <v>828</v>
      </c>
      <c r="E334" s="29" t="s">
        <v>828</v>
      </c>
      <c r="F334" s="29">
        <v>4282</v>
      </c>
      <c r="G334" s="4" t="s">
        <v>907</v>
      </c>
      <c r="H334" s="5">
        <v>5825</v>
      </c>
      <c r="I334" s="4" t="s">
        <v>25</v>
      </c>
      <c r="J334" s="4" t="s">
        <v>26</v>
      </c>
      <c r="K334" s="4" t="s">
        <v>923</v>
      </c>
      <c r="L334" s="4" t="s">
        <v>27</v>
      </c>
      <c r="M334" s="37">
        <v>27647</v>
      </c>
      <c r="N334" s="37">
        <v>23804</v>
      </c>
      <c r="O334" s="38">
        <v>0.71430000000000005</v>
      </c>
      <c r="P334" s="39">
        <v>0.16</v>
      </c>
      <c r="Q334" s="39">
        <v>0.2</v>
      </c>
      <c r="R334" s="38">
        <v>0.42859999999999998</v>
      </c>
      <c r="S334" s="40">
        <v>8</v>
      </c>
      <c r="T334" s="39">
        <v>0.08</v>
      </c>
      <c r="U334" s="39">
        <v>0.14000000000000001</v>
      </c>
      <c r="V334" s="39">
        <v>0.53</v>
      </c>
      <c r="W334" s="38">
        <v>0.90339999999999998</v>
      </c>
      <c r="X334" s="39">
        <v>2.58</v>
      </c>
      <c r="Y334" s="41">
        <v>86803.131387631598</v>
      </c>
      <c r="Z334" s="40">
        <v>1692</v>
      </c>
      <c r="AA334" s="39">
        <v>0.81133309314216495</v>
      </c>
    </row>
    <row r="335" spans="1:27" s="22" customFormat="1" x14ac:dyDescent="0.25">
      <c r="A335" s="7" t="str">
        <f t="shared" si="5"/>
        <v>4282Providence Kodiak Hospital335018975000, 75090, LABORATORY / REF LAB</v>
      </c>
      <c r="B335" s="7"/>
      <c r="C335" s="29" t="s">
        <v>828</v>
      </c>
      <c r="D335" s="29" t="s">
        <v>828</v>
      </c>
      <c r="E335" s="29" t="s">
        <v>828</v>
      </c>
      <c r="F335" s="29">
        <v>4282</v>
      </c>
      <c r="G335" s="4" t="s">
        <v>907</v>
      </c>
      <c r="H335" s="5">
        <v>3350</v>
      </c>
      <c r="I335" s="4" t="s">
        <v>93</v>
      </c>
      <c r="J335" s="4" t="s">
        <v>53</v>
      </c>
      <c r="K335" s="4" t="s">
        <v>909</v>
      </c>
      <c r="L335" s="4" t="s">
        <v>94</v>
      </c>
      <c r="M335" s="37">
        <v>347.67</v>
      </c>
      <c r="N335" s="37">
        <v>302.60000000000002</v>
      </c>
      <c r="O335" s="38">
        <v>0.28570000000000001</v>
      </c>
      <c r="P335" s="39">
        <v>38.950000000000003</v>
      </c>
      <c r="Q335" s="39">
        <v>49.53</v>
      </c>
      <c r="R335" s="38">
        <v>1</v>
      </c>
      <c r="S335" s="40">
        <v>8</v>
      </c>
      <c r="T335" s="39">
        <v>28.35</v>
      </c>
      <c r="U335" s="39">
        <v>30.31</v>
      </c>
      <c r="V335" s="39">
        <v>32.81</v>
      </c>
      <c r="W335" s="38">
        <v>0.9274</v>
      </c>
      <c r="X335" s="39">
        <v>7.77</v>
      </c>
      <c r="Y335" s="41">
        <v>274501.37677945202</v>
      </c>
      <c r="Z335" s="40">
        <v>6316</v>
      </c>
      <c r="AA335" s="39">
        <v>3.0282797578784599</v>
      </c>
    </row>
    <row r="336" spans="1:27" s="22" customFormat="1" x14ac:dyDescent="0.25">
      <c r="A336" s="7" t="str">
        <f t="shared" si="5"/>
        <v>4282Providence Kodiak Hospital1620Medical/Surgical Unit with Swing Beds</v>
      </c>
      <c r="B336" s="7"/>
      <c r="C336" s="29" t="s">
        <v>828</v>
      </c>
      <c r="D336" s="29" t="s">
        <v>828</v>
      </c>
      <c r="E336" s="29" t="s">
        <v>828</v>
      </c>
      <c r="F336" s="29">
        <v>4282</v>
      </c>
      <c r="G336" s="4" t="s">
        <v>907</v>
      </c>
      <c r="H336" s="5">
        <v>1620</v>
      </c>
      <c r="I336" s="4" t="s">
        <v>285</v>
      </c>
      <c r="J336" s="4" t="s">
        <v>23</v>
      </c>
      <c r="K336" s="4" t="s">
        <v>285</v>
      </c>
      <c r="L336" s="4" t="s">
        <v>114</v>
      </c>
      <c r="M336" s="37">
        <v>2170</v>
      </c>
      <c r="N336" s="37">
        <v>2176</v>
      </c>
      <c r="O336" s="38">
        <v>0.57140000000000002</v>
      </c>
      <c r="P336" s="39">
        <v>22.34</v>
      </c>
      <c r="Q336" s="39">
        <v>22.99</v>
      </c>
      <c r="R336" s="38">
        <v>0.57140000000000002</v>
      </c>
      <c r="S336" s="40">
        <v>8</v>
      </c>
      <c r="T336" s="39">
        <v>13.92</v>
      </c>
      <c r="U336" s="39">
        <v>14.85</v>
      </c>
      <c r="V336" s="39">
        <v>19.37</v>
      </c>
      <c r="W336" s="38">
        <v>0.86299999999999999</v>
      </c>
      <c r="X336" s="39">
        <v>27.87</v>
      </c>
      <c r="Y336" s="41">
        <v>930185.78254538402</v>
      </c>
      <c r="Z336" s="40">
        <v>20685</v>
      </c>
      <c r="AA336" s="39">
        <v>9.9175920813978493</v>
      </c>
    </row>
    <row r="337" spans="1:27" s="22" customFormat="1" x14ac:dyDescent="0.25">
      <c r="A337" s="7" t="str">
        <f t="shared" si="5"/>
        <v>4282Providence Kodiak Hospital1270Labor/Delivery/Recovery/Postpartum/Nursery</v>
      </c>
      <c r="B337" s="7"/>
      <c r="C337" s="29" t="s">
        <v>828</v>
      </c>
      <c r="D337" s="29" t="s">
        <v>828</v>
      </c>
      <c r="E337" s="29" t="s">
        <v>828</v>
      </c>
      <c r="F337" s="29">
        <v>4282</v>
      </c>
      <c r="G337" s="4" t="s">
        <v>907</v>
      </c>
      <c r="H337" s="5">
        <v>1270</v>
      </c>
      <c r="I337" s="4" t="s">
        <v>199</v>
      </c>
      <c r="J337" s="4" t="s">
        <v>23</v>
      </c>
      <c r="K337" s="4" t="s">
        <v>199</v>
      </c>
      <c r="L337" s="4" t="s">
        <v>86</v>
      </c>
      <c r="M337" s="37">
        <v>180</v>
      </c>
      <c r="N337" s="37">
        <v>171</v>
      </c>
      <c r="O337" s="38">
        <v>0.25</v>
      </c>
      <c r="P337" s="39">
        <v>53</v>
      </c>
      <c r="Q337" s="39">
        <v>66.040000000000006</v>
      </c>
      <c r="R337" s="38">
        <v>0.25</v>
      </c>
      <c r="S337" s="40">
        <v>9</v>
      </c>
      <c r="T337" s="39">
        <v>66.040000000000006</v>
      </c>
      <c r="U337" s="39">
        <v>76.16</v>
      </c>
      <c r="V337" s="39">
        <v>85.64</v>
      </c>
      <c r="W337" s="38">
        <v>0.93500000000000005</v>
      </c>
      <c r="X337" s="39">
        <v>5.81</v>
      </c>
      <c r="Y337" s="41">
        <v>-92708.651763447706</v>
      </c>
      <c r="Z337" s="40">
        <v>-1811</v>
      </c>
      <c r="AA337" s="39">
        <v>-0.86820265269562802</v>
      </c>
    </row>
    <row r="338" spans="1:27" s="22" customFormat="1" x14ac:dyDescent="0.25">
      <c r="A338" s="7" t="str">
        <f t="shared" si="5"/>
        <v>4282Providence Kodiak Hospital1550ECF KODIAK</v>
      </c>
      <c r="B338" s="7"/>
      <c r="C338" s="29" t="s">
        <v>828</v>
      </c>
      <c r="D338" s="29" t="s">
        <v>828</v>
      </c>
      <c r="E338" s="29" t="s">
        <v>828</v>
      </c>
      <c r="F338" s="29">
        <v>4282</v>
      </c>
      <c r="G338" s="4" t="s">
        <v>907</v>
      </c>
      <c r="H338" s="5">
        <v>1550</v>
      </c>
      <c r="I338" s="4" t="s">
        <v>919</v>
      </c>
      <c r="J338" s="4" t="s">
        <v>23</v>
      </c>
      <c r="K338" s="4" t="s">
        <v>920</v>
      </c>
      <c r="L338" s="4" t="s">
        <v>114</v>
      </c>
      <c r="M338" s="37">
        <v>6845</v>
      </c>
      <c r="N338" s="37">
        <v>7355</v>
      </c>
      <c r="O338" s="38">
        <v>0.125</v>
      </c>
      <c r="P338" s="39">
        <v>8.02</v>
      </c>
      <c r="Q338" s="39">
        <v>8.25</v>
      </c>
      <c r="R338" s="38">
        <v>1</v>
      </c>
      <c r="S338" s="40">
        <v>9</v>
      </c>
      <c r="T338" s="39">
        <v>3.8</v>
      </c>
      <c r="U338" s="39">
        <v>3.81</v>
      </c>
      <c r="V338" s="39">
        <v>4.24</v>
      </c>
      <c r="W338" s="38">
        <v>0.86760000000000004</v>
      </c>
      <c r="X338" s="39">
        <v>33.619999999999997</v>
      </c>
      <c r="Y338" s="41">
        <v>1012577.30344674</v>
      </c>
      <c r="Z338" s="40">
        <v>37822</v>
      </c>
      <c r="AA338" s="39">
        <v>18.134106497840001</v>
      </c>
    </row>
    <row r="339" spans="1:27" s="22" customFormat="1" x14ac:dyDescent="0.25">
      <c r="A339" s="7" t="str">
        <f t="shared" si="5"/>
        <v>4282Providence Kodiak Hospital4410PHARMACY</v>
      </c>
      <c r="B339" s="7"/>
      <c r="C339" s="29" t="s">
        <v>828</v>
      </c>
      <c r="D339" s="29" t="s">
        <v>828</v>
      </c>
      <c r="E339" s="29" t="s">
        <v>828</v>
      </c>
      <c r="F339" s="29">
        <v>4282</v>
      </c>
      <c r="G339" s="4" t="s">
        <v>907</v>
      </c>
      <c r="H339" s="5">
        <v>4410</v>
      </c>
      <c r="I339" s="4" t="s">
        <v>37</v>
      </c>
      <c r="J339" s="4" t="s">
        <v>37</v>
      </c>
      <c r="K339" s="4" t="s">
        <v>917</v>
      </c>
      <c r="L339" s="4" t="s">
        <v>100</v>
      </c>
      <c r="M339" s="37">
        <v>1934.44</v>
      </c>
      <c r="N339" s="37">
        <v>1602.03</v>
      </c>
      <c r="O339" s="38">
        <v>0.55559999999999998</v>
      </c>
      <c r="P339" s="39">
        <v>4.51</v>
      </c>
      <c r="Q339" s="39">
        <v>5.57</v>
      </c>
      <c r="R339" s="38">
        <v>0.77780000000000005</v>
      </c>
      <c r="S339" s="40">
        <v>10</v>
      </c>
      <c r="T339" s="39">
        <v>2.25</v>
      </c>
      <c r="U339" s="39">
        <v>2.46</v>
      </c>
      <c r="V339" s="39">
        <v>2.52</v>
      </c>
      <c r="W339" s="38">
        <v>0.91620000000000001</v>
      </c>
      <c r="X339" s="39">
        <v>4.68</v>
      </c>
      <c r="Y339" s="41">
        <v>297096.01691473997</v>
      </c>
      <c r="Z339" s="40">
        <v>5460</v>
      </c>
      <c r="AA339" s="39">
        <v>2.61764405442882</v>
      </c>
    </row>
    <row r="340" spans="1:27" s="22" customFormat="1" x14ac:dyDescent="0.25">
      <c r="A340" s="7" t="str">
        <f t="shared" si="5"/>
        <v>4282Providence Kodiak Hospital201018970100, 70101 EMERGENCY DEPARTMENT / Trauma</v>
      </c>
      <c r="B340" s="7"/>
      <c r="C340" s="29" t="s">
        <v>828</v>
      </c>
      <c r="D340" s="29" t="s">
        <v>828</v>
      </c>
      <c r="E340" s="29" t="s">
        <v>828</v>
      </c>
      <c r="F340" s="29">
        <v>4282</v>
      </c>
      <c r="G340" s="4" t="s">
        <v>907</v>
      </c>
      <c r="H340" s="5">
        <v>2010</v>
      </c>
      <c r="I340" s="4" t="s">
        <v>75</v>
      </c>
      <c r="J340" s="4" t="s">
        <v>76</v>
      </c>
      <c r="K340" s="4" t="s">
        <v>921</v>
      </c>
      <c r="L340" s="4" t="s">
        <v>77</v>
      </c>
      <c r="M340" s="37">
        <v>3959</v>
      </c>
      <c r="N340" s="37">
        <v>3908</v>
      </c>
      <c r="O340" s="38">
        <v>0.18179999999999999</v>
      </c>
      <c r="P340" s="39">
        <v>5.23</v>
      </c>
      <c r="Q340" s="39">
        <v>5.25</v>
      </c>
      <c r="R340" s="38">
        <v>0.72729999999999995</v>
      </c>
      <c r="S340" s="40">
        <v>12</v>
      </c>
      <c r="T340" s="39">
        <v>2.92</v>
      </c>
      <c r="U340" s="39">
        <v>3.06</v>
      </c>
      <c r="V340" s="39">
        <v>4.28</v>
      </c>
      <c r="W340" s="38">
        <v>0.88009999999999999</v>
      </c>
      <c r="X340" s="39">
        <v>11.21</v>
      </c>
      <c r="Y340" s="41">
        <v>555790.41759544797</v>
      </c>
      <c r="Z340" s="40">
        <v>9793</v>
      </c>
      <c r="AA340" s="39">
        <v>4.6953345311236498</v>
      </c>
    </row>
    <row r="341" spans="1:27" s="22" customFormat="1" x14ac:dyDescent="0.25">
      <c r="A341" s="7" t="str">
        <f t="shared" si="5"/>
        <v>4282Providence Kodiak Hospital511218983400, DIETARY</v>
      </c>
      <c r="B341" s="7"/>
      <c r="C341" s="29" t="s">
        <v>828</v>
      </c>
      <c r="D341" s="29" t="s">
        <v>828</v>
      </c>
      <c r="E341" s="29" t="s">
        <v>828</v>
      </c>
      <c r="F341" s="29">
        <v>4282</v>
      </c>
      <c r="G341" s="4" t="s">
        <v>907</v>
      </c>
      <c r="H341" s="5">
        <v>5112</v>
      </c>
      <c r="I341" s="4" t="s">
        <v>281</v>
      </c>
      <c r="J341" s="4" t="s">
        <v>65</v>
      </c>
      <c r="K341" s="4" t="s">
        <v>916</v>
      </c>
      <c r="L341" s="4" t="s">
        <v>282</v>
      </c>
      <c r="M341" s="37">
        <v>90465.83</v>
      </c>
      <c r="N341" s="37">
        <v>100887.7</v>
      </c>
      <c r="O341" s="38">
        <v>8.3299999999999999E-2</v>
      </c>
      <c r="P341" s="39">
        <v>0.23</v>
      </c>
      <c r="Q341" s="39">
        <v>0.21</v>
      </c>
      <c r="R341" s="38">
        <v>0.6</v>
      </c>
      <c r="S341" s="40">
        <v>13</v>
      </c>
      <c r="T341" s="39">
        <v>0.17</v>
      </c>
      <c r="U341" s="39">
        <v>0.18</v>
      </c>
      <c r="V341" s="39">
        <v>0.21</v>
      </c>
      <c r="W341" s="38">
        <v>0.88929999999999998</v>
      </c>
      <c r="X341" s="39">
        <v>11.41</v>
      </c>
      <c r="Y341" s="41">
        <v>71305.825346024198</v>
      </c>
      <c r="Z341" s="40">
        <v>3378</v>
      </c>
      <c r="AA341" s="39">
        <v>1.6193710244139401</v>
      </c>
    </row>
    <row r="342" spans="1:27" s="22" customFormat="1" x14ac:dyDescent="0.25">
      <c r="A342" s="7" t="str">
        <f t="shared" si="5"/>
        <v>4282Providence Kodiak Hospital521118984400, ENVIRONMENTAL SERVICES</v>
      </c>
      <c r="B342" s="7"/>
      <c r="C342" s="29" t="s">
        <v>828</v>
      </c>
      <c r="D342" s="29" t="s">
        <v>828</v>
      </c>
      <c r="E342" s="29" t="s">
        <v>828</v>
      </c>
      <c r="F342" s="29">
        <v>4282</v>
      </c>
      <c r="G342" s="4" t="s">
        <v>907</v>
      </c>
      <c r="H342" s="5">
        <v>5211</v>
      </c>
      <c r="I342" s="4" t="s">
        <v>50</v>
      </c>
      <c r="J342" s="4" t="s">
        <v>50</v>
      </c>
      <c r="K342" s="4" t="s">
        <v>915</v>
      </c>
      <c r="L342" s="4" t="s">
        <v>51</v>
      </c>
      <c r="M342" s="37">
        <v>113.65</v>
      </c>
      <c r="N342" s="37">
        <v>113.65</v>
      </c>
      <c r="O342" s="38">
        <v>0.33329999999999999</v>
      </c>
      <c r="P342" s="39">
        <v>150.97999999999999</v>
      </c>
      <c r="Q342" s="39">
        <v>161.79</v>
      </c>
      <c r="R342" s="38">
        <v>0.4</v>
      </c>
      <c r="S342" s="40">
        <v>16</v>
      </c>
      <c r="T342" s="39">
        <v>144.91</v>
      </c>
      <c r="U342" s="39">
        <v>152.69</v>
      </c>
      <c r="V342" s="39">
        <v>172.36</v>
      </c>
      <c r="W342" s="38">
        <v>0.90080000000000005</v>
      </c>
      <c r="X342" s="39">
        <v>9.81</v>
      </c>
      <c r="Y342" s="41">
        <v>25360.151094119799</v>
      </c>
      <c r="Z342" s="40">
        <v>1196</v>
      </c>
      <c r="AA342" s="39">
        <v>0.57366201813567497</v>
      </c>
    </row>
    <row r="343" spans="1:27" s="22" customFormat="1" x14ac:dyDescent="0.25">
      <c r="A343" s="7" t="str">
        <f t="shared" si="5"/>
        <v>4282Providence Kodiak Hospital591018984200, SECURITY</v>
      </c>
      <c r="B343" s="7"/>
      <c r="C343" s="29" t="s">
        <v>828</v>
      </c>
      <c r="D343" s="29" t="s">
        <v>828</v>
      </c>
      <c r="E343" s="29" t="s">
        <v>828</v>
      </c>
      <c r="F343" s="29">
        <v>4282</v>
      </c>
      <c r="G343" s="4" t="s">
        <v>907</v>
      </c>
      <c r="H343" s="5">
        <v>5910</v>
      </c>
      <c r="I343" s="4" t="s">
        <v>139</v>
      </c>
      <c r="J343" s="4" t="s">
        <v>136</v>
      </c>
      <c r="K343" s="4" t="s">
        <v>914</v>
      </c>
      <c r="L343" s="4" t="s">
        <v>140</v>
      </c>
      <c r="M343" s="37">
        <v>550</v>
      </c>
      <c r="N343" s="37">
        <v>550</v>
      </c>
      <c r="O343" s="38">
        <v>0.65</v>
      </c>
      <c r="P343" s="39">
        <v>14.39</v>
      </c>
      <c r="Q343" s="39">
        <v>18.16</v>
      </c>
      <c r="R343" s="38">
        <v>0.16669999999999999</v>
      </c>
      <c r="S343" s="40">
        <v>21</v>
      </c>
      <c r="T343" s="39">
        <v>20.100000000000001</v>
      </c>
      <c r="U343" s="39">
        <v>23.13</v>
      </c>
      <c r="V343" s="39">
        <v>26.32</v>
      </c>
      <c r="W343" s="38">
        <v>0.8831</v>
      </c>
      <c r="X343" s="39">
        <v>5.44</v>
      </c>
      <c r="Y343" s="41">
        <v>-70891.557710464403</v>
      </c>
      <c r="Z343" s="40">
        <v>-3059</v>
      </c>
      <c r="AA343" s="39">
        <v>-1.4667954837728501</v>
      </c>
    </row>
    <row r="344" spans="1:27" s="22" customFormat="1" x14ac:dyDescent="0.25">
      <c r="A344" s="7" t="str">
        <f t="shared" si="5"/>
        <v>4282Providence Kodiak Hospital500118984600, 84601 FACILITIES SUPPORT</v>
      </c>
      <c r="B344" s="7"/>
      <c r="C344" s="29" t="s">
        <v>828</v>
      </c>
      <c r="D344" s="29" t="s">
        <v>828</v>
      </c>
      <c r="E344" s="29" t="s">
        <v>828</v>
      </c>
      <c r="F344" s="29">
        <v>4282</v>
      </c>
      <c r="G344" s="4" t="s">
        <v>907</v>
      </c>
      <c r="H344" s="5">
        <v>5001</v>
      </c>
      <c r="I344" s="4" t="s">
        <v>141</v>
      </c>
      <c r="J344" s="4" t="s">
        <v>62</v>
      </c>
      <c r="K344" s="4" t="s">
        <v>913</v>
      </c>
      <c r="L344" s="4" t="s">
        <v>63</v>
      </c>
      <c r="M344" s="37">
        <v>197.65</v>
      </c>
      <c r="N344" s="37">
        <v>197.65</v>
      </c>
      <c r="O344" s="38">
        <v>0.39129999999999998</v>
      </c>
      <c r="P344" s="39">
        <v>33.869999999999997</v>
      </c>
      <c r="Q344" s="39">
        <v>37.409999999999997</v>
      </c>
      <c r="R344" s="38">
        <v>8.6999999999999994E-2</v>
      </c>
      <c r="S344" s="40">
        <v>24</v>
      </c>
      <c r="T344" s="39">
        <v>39.130000000000003</v>
      </c>
      <c r="U344" s="39">
        <v>44.14</v>
      </c>
      <c r="V344" s="39">
        <v>50.15</v>
      </c>
      <c r="W344" s="38">
        <v>0.86429999999999996</v>
      </c>
      <c r="X344" s="39">
        <v>4.1100000000000003</v>
      </c>
      <c r="Y344" s="41">
        <v>-58391.230994508398</v>
      </c>
      <c r="Z344" s="40">
        <v>-1522</v>
      </c>
      <c r="AA344" s="39">
        <v>-0.72963705602528495</v>
      </c>
    </row>
    <row r="345" spans="1:27" s="22" customFormat="1" x14ac:dyDescent="0.25">
      <c r="A345" s="7" t="str">
        <f t="shared" si="5"/>
        <v>4282Providence Kodiak Hospital481518977700, PHYSICAL THERAPY</v>
      </c>
      <c r="B345" s="7"/>
      <c r="C345" s="29" t="s">
        <v>828</v>
      </c>
      <c r="D345" s="29" t="s">
        <v>828</v>
      </c>
      <c r="E345" s="29" t="s">
        <v>828</v>
      </c>
      <c r="F345" s="29">
        <v>4282</v>
      </c>
      <c r="G345" s="4" t="s">
        <v>907</v>
      </c>
      <c r="H345" s="5">
        <v>4815</v>
      </c>
      <c r="I345" s="4" t="s">
        <v>280</v>
      </c>
      <c r="J345" s="4" t="s">
        <v>41</v>
      </c>
      <c r="K345" s="4" t="s">
        <v>911</v>
      </c>
      <c r="L345" s="4" t="s">
        <v>79</v>
      </c>
      <c r="M345" s="37">
        <v>221.69</v>
      </c>
      <c r="N345" s="37">
        <v>332.18</v>
      </c>
      <c r="O345" s="38">
        <v>0.39129999999999998</v>
      </c>
      <c r="P345" s="39">
        <v>59.64</v>
      </c>
      <c r="Q345" s="39">
        <v>43.14</v>
      </c>
      <c r="R345" s="38">
        <v>0.86960000000000004</v>
      </c>
      <c r="S345" s="40">
        <v>24</v>
      </c>
      <c r="T345" s="39">
        <v>26.68</v>
      </c>
      <c r="U345" s="39">
        <v>27.14</v>
      </c>
      <c r="V345" s="39">
        <v>28.38</v>
      </c>
      <c r="W345" s="38">
        <v>0.92259999999999998</v>
      </c>
      <c r="X345" s="39">
        <v>7.47</v>
      </c>
      <c r="Y345" s="41">
        <v>249117.94843545</v>
      </c>
      <c r="Z345" s="40">
        <v>5809</v>
      </c>
      <c r="AA345" s="39">
        <v>2.7849089792027901</v>
      </c>
    </row>
    <row r="346" spans="1:27" s="22" customFormat="1" x14ac:dyDescent="0.25">
      <c r="A346" s="7" t="str">
        <f t="shared" si="5"/>
        <v>4282Providence Kodiak Hospital2210Multi-discipline Combined Clinic</v>
      </c>
      <c r="B346" s="7"/>
      <c r="C346" s="29" t="s">
        <v>828</v>
      </c>
      <c r="D346" s="29" t="s">
        <v>828</v>
      </c>
      <c r="E346" s="29" t="s">
        <v>828</v>
      </c>
      <c r="F346" s="29">
        <v>4282</v>
      </c>
      <c r="G346" s="4" t="s">
        <v>907</v>
      </c>
      <c r="H346" s="5">
        <v>2210</v>
      </c>
      <c r="I346" s="4" t="s">
        <v>511</v>
      </c>
      <c r="J346" s="4" t="s">
        <v>176</v>
      </c>
      <c r="K346" s="4" t="s">
        <v>511</v>
      </c>
      <c r="L346" s="4" t="s">
        <v>77</v>
      </c>
      <c r="M346" s="37">
        <v>8346</v>
      </c>
      <c r="N346" s="37">
        <v>11020</v>
      </c>
      <c r="O346" s="38">
        <v>0.76470000000000005</v>
      </c>
      <c r="P346" s="39">
        <v>0.78</v>
      </c>
      <c r="Q346" s="39">
        <v>0.54</v>
      </c>
      <c r="R346" s="38">
        <v>2.9399999999999999E-2</v>
      </c>
      <c r="S346" s="40">
        <v>35</v>
      </c>
      <c r="T346" s="39">
        <v>0.89</v>
      </c>
      <c r="U346" s="39">
        <v>0.93</v>
      </c>
      <c r="V346" s="39">
        <v>1.1000000000000001</v>
      </c>
      <c r="W346" s="38">
        <v>0.87860000000000005</v>
      </c>
      <c r="X346" s="39">
        <v>3.23</v>
      </c>
      <c r="Y346" s="41">
        <v>-476628.33129988902</v>
      </c>
      <c r="Z346" s="40">
        <v>-4928</v>
      </c>
      <c r="AA346" s="39">
        <v>-2.3626997320299798</v>
      </c>
    </row>
    <row r="347" spans="1:27" s="22" customFormat="1" x14ac:dyDescent="0.25">
      <c r="A347" s="7" t="str">
        <f t="shared" si="5"/>
        <v>4282Providence Kodiak Hospital482518977900, OCCUPATIONAL THERAPY</v>
      </c>
      <c r="B347" s="7"/>
      <c r="C347" s="29" t="s">
        <v>828</v>
      </c>
      <c r="D347" s="29" t="s">
        <v>828</v>
      </c>
      <c r="E347" s="29" t="s">
        <v>828</v>
      </c>
      <c r="F347" s="29">
        <v>4282</v>
      </c>
      <c r="G347" s="4" t="s">
        <v>907</v>
      </c>
      <c r="H347" s="5">
        <v>4825</v>
      </c>
      <c r="I347" s="4" t="s">
        <v>128</v>
      </c>
      <c r="J347" s="4" t="s">
        <v>41</v>
      </c>
      <c r="K347" s="4" t="s">
        <v>912</v>
      </c>
      <c r="L347" s="4" t="s">
        <v>79</v>
      </c>
      <c r="M347" s="37">
        <v>142.65</v>
      </c>
      <c r="N347" s="37">
        <v>155.84</v>
      </c>
      <c r="O347" s="38">
        <v>0.5</v>
      </c>
      <c r="P347" s="39">
        <v>35.549999999999997</v>
      </c>
      <c r="Q347" s="39">
        <v>38.4</v>
      </c>
      <c r="R347" s="38">
        <v>0.91110000000000002</v>
      </c>
      <c r="S347" s="40">
        <v>47</v>
      </c>
      <c r="T347" s="39">
        <v>23.02</v>
      </c>
      <c r="U347" s="39">
        <v>24.31</v>
      </c>
      <c r="V347" s="39">
        <v>26.42</v>
      </c>
      <c r="W347" s="38">
        <v>0.89849999999999997</v>
      </c>
      <c r="X347" s="39">
        <v>3.2</v>
      </c>
      <c r="Y347" s="41">
        <v>121511.906687543</v>
      </c>
      <c r="Z347" s="40">
        <v>2458</v>
      </c>
      <c r="AA347" s="39">
        <v>1.1784058331438301</v>
      </c>
    </row>
    <row r="348" spans="1:27" s="22" customFormat="1" x14ac:dyDescent="0.25">
      <c r="A348" s="7" t="str">
        <f t="shared" si="5"/>
        <v>4282Providence Kodiak Hospital2299Ambulatory Services Administration (U,N)</v>
      </c>
      <c r="B348" s="7"/>
      <c r="C348" s="29" t="s">
        <v>828</v>
      </c>
      <c r="D348" s="29" t="s">
        <v>828</v>
      </c>
      <c r="E348" s="29" t="s">
        <v>828</v>
      </c>
      <c r="F348" s="29">
        <v>4282</v>
      </c>
      <c r="G348" s="4" t="s">
        <v>907</v>
      </c>
      <c r="H348" s="5">
        <v>2299</v>
      </c>
      <c r="I348" s="4" t="s">
        <v>187</v>
      </c>
      <c r="J348" s="4" t="s">
        <v>176</v>
      </c>
      <c r="K348" s="4" t="s">
        <v>922</v>
      </c>
      <c r="L348" s="4" t="s">
        <v>188</v>
      </c>
      <c r="M348" s="37">
        <v>8346</v>
      </c>
      <c r="N348" s="37">
        <v>11020</v>
      </c>
      <c r="O348" s="38">
        <v>0.59760000000000002</v>
      </c>
      <c r="P348" s="39">
        <v>0.5</v>
      </c>
      <c r="Q348" s="39">
        <v>0.39</v>
      </c>
      <c r="R348" s="38">
        <v>0.57410000000000005</v>
      </c>
      <c r="S348" s="40">
        <v>55</v>
      </c>
      <c r="T348" s="39">
        <v>0.25</v>
      </c>
      <c r="U348" s="39">
        <v>0.28999999999999998</v>
      </c>
      <c r="V348" s="39">
        <v>0.32</v>
      </c>
      <c r="W348" s="38">
        <v>0.84219999999999995</v>
      </c>
      <c r="X348" s="39">
        <v>2.46</v>
      </c>
      <c r="Y348" s="41">
        <v>30978.659328562499</v>
      </c>
      <c r="Z348" s="40">
        <v>1336</v>
      </c>
      <c r="AA348" s="39">
        <v>0.64066567142015896</v>
      </c>
    </row>
    <row r="349" spans="1:27" s="22" customFormat="1" x14ac:dyDescent="0.25">
      <c r="A349" s="7" t="str">
        <f t="shared" si="5"/>
        <v>4282Providence Kodiak Hospital4110RESPIRATORY THERAPY (U)</v>
      </c>
      <c r="B349" s="7"/>
      <c r="C349" s="29" t="s">
        <v>828</v>
      </c>
      <c r="D349" s="29" t="s">
        <v>828</v>
      </c>
      <c r="E349" s="29" t="s">
        <v>828</v>
      </c>
      <c r="F349" s="29">
        <v>4282</v>
      </c>
      <c r="G349" s="4" t="s">
        <v>907</v>
      </c>
      <c r="H349" s="5">
        <v>4110</v>
      </c>
      <c r="I349" s="4" t="s">
        <v>145</v>
      </c>
      <c r="J349" s="4" t="s">
        <v>44</v>
      </c>
      <c r="K349" s="4" t="s">
        <v>918</v>
      </c>
      <c r="L349" s="4" t="s">
        <v>45</v>
      </c>
      <c r="M349" s="37">
        <v>819.44</v>
      </c>
      <c r="N349" s="37">
        <v>671.53</v>
      </c>
      <c r="O349" s="38">
        <v>1.52E-2</v>
      </c>
      <c r="P349" s="39">
        <v>6.52</v>
      </c>
      <c r="Q349" s="39">
        <v>9.69</v>
      </c>
      <c r="R349" s="38">
        <v>0.97070000000000001</v>
      </c>
      <c r="S349" s="40">
        <v>218</v>
      </c>
      <c r="T349" s="39">
        <v>2.5</v>
      </c>
      <c r="U349" s="39">
        <v>2.78</v>
      </c>
      <c r="V349" s="39">
        <v>3.14</v>
      </c>
      <c r="W349" s="38">
        <v>0.85819999999999996</v>
      </c>
      <c r="X349" s="39">
        <v>3.65</v>
      </c>
      <c r="Y349" s="41">
        <v>249906.78836310899</v>
      </c>
      <c r="Z349" s="40">
        <v>5438</v>
      </c>
      <c r="AA349" s="39">
        <v>2.6070346897390402</v>
      </c>
    </row>
    <row r="350" spans="1:27" s="22" customFormat="1" x14ac:dyDescent="0.25">
      <c r="A350" s="7" t="str">
        <f t="shared" si="5"/>
        <v>3532Providence Little Company of Mary Hospital466576285602 04665 PRE ADMITTING</v>
      </c>
      <c r="B350" s="7"/>
      <c r="C350" s="29" t="s">
        <v>924</v>
      </c>
      <c r="D350" s="29" t="s">
        <v>924</v>
      </c>
      <c r="E350" s="29" t="s">
        <v>924</v>
      </c>
      <c r="F350" s="29">
        <v>3532</v>
      </c>
      <c r="G350" s="4" t="s">
        <v>977</v>
      </c>
      <c r="H350" s="5">
        <v>4665</v>
      </c>
      <c r="I350" s="4" t="s">
        <v>192</v>
      </c>
      <c r="J350" s="4" t="s">
        <v>83</v>
      </c>
      <c r="K350" s="4" t="s">
        <v>982</v>
      </c>
      <c r="L350" s="4" t="s">
        <v>77</v>
      </c>
      <c r="M350" s="39">
        <v>11668</v>
      </c>
      <c r="N350" s="39">
        <v>11226</v>
      </c>
      <c r="O350" s="38">
        <v>0.57140000000000002</v>
      </c>
      <c r="P350" s="39">
        <v>0.72</v>
      </c>
      <c r="Q350" s="39">
        <v>0.43</v>
      </c>
      <c r="R350" s="7"/>
      <c r="S350" s="40">
        <v>8</v>
      </c>
      <c r="T350" s="39">
        <v>1.37</v>
      </c>
      <c r="U350" s="39">
        <v>1.42</v>
      </c>
      <c r="V350" s="39">
        <v>1.45</v>
      </c>
      <c r="W350" s="52">
        <v>0.88019999999999998</v>
      </c>
      <c r="X350" s="39">
        <v>2.63</v>
      </c>
      <c r="Y350" s="41">
        <v>-571654.43939129496</v>
      </c>
      <c r="Z350" s="40">
        <v>-12625</v>
      </c>
      <c r="AA350" s="39">
        <v>-6.05320745097782</v>
      </c>
    </row>
    <row r="351" spans="1:27" s="22" customFormat="1" x14ac:dyDescent="0.25">
      <c r="A351" s="7" t="str">
        <f t="shared" si="5"/>
        <v>3532Providence Little Company of Mary Hospital112276261505 - 1122 - LCHM ACUTE DOU OVERFLOW</v>
      </c>
      <c r="B351" s="7"/>
      <c r="C351" s="29" t="s">
        <v>924</v>
      </c>
      <c r="D351" s="29" t="s">
        <v>924</v>
      </c>
      <c r="E351" s="29" t="s">
        <v>924</v>
      </c>
      <c r="F351" s="29">
        <v>3532</v>
      </c>
      <c r="G351" s="4" t="s">
        <v>977</v>
      </c>
      <c r="H351" s="5">
        <v>1122</v>
      </c>
      <c r="I351" s="4" t="s">
        <v>105</v>
      </c>
      <c r="J351" s="4" t="s">
        <v>23</v>
      </c>
      <c r="K351" s="4" t="s">
        <v>981</v>
      </c>
      <c r="L351" s="4" t="s">
        <v>74</v>
      </c>
      <c r="M351" s="7"/>
      <c r="N351" s="39">
        <v>2709</v>
      </c>
      <c r="O351" s="38">
        <v>0.71430000000000005</v>
      </c>
      <c r="P351" s="7"/>
      <c r="Q351" s="39">
        <v>10.210000000000001</v>
      </c>
      <c r="R351" s="38">
        <v>0.1429</v>
      </c>
      <c r="S351" s="40">
        <v>8</v>
      </c>
      <c r="T351" s="39">
        <v>11.67</v>
      </c>
      <c r="U351" s="39">
        <v>12.26</v>
      </c>
      <c r="V351" s="39">
        <v>12.66</v>
      </c>
      <c r="W351" s="52">
        <v>1</v>
      </c>
      <c r="X351" s="39">
        <v>13.3</v>
      </c>
      <c r="Y351" s="41">
        <v>-245984.772732037</v>
      </c>
      <c r="Z351" s="40">
        <v>-5473</v>
      </c>
      <c r="AA351" s="39">
        <v>-2.62383372488853</v>
      </c>
    </row>
    <row r="352" spans="1:27" s="22" customFormat="1" x14ac:dyDescent="0.25">
      <c r="A352" s="7" t="str">
        <f t="shared" si="5"/>
        <v>3532Providence Little Company of Mary Hospital583076287500 05830 UTILIZATION CARE MGMT</v>
      </c>
      <c r="B352" s="7"/>
      <c r="C352" s="29" t="s">
        <v>924</v>
      </c>
      <c r="D352" s="29" t="s">
        <v>924</v>
      </c>
      <c r="E352" s="29" t="s">
        <v>924</v>
      </c>
      <c r="F352" s="29">
        <v>3532</v>
      </c>
      <c r="G352" s="4" t="s">
        <v>977</v>
      </c>
      <c r="H352" s="5">
        <v>5830</v>
      </c>
      <c r="I352" s="4" t="s">
        <v>32</v>
      </c>
      <c r="J352" s="4" t="s">
        <v>26</v>
      </c>
      <c r="K352" s="4" t="s">
        <v>980</v>
      </c>
      <c r="L352" s="4" t="s">
        <v>33</v>
      </c>
      <c r="M352" s="39">
        <v>31532</v>
      </c>
      <c r="N352" s="39">
        <v>76176</v>
      </c>
      <c r="O352" s="38">
        <v>0.71430000000000005</v>
      </c>
      <c r="P352" s="39">
        <v>1.57</v>
      </c>
      <c r="Q352" s="39">
        <v>0.71</v>
      </c>
      <c r="R352" s="38">
        <v>0.2</v>
      </c>
      <c r="S352" s="40">
        <v>8</v>
      </c>
      <c r="T352" s="39">
        <v>0.71</v>
      </c>
      <c r="U352" s="39">
        <v>0.72</v>
      </c>
      <c r="V352" s="39">
        <v>0.72</v>
      </c>
      <c r="W352" s="52">
        <v>0.92020000000000002</v>
      </c>
      <c r="X352" s="39">
        <v>28.39</v>
      </c>
      <c r="Y352" s="41">
        <v>-18386.998890761599</v>
      </c>
      <c r="Z352" s="40">
        <v>-390</v>
      </c>
      <c r="AA352" s="39">
        <v>-0.186997083367199</v>
      </c>
    </row>
    <row r="353" spans="1:27" s="22" customFormat="1" x14ac:dyDescent="0.25">
      <c r="A353" s="7" t="str">
        <f t="shared" si="5"/>
        <v>3532Providence Little Company of Mary Hospital641076287530, LCMH QI INFECTION CON (U)</v>
      </c>
      <c r="B353" s="7"/>
      <c r="C353" s="29" t="s">
        <v>924</v>
      </c>
      <c r="D353" s="29" t="s">
        <v>924</v>
      </c>
      <c r="E353" s="29" t="s">
        <v>924</v>
      </c>
      <c r="F353" s="29">
        <v>3532</v>
      </c>
      <c r="G353" s="4" t="s">
        <v>977</v>
      </c>
      <c r="H353" s="5">
        <v>6410</v>
      </c>
      <c r="I353" s="4" t="s">
        <v>29</v>
      </c>
      <c r="J353" s="4" t="s">
        <v>30</v>
      </c>
      <c r="K353" s="4" t="s">
        <v>979</v>
      </c>
      <c r="L353" s="4" t="s">
        <v>31</v>
      </c>
      <c r="M353" s="7"/>
      <c r="N353" s="39">
        <v>71.83</v>
      </c>
      <c r="O353" s="38">
        <v>0.56540000000000001</v>
      </c>
      <c r="P353" s="7"/>
      <c r="Q353" s="39">
        <v>62.8</v>
      </c>
      <c r="R353" s="38">
        <v>0.4914</v>
      </c>
      <c r="S353" s="40">
        <v>8</v>
      </c>
      <c r="T353" s="39">
        <v>28.26</v>
      </c>
      <c r="U353" s="39">
        <v>42.34</v>
      </c>
      <c r="V353" s="39">
        <v>63.32</v>
      </c>
      <c r="W353" s="52">
        <v>0.95099999999999996</v>
      </c>
      <c r="X353" s="39">
        <v>2.2799999999999998</v>
      </c>
      <c r="Y353" s="41">
        <v>90234.939651509194</v>
      </c>
      <c r="Z353" s="40">
        <v>1557</v>
      </c>
      <c r="AA353" s="39">
        <v>0.746709792439195</v>
      </c>
    </row>
    <row r="354" spans="1:27" s="22" customFormat="1" x14ac:dyDescent="0.25">
      <c r="A354" s="7" t="str">
        <f t="shared" si="5"/>
        <v>3532Providence Little Company of Mary Hospital345076276700 03450 ULTRASOUND</v>
      </c>
      <c r="B354" s="7"/>
      <c r="C354" s="29" t="s">
        <v>924</v>
      </c>
      <c r="D354" s="29" t="s">
        <v>924</v>
      </c>
      <c r="E354" s="29" t="s">
        <v>924</v>
      </c>
      <c r="F354" s="29">
        <v>3532</v>
      </c>
      <c r="G354" s="4" t="s">
        <v>977</v>
      </c>
      <c r="H354" s="5">
        <v>3450</v>
      </c>
      <c r="I354" s="4" t="s">
        <v>122</v>
      </c>
      <c r="J354" s="4" t="s">
        <v>57</v>
      </c>
      <c r="K354" s="4" t="s">
        <v>978</v>
      </c>
      <c r="L354" s="4" t="s">
        <v>99</v>
      </c>
      <c r="M354" s="39">
        <v>51277.83</v>
      </c>
      <c r="N354" s="39">
        <v>55770</v>
      </c>
      <c r="O354" s="38">
        <v>0.28570000000000001</v>
      </c>
      <c r="P354" s="39">
        <v>0.52</v>
      </c>
      <c r="Q354" s="39">
        <v>0.5</v>
      </c>
      <c r="R354" s="38">
        <v>1</v>
      </c>
      <c r="S354" s="40">
        <v>8</v>
      </c>
      <c r="T354" s="39">
        <v>0.38</v>
      </c>
      <c r="U354" s="39">
        <v>0.4</v>
      </c>
      <c r="V354" s="39">
        <v>0.43</v>
      </c>
      <c r="W354" s="52">
        <v>0.9224</v>
      </c>
      <c r="X354" s="39">
        <v>14.53</v>
      </c>
      <c r="Y354" s="41">
        <v>295095.27134799602</v>
      </c>
      <c r="Z354" s="40">
        <v>6121</v>
      </c>
      <c r="AA354" s="39">
        <v>2.9344994617251001</v>
      </c>
    </row>
    <row r="355" spans="1:27" s="22" customFormat="1" x14ac:dyDescent="0.25">
      <c r="A355" s="7" t="str">
        <f t="shared" si="5"/>
        <v>3532Providence Little Company of Mary Hospital307176283800 03071 STERILE PROCESSING</v>
      </c>
      <c r="B355" s="7"/>
      <c r="C355" s="29" t="s">
        <v>924</v>
      </c>
      <c r="D355" s="29" t="s">
        <v>924</v>
      </c>
      <c r="E355" s="29" t="s">
        <v>924</v>
      </c>
      <c r="F355" s="29">
        <v>3532</v>
      </c>
      <c r="G355" s="4" t="s">
        <v>977</v>
      </c>
      <c r="H355" s="5">
        <v>3071</v>
      </c>
      <c r="I355" s="4" t="s">
        <v>290</v>
      </c>
      <c r="J355" s="4" t="s">
        <v>47</v>
      </c>
      <c r="K355" s="4" t="s">
        <v>984</v>
      </c>
      <c r="L355" s="4" t="s">
        <v>92</v>
      </c>
      <c r="M355" s="39">
        <v>1200</v>
      </c>
      <c r="N355" s="39">
        <v>1643.43</v>
      </c>
      <c r="O355" s="7"/>
      <c r="P355" s="39">
        <v>21.78</v>
      </c>
      <c r="Q355" s="39">
        <v>17.43</v>
      </c>
      <c r="R355" s="38">
        <v>0.93369999999999997</v>
      </c>
      <c r="S355" s="40">
        <v>9</v>
      </c>
      <c r="T355" s="39">
        <v>18.149999999999999</v>
      </c>
      <c r="U355" s="39">
        <v>19.21</v>
      </c>
      <c r="V355" s="39">
        <v>19.989999999999998</v>
      </c>
      <c r="W355" s="52">
        <v>0.93340000000000001</v>
      </c>
      <c r="X355" s="39">
        <v>14.75</v>
      </c>
      <c r="Y355" s="41">
        <v>-68116.202326257306</v>
      </c>
      <c r="Z355" s="40">
        <v>-3059</v>
      </c>
      <c r="AA355" s="39">
        <v>-1.4665676341922</v>
      </c>
    </row>
    <row r="356" spans="1:27" s="22" customFormat="1" x14ac:dyDescent="0.25">
      <c r="A356" s="7" t="str">
        <f t="shared" si="5"/>
        <v>3532Providence Little Company of Mary Hospital411076277200 04110 RESPIRATORY CARE</v>
      </c>
      <c r="B356" s="7"/>
      <c r="C356" s="29" t="s">
        <v>924</v>
      </c>
      <c r="D356" s="29" t="s">
        <v>924</v>
      </c>
      <c r="E356" s="29" t="s">
        <v>924</v>
      </c>
      <c r="F356" s="29">
        <v>3532</v>
      </c>
      <c r="G356" s="4" t="s">
        <v>977</v>
      </c>
      <c r="H356" s="5">
        <v>4110</v>
      </c>
      <c r="I356" s="4" t="s">
        <v>145</v>
      </c>
      <c r="J356" s="4" t="s">
        <v>44</v>
      </c>
      <c r="K356" s="4" t="s">
        <v>983</v>
      </c>
      <c r="L356" s="7" t="s">
        <v>45</v>
      </c>
      <c r="M356" s="39">
        <v>179061.51</v>
      </c>
      <c r="N356" s="39">
        <v>252041.53</v>
      </c>
      <c r="O356" s="38">
        <v>0.625</v>
      </c>
      <c r="P356" s="39">
        <v>3.62</v>
      </c>
      <c r="Q356" s="39">
        <v>0.47</v>
      </c>
      <c r="R356" s="38">
        <v>0.66669999999999996</v>
      </c>
      <c r="S356" s="40">
        <v>9</v>
      </c>
      <c r="T356" s="39">
        <v>0.41</v>
      </c>
      <c r="U356" s="39">
        <v>0.43</v>
      </c>
      <c r="V356" s="39">
        <v>0.45</v>
      </c>
      <c r="W356" s="52">
        <v>0.90149999999999997</v>
      </c>
      <c r="X356" s="39">
        <v>63.54</v>
      </c>
      <c r="Y356" s="41">
        <v>462682.15048218198</v>
      </c>
      <c r="Z356" s="40">
        <v>12306</v>
      </c>
      <c r="AA356" s="39">
        <v>5.9001302597454002</v>
      </c>
    </row>
    <row r="357" spans="1:27" s="22" customFormat="1" x14ac:dyDescent="0.25">
      <c r="A357" s="7" t="str">
        <f t="shared" si="5"/>
        <v>3532Providence Little Company of Mary Hospital121276261710 01212 ADULT SURGICAL</v>
      </c>
      <c r="B357" s="7"/>
      <c r="C357" s="29" t="s">
        <v>924</v>
      </c>
      <c r="D357" s="29" t="s">
        <v>924</v>
      </c>
      <c r="E357" s="29" t="s">
        <v>924</v>
      </c>
      <c r="F357" s="29">
        <v>3532</v>
      </c>
      <c r="G357" s="4" t="s">
        <v>977</v>
      </c>
      <c r="H357" s="5">
        <v>1212</v>
      </c>
      <c r="I357" s="4" t="s">
        <v>160</v>
      </c>
      <c r="J357" s="4" t="s">
        <v>23</v>
      </c>
      <c r="K357" s="4" t="s">
        <v>988</v>
      </c>
      <c r="L357" s="4" t="s">
        <v>74</v>
      </c>
      <c r="M357" s="39">
        <v>10886</v>
      </c>
      <c r="N357" s="39">
        <v>11481</v>
      </c>
      <c r="O357" s="38">
        <v>0.77780000000000005</v>
      </c>
      <c r="P357" s="39">
        <v>10.7</v>
      </c>
      <c r="Q357" s="39">
        <v>10.93</v>
      </c>
      <c r="R357" s="38">
        <v>0.22220000000000001</v>
      </c>
      <c r="S357" s="40">
        <v>10</v>
      </c>
      <c r="T357" s="39">
        <v>11.05</v>
      </c>
      <c r="U357" s="39">
        <v>11.43</v>
      </c>
      <c r="V357" s="39">
        <v>11.64</v>
      </c>
      <c r="W357" s="52">
        <v>0.86309999999999998</v>
      </c>
      <c r="X357" s="39">
        <v>69.89</v>
      </c>
      <c r="Y357" s="41">
        <v>-245472.95636654799</v>
      </c>
      <c r="Z357" s="40">
        <v>-6273</v>
      </c>
      <c r="AA357" s="39">
        <v>-3.00755959232397</v>
      </c>
    </row>
    <row r="358" spans="1:27" s="22" customFormat="1" x14ac:dyDescent="0.25">
      <c r="A358" s="7" t="str">
        <f t="shared" si="5"/>
        <v>3532Providence Little Company of Mary Hospital112276261501 - 1122 LCMH LUMINARY CARE</v>
      </c>
      <c r="B358" s="7"/>
      <c r="C358" s="29" t="s">
        <v>924</v>
      </c>
      <c r="D358" s="29" t="s">
        <v>924</v>
      </c>
      <c r="E358" s="29" t="s">
        <v>924</v>
      </c>
      <c r="F358" s="29">
        <v>3532</v>
      </c>
      <c r="G358" s="43" t="s">
        <v>977</v>
      </c>
      <c r="H358" s="42">
        <v>1122</v>
      </c>
      <c r="I358" s="43" t="s">
        <v>105</v>
      </c>
      <c r="J358" s="43" t="s">
        <v>23</v>
      </c>
      <c r="K358" s="43" t="s">
        <v>987</v>
      </c>
      <c r="L358" s="43" t="s">
        <v>74</v>
      </c>
      <c r="M358" s="71"/>
      <c r="N358" s="46">
        <v>8768</v>
      </c>
      <c r="O358" s="71"/>
      <c r="P358" s="71"/>
      <c r="Q358" s="46">
        <f>92617.91/N358</f>
        <v>10.563174041970804</v>
      </c>
      <c r="R358" s="71"/>
      <c r="S358" s="47">
        <v>10</v>
      </c>
      <c r="T358" s="46">
        <v>10.99</v>
      </c>
      <c r="U358" s="46">
        <v>11.03</v>
      </c>
      <c r="V358" s="46">
        <v>11.32</v>
      </c>
      <c r="W358" s="138">
        <v>0.89380000000000004</v>
      </c>
      <c r="X358" s="46">
        <v>62.87</v>
      </c>
      <c r="Y358" s="48">
        <f>Z358*44.72</f>
        <v>-204793.88409039986</v>
      </c>
      <c r="Z358" s="47">
        <f>SUM((Q358-U358)*N358)/W358</f>
        <v>-4579.4696800178863</v>
      </c>
      <c r="AA358" s="46">
        <f>+Z358/2085.7</f>
        <v>-2.1956511866605393</v>
      </c>
    </row>
    <row r="359" spans="1:27" s="22" customFormat="1" x14ac:dyDescent="0.25">
      <c r="A359" s="7" t="str">
        <f t="shared" si="5"/>
        <v>3532Providence Little Company of Mary Hospital482576277900 04825 OCCUPATIONAL THERAPY</v>
      </c>
      <c r="B359" s="7"/>
      <c r="C359" s="29" t="s">
        <v>924</v>
      </c>
      <c r="D359" s="29" t="s">
        <v>924</v>
      </c>
      <c r="E359" s="29" t="s">
        <v>924</v>
      </c>
      <c r="F359" s="29">
        <v>3532</v>
      </c>
      <c r="G359" s="4" t="s">
        <v>977</v>
      </c>
      <c r="H359" s="5">
        <v>4825</v>
      </c>
      <c r="I359" s="4" t="s">
        <v>128</v>
      </c>
      <c r="J359" s="4" t="s">
        <v>41</v>
      </c>
      <c r="K359" s="4" t="s">
        <v>986</v>
      </c>
      <c r="L359" s="4" t="s">
        <v>79</v>
      </c>
      <c r="M359" s="39">
        <v>1220.07</v>
      </c>
      <c r="N359" s="39">
        <v>1293.45</v>
      </c>
      <c r="O359" s="38">
        <v>0.44440000000000002</v>
      </c>
      <c r="P359" s="39">
        <v>23.46</v>
      </c>
      <c r="Q359" s="39">
        <v>24.75</v>
      </c>
      <c r="R359" s="38">
        <v>0.5</v>
      </c>
      <c r="S359" s="40">
        <v>10</v>
      </c>
      <c r="T359" s="39">
        <v>22.52</v>
      </c>
      <c r="U359" s="39">
        <v>22.7</v>
      </c>
      <c r="V359" s="39">
        <v>24.75</v>
      </c>
      <c r="W359" s="52">
        <v>0.91239999999999999</v>
      </c>
      <c r="X359" s="39">
        <v>16.87</v>
      </c>
      <c r="Y359" s="41">
        <v>133966.841399111</v>
      </c>
      <c r="Z359" s="40">
        <v>3005</v>
      </c>
      <c r="AA359" s="39">
        <v>1.44097848637021</v>
      </c>
    </row>
    <row r="360" spans="1:27" s="22" customFormat="1" x14ac:dyDescent="0.25">
      <c r="A360" s="7" t="str">
        <f t="shared" si="5"/>
        <v>3532Providence Little Company of Mary Hospital127776260700 01277 NICU</v>
      </c>
      <c r="B360" s="7"/>
      <c r="C360" s="29" t="s">
        <v>924</v>
      </c>
      <c r="D360" s="29" t="s">
        <v>924</v>
      </c>
      <c r="E360" s="29" t="s">
        <v>924</v>
      </c>
      <c r="F360" s="29">
        <v>3532</v>
      </c>
      <c r="G360" s="4" t="s">
        <v>977</v>
      </c>
      <c r="H360" s="5">
        <v>1277</v>
      </c>
      <c r="I360" s="4" t="s">
        <v>106</v>
      </c>
      <c r="J360" s="4" t="s">
        <v>23</v>
      </c>
      <c r="K360" s="4" t="s">
        <v>985</v>
      </c>
      <c r="L360" s="4" t="s">
        <v>107</v>
      </c>
      <c r="M360" s="39">
        <v>4167</v>
      </c>
      <c r="N360" s="39">
        <v>5374</v>
      </c>
      <c r="O360" s="38">
        <v>0.77780000000000005</v>
      </c>
      <c r="P360" s="39">
        <v>15.39</v>
      </c>
      <c r="Q360" s="39">
        <v>16.600000000000001</v>
      </c>
      <c r="R360" s="38">
        <v>0.7</v>
      </c>
      <c r="S360" s="40">
        <v>10</v>
      </c>
      <c r="T360" s="39">
        <v>13.53</v>
      </c>
      <c r="U360" s="39">
        <v>15.16</v>
      </c>
      <c r="V360" s="39">
        <v>16.18</v>
      </c>
      <c r="W360" s="52">
        <v>0.90969999999999995</v>
      </c>
      <c r="X360" s="39">
        <v>47.14</v>
      </c>
      <c r="Y360" s="41">
        <v>522001.57887137798</v>
      </c>
      <c r="Z360" s="40">
        <v>8763</v>
      </c>
      <c r="AA360" s="39">
        <v>4.2015040849705398</v>
      </c>
    </row>
    <row r="361" spans="1:27" s="22" customFormat="1" x14ac:dyDescent="0.25">
      <c r="A361" s="7" t="str">
        <f t="shared" si="5"/>
        <v>3532Providence Little Company of Mary Hospital344076276315 03440 WOMENS IMAGING</v>
      </c>
      <c r="B361" s="7"/>
      <c r="C361" s="29" t="s">
        <v>924</v>
      </c>
      <c r="D361" s="29" t="s">
        <v>924</v>
      </c>
      <c r="E361" s="29" t="s">
        <v>924</v>
      </c>
      <c r="F361" s="29">
        <v>3532</v>
      </c>
      <c r="G361" s="4" t="s">
        <v>977</v>
      </c>
      <c r="H361" s="5">
        <v>3440</v>
      </c>
      <c r="I361" s="4" t="s">
        <v>119</v>
      </c>
      <c r="J361" s="4" t="s">
        <v>57</v>
      </c>
      <c r="K361" s="4" t="s">
        <v>992</v>
      </c>
      <c r="L361" s="4" t="s">
        <v>99</v>
      </c>
      <c r="M361" s="7"/>
      <c r="N361" s="39">
        <v>40439.83</v>
      </c>
      <c r="O361" s="38">
        <v>0.7</v>
      </c>
      <c r="P361" s="7"/>
      <c r="Q361" s="39">
        <v>0.47</v>
      </c>
      <c r="R361" s="38">
        <v>0.2</v>
      </c>
      <c r="S361" s="40">
        <v>11</v>
      </c>
      <c r="T361" s="39">
        <v>0.51</v>
      </c>
      <c r="U361" s="39">
        <v>0.55000000000000004</v>
      </c>
      <c r="V361" s="39">
        <v>0.57999999999999996</v>
      </c>
      <c r="W361" s="52">
        <v>0.83909999999999996</v>
      </c>
      <c r="X361" s="39">
        <v>10.9</v>
      </c>
      <c r="Y361" s="41">
        <v>-131751.14112301799</v>
      </c>
      <c r="Z361" s="40">
        <v>-3773</v>
      </c>
      <c r="AA361" s="39">
        <v>-1.8088556966679501</v>
      </c>
    </row>
    <row r="362" spans="1:27" s="22" customFormat="1" x14ac:dyDescent="0.25">
      <c r="A362" s="7" t="str">
        <f t="shared" si="5"/>
        <v>3532Providence Little Company of Mary Hospital346076276500 03460 NUCLEAR MEDICINE</v>
      </c>
      <c r="B362" s="7"/>
      <c r="C362" s="29" t="s">
        <v>924</v>
      </c>
      <c r="D362" s="29" t="s">
        <v>924</v>
      </c>
      <c r="E362" s="29" t="s">
        <v>924</v>
      </c>
      <c r="F362" s="29">
        <v>3532</v>
      </c>
      <c r="G362" s="4" t="s">
        <v>977</v>
      </c>
      <c r="H362" s="5">
        <v>3460</v>
      </c>
      <c r="I362" s="4" t="s">
        <v>120</v>
      </c>
      <c r="J362" s="4" t="s">
        <v>57</v>
      </c>
      <c r="K362" s="4" t="s">
        <v>991</v>
      </c>
      <c r="L362" s="4" t="s">
        <v>99</v>
      </c>
      <c r="M362" s="39">
        <v>57339.38</v>
      </c>
      <c r="N362" s="39">
        <v>61669.97</v>
      </c>
      <c r="O362" s="38">
        <v>0.6</v>
      </c>
      <c r="P362" s="39">
        <v>0.15</v>
      </c>
      <c r="Q362" s="39">
        <v>0.2</v>
      </c>
      <c r="R362" s="38">
        <v>0.42859999999999998</v>
      </c>
      <c r="S362" s="40">
        <v>11</v>
      </c>
      <c r="T362" s="39">
        <v>0.2</v>
      </c>
      <c r="U362" s="39">
        <v>0.2</v>
      </c>
      <c r="V362" s="39">
        <v>0.21</v>
      </c>
      <c r="W362" s="52">
        <v>0.87580000000000002</v>
      </c>
      <c r="X362" s="39">
        <v>6.72</v>
      </c>
      <c r="Y362" s="41">
        <v>-3139.6047602470799</v>
      </c>
      <c r="Z362" s="40">
        <v>-67</v>
      </c>
      <c r="AA362" s="39">
        <v>-3.2225703617134699E-2</v>
      </c>
    </row>
    <row r="363" spans="1:27" s="22" customFormat="1" x14ac:dyDescent="0.25">
      <c r="A363" s="7" t="str">
        <f t="shared" si="5"/>
        <v>3532Providence Little Company of Mary Hospital191076286142 01910 TCU ADMINISTRATION</v>
      </c>
      <c r="B363" s="7"/>
      <c r="C363" s="29" t="s">
        <v>924</v>
      </c>
      <c r="D363" s="29" t="s">
        <v>924</v>
      </c>
      <c r="E363" s="29" t="s">
        <v>924</v>
      </c>
      <c r="F363" s="29">
        <v>3532</v>
      </c>
      <c r="G363" s="4" t="s">
        <v>977</v>
      </c>
      <c r="H363" s="5">
        <v>1910</v>
      </c>
      <c r="I363" s="4" t="s">
        <v>34</v>
      </c>
      <c r="J363" s="4" t="s">
        <v>23</v>
      </c>
      <c r="K363" s="4" t="s">
        <v>989</v>
      </c>
      <c r="L363" s="4" t="s">
        <v>35</v>
      </c>
      <c r="M363" s="39">
        <v>144</v>
      </c>
      <c r="N363" s="39">
        <v>147</v>
      </c>
      <c r="O363" s="38">
        <v>0.5</v>
      </c>
      <c r="P363" s="39">
        <v>138.37</v>
      </c>
      <c r="Q363" s="39">
        <v>19.82</v>
      </c>
      <c r="R363" s="7"/>
      <c r="S363" s="40">
        <v>11</v>
      </c>
      <c r="T363" s="39">
        <v>98.02</v>
      </c>
      <c r="U363" s="39">
        <v>101.5</v>
      </c>
      <c r="V363" s="39">
        <v>119.29</v>
      </c>
      <c r="W363" s="52">
        <v>0.9042</v>
      </c>
      <c r="X363" s="39">
        <v>7.9</v>
      </c>
      <c r="Y363" s="41">
        <v>-1076.20820492235</v>
      </c>
      <c r="Z363" s="40">
        <v>-24</v>
      </c>
      <c r="AA363" s="39">
        <v>-1.1649393495360099E-2</v>
      </c>
    </row>
    <row r="364" spans="1:27" s="22" customFormat="1" x14ac:dyDescent="0.25">
      <c r="A364" s="7" t="str">
        <f t="shared" si="5"/>
        <v>3532Providence Little Company of Mary Hospital481576277700 04815 PHYSICAL THERAPY</v>
      </c>
      <c r="B364" s="7"/>
      <c r="C364" s="29" t="s">
        <v>924</v>
      </c>
      <c r="D364" s="29" t="s">
        <v>924</v>
      </c>
      <c r="E364" s="29" t="s">
        <v>924</v>
      </c>
      <c r="F364" s="29">
        <v>3532</v>
      </c>
      <c r="G364" s="4" t="s">
        <v>977</v>
      </c>
      <c r="H364" s="5">
        <v>4815</v>
      </c>
      <c r="I364" s="4" t="s">
        <v>280</v>
      </c>
      <c r="J364" s="4" t="s">
        <v>41</v>
      </c>
      <c r="K364" s="4" t="s">
        <v>990</v>
      </c>
      <c r="L364" s="4" t="s">
        <v>79</v>
      </c>
      <c r="M364" s="39">
        <v>2600.31</v>
      </c>
      <c r="N364" s="39">
        <v>2777</v>
      </c>
      <c r="O364" s="38">
        <v>1</v>
      </c>
      <c r="P364" s="39">
        <v>26.82</v>
      </c>
      <c r="Q364" s="39">
        <v>26.67</v>
      </c>
      <c r="R364" s="38">
        <v>1</v>
      </c>
      <c r="S364" s="40">
        <v>11</v>
      </c>
      <c r="T364" s="39">
        <v>26.06</v>
      </c>
      <c r="U364" s="39">
        <v>26.69</v>
      </c>
      <c r="V364" s="39">
        <v>27.45</v>
      </c>
      <c r="W364" s="52">
        <v>0.90590000000000004</v>
      </c>
      <c r="X364" s="39">
        <v>39.299999999999997</v>
      </c>
      <c r="Y364" s="41">
        <v>5916.6896342305299</v>
      </c>
      <c r="Z364" s="40">
        <v>151</v>
      </c>
      <c r="AA364" s="39">
        <v>7.2344491037242206E-2</v>
      </c>
    </row>
    <row r="365" spans="1:27" s="22" customFormat="1" x14ac:dyDescent="0.25">
      <c r="A365" s="7" t="str">
        <f t="shared" si="5"/>
        <v>3532Providence Little Company of Mary Hospital153076269200 01530 TCU</v>
      </c>
      <c r="B365" s="7"/>
      <c r="C365" s="29" t="s">
        <v>924</v>
      </c>
      <c r="D365" s="29" t="s">
        <v>924</v>
      </c>
      <c r="E365" s="29" t="s">
        <v>924</v>
      </c>
      <c r="F365" s="29">
        <v>3532</v>
      </c>
      <c r="G365" s="4" t="s">
        <v>977</v>
      </c>
      <c r="H365" s="5">
        <v>1530</v>
      </c>
      <c r="I365" s="4" t="s">
        <v>994</v>
      </c>
      <c r="J365" s="4" t="s">
        <v>23</v>
      </c>
      <c r="K365" s="4" t="s">
        <v>995</v>
      </c>
      <c r="L365" s="4" t="s">
        <v>114</v>
      </c>
      <c r="M365" s="39">
        <v>6083</v>
      </c>
      <c r="N365" s="39">
        <v>6306</v>
      </c>
      <c r="O365" s="38">
        <v>0.45450000000000002</v>
      </c>
      <c r="P365" s="39">
        <v>6.7</v>
      </c>
      <c r="Q365" s="39">
        <v>6.71</v>
      </c>
      <c r="R365" s="38">
        <v>0.2727</v>
      </c>
      <c r="S365" s="40">
        <v>12</v>
      </c>
      <c r="T365" s="39">
        <v>6.69</v>
      </c>
      <c r="U365" s="39">
        <v>7.19</v>
      </c>
      <c r="V365" s="39">
        <v>7.7</v>
      </c>
      <c r="W365" s="52">
        <v>0.92010000000000003</v>
      </c>
      <c r="X365" s="39">
        <v>22.1</v>
      </c>
      <c r="Y365" s="41">
        <v>-95843.051402799494</v>
      </c>
      <c r="Z365" s="40">
        <v>-3183</v>
      </c>
      <c r="AA365" s="39">
        <v>-1.5263147288351799</v>
      </c>
    </row>
    <row r="366" spans="1:27" s="22" customFormat="1" x14ac:dyDescent="0.25">
      <c r="A366" s="7" t="str">
        <f t="shared" si="5"/>
        <v>3532Providence Little Company of Mary Hospital401076276421 04010 RADIATION THERAPY</v>
      </c>
      <c r="B366" s="7"/>
      <c r="C366" s="29" t="s">
        <v>924</v>
      </c>
      <c r="D366" s="29" t="s">
        <v>924</v>
      </c>
      <c r="E366" s="29" t="s">
        <v>924</v>
      </c>
      <c r="F366" s="29">
        <v>3532</v>
      </c>
      <c r="G366" s="4" t="s">
        <v>977</v>
      </c>
      <c r="H366" s="5">
        <v>4010</v>
      </c>
      <c r="I366" s="4" t="s">
        <v>152</v>
      </c>
      <c r="J366" s="4" t="s">
        <v>153</v>
      </c>
      <c r="K366" s="4" t="s">
        <v>993</v>
      </c>
      <c r="L366" s="4" t="s">
        <v>99</v>
      </c>
      <c r="M366" s="39">
        <v>0</v>
      </c>
      <c r="N366" s="39">
        <v>15839</v>
      </c>
      <c r="O366" s="38">
        <v>0.45450000000000002</v>
      </c>
      <c r="P366" s="7"/>
      <c r="Q366" s="39">
        <v>1.08</v>
      </c>
      <c r="R366" s="7"/>
      <c r="S366" s="40">
        <v>12</v>
      </c>
      <c r="T366" s="39">
        <v>0.39</v>
      </c>
      <c r="U366" s="39">
        <v>0.42</v>
      </c>
      <c r="V366" s="39">
        <v>0.46</v>
      </c>
      <c r="W366" s="52">
        <v>0.86629999999999996</v>
      </c>
      <c r="X366" s="39">
        <v>9.52</v>
      </c>
      <c r="Y366" s="41">
        <v>608954.62715118297</v>
      </c>
      <c r="Z366" s="40">
        <v>12177</v>
      </c>
      <c r="AA366" s="39">
        <v>5.8382279738020904</v>
      </c>
    </row>
    <row r="367" spans="1:27" s="22" customFormat="1" x14ac:dyDescent="0.25">
      <c r="A367" s="7" t="str">
        <f t="shared" si="5"/>
        <v>3532Providence Little Company of Mary Hospital231076272900 02310 HOME HEALTH</v>
      </c>
      <c r="B367" s="7"/>
      <c r="C367" s="29" t="s">
        <v>924</v>
      </c>
      <c r="D367" s="29" t="s">
        <v>924</v>
      </c>
      <c r="E367" s="29" t="s">
        <v>924</v>
      </c>
      <c r="F367" s="29">
        <v>3532</v>
      </c>
      <c r="G367" s="4" t="s">
        <v>977</v>
      </c>
      <c r="H367" s="5">
        <v>2310</v>
      </c>
      <c r="I367" s="4" t="s">
        <v>149</v>
      </c>
      <c r="J367" s="4" t="s">
        <v>150</v>
      </c>
      <c r="K367" s="4" t="s">
        <v>997</v>
      </c>
      <c r="L367" s="4" t="s">
        <v>151</v>
      </c>
      <c r="M367" s="39">
        <v>22447</v>
      </c>
      <c r="N367" s="39">
        <v>26274</v>
      </c>
      <c r="O367" s="38">
        <v>0.58330000000000004</v>
      </c>
      <c r="P367" s="39">
        <v>3.31</v>
      </c>
      <c r="Q367" s="39">
        <v>2.73</v>
      </c>
      <c r="R367" s="38">
        <v>1</v>
      </c>
      <c r="S367" s="40">
        <v>13</v>
      </c>
      <c r="T367" s="39">
        <v>2.5099999999999998</v>
      </c>
      <c r="U367" s="39">
        <v>2.5299999999999998</v>
      </c>
      <c r="V367" s="39">
        <v>2.6</v>
      </c>
      <c r="W367" s="52">
        <v>0.86180000000000001</v>
      </c>
      <c r="X367" s="39">
        <v>40.049999999999997</v>
      </c>
      <c r="Y367" s="41">
        <v>315550.20109676197</v>
      </c>
      <c r="Z367" s="40">
        <v>6399</v>
      </c>
      <c r="AA367" s="39">
        <v>3.068171023533</v>
      </c>
    </row>
    <row r="368" spans="1:27" s="22" customFormat="1" x14ac:dyDescent="0.25">
      <c r="A368" s="7" t="str">
        <f t="shared" si="5"/>
        <v>3532Providence Little Company of Mary Hospital337076275001 03370 CONSOLIDATED LABORATORY</v>
      </c>
      <c r="B368" s="7"/>
      <c r="C368" s="29" t="s">
        <v>924</v>
      </c>
      <c r="D368" s="29" t="s">
        <v>924</v>
      </c>
      <c r="E368" s="29" t="s">
        <v>924</v>
      </c>
      <c r="F368" s="29">
        <v>3532</v>
      </c>
      <c r="G368" s="4" t="s">
        <v>977</v>
      </c>
      <c r="H368" s="5">
        <v>3370</v>
      </c>
      <c r="I368" s="4" t="s">
        <v>182</v>
      </c>
      <c r="J368" s="4" t="s">
        <v>53</v>
      </c>
      <c r="K368" s="4" t="s">
        <v>996</v>
      </c>
      <c r="L368" s="4" t="s">
        <v>94</v>
      </c>
      <c r="M368" s="39">
        <v>10256.700000000001</v>
      </c>
      <c r="N368" s="39">
        <v>12616.24</v>
      </c>
      <c r="O368" s="38">
        <v>0.41670000000000001</v>
      </c>
      <c r="P368" s="39">
        <v>15.03</v>
      </c>
      <c r="Q368" s="39">
        <v>12.58</v>
      </c>
      <c r="R368" s="38">
        <v>1</v>
      </c>
      <c r="S368" s="40">
        <v>13</v>
      </c>
      <c r="T368" s="39">
        <v>10.73</v>
      </c>
      <c r="U368" s="39">
        <v>11.01</v>
      </c>
      <c r="V368" s="39">
        <v>11.65</v>
      </c>
      <c r="W368" s="52">
        <v>0.91500000000000004</v>
      </c>
      <c r="X368" s="39">
        <v>83.4</v>
      </c>
      <c r="Y368" s="41">
        <v>750394.62764559698</v>
      </c>
      <c r="Z368" s="40">
        <v>22139</v>
      </c>
      <c r="AA368" s="39">
        <v>10.6145911621447</v>
      </c>
    </row>
    <row r="369" spans="1:27" s="22" customFormat="1" x14ac:dyDescent="0.25">
      <c r="A369" s="7" t="str">
        <f t="shared" si="5"/>
        <v>3532Providence Little Company of Mary Hospital341176276300 03411 RADIOLOGY</v>
      </c>
      <c r="B369" s="7"/>
      <c r="C369" s="29" t="s">
        <v>924</v>
      </c>
      <c r="D369" s="29" t="s">
        <v>924</v>
      </c>
      <c r="E369" s="29" t="s">
        <v>924</v>
      </c>
      <c r="F369" s="29">
        <v>3532</v>
      </c>
      <c r="G369" s="43" t="s">
        <v>977</v>
      </c>
      <c r="H369" s="42">
        <v>3411</v>
      </c>
      <c r="I369" s="43" t="s">
        <v>117</v>
      </c>
      <c r="J369" s="43" t="s">
        <v>57</v>
      </c>
      <c r="K369" s="43" t="s">
        <v>999</v>
      </c>
      <c r="L369" s="43" t="s">
        <v>99</v>
      </c>
      <c r="M369" s="46">
        <v>53232.33</v>
      </c>
      <c r="N369" s="46">
        <v>59768.811699999998</v>
      </c>
      <c r="O369" s="45">
        <v>0.61539999999999995</v>
      </c>
      <c r="P369" s="46">
        <v>0.86</v>
      </c>
      <c r="Q369" s="46">
        <f>46480.48/N369</f>
        <v>0.77767114115136415</v>
      </c>
      <c r="R369" s="45">
        <v>1</v>
      </c>
      <c r="S369" s="47">
        <v>14</v>
      </c>
      <c r="T369" s="46">
        <v>0.67</v>
      </c>
      <c r="U369" s="46">
        <v>0.78</v>
      </c>
      <c r="V369" s="46">
        <v>0.81</v>
      </c>
      <c r="W369" s="138">
        <v>0.9224</v>
      </c>
      <c r="X369" s="46">
        <v>33.5</v>
      </c>
      <c r="Y369" s="48">
        <f>Z369*26.85</f>
        <v>-4051.7513368385735</v>
      </c>
      <c r="Z369" s="47">
        <f>SUM((Q369-U369)*N369)/W369</f>
        <v>-150.90321552471408</v>
      </c>
      <c r="AA369" s="46">
        <f>+Z369/2085.7</f>
        <v>-7.2351352315632209E-2</v>
      </c>
    </row>
    <row r="370" spans="1:27" s="22" customFormat="1" x14ac:dyDescent="0.25">
      <c r="A370" s="7" t="str">
        <f t="shared" si="5"/>
        <v>3532Providence Little Company of Mary Hospital637076286701 06370 VOLUNTEERS</v>
      </c>
      <c r="B370" s="7"/>
      <c r="C370" s="29" t="s">
        <v>924</v>
      </c>
      <c r="D370" s="29" t="s">
        <v>924</v>
      </c>
      <c r="E370" s="29" t="s">
        <v>924</v>
      </c>
      <c r="F370" s="29">
        <v>3532</v>
      </c>
      <c r="G370" s="4" t="s">
        <v>977</v>
      </c>
      <c r="H370" s="5">
        <v>6370</v>
      </c>
      <c r="I370" s="4" t="s">
        <v>15</v>
      </c>
      <c r="J370" s="4" t="s">
        <v>16</v>
      </c>
      <c r="K370" s="4" t="s">
        <v>998</v>
      </c>
      <c r="L370" s="4" t="s">
        <v>17</v>
      </c>
      <c r="M370" s="39">
        <v>766.14</v>
      </c>
      <c r="N370" s="39">
        <v>853.95</v>
      </c>
      <c r="O370" s="38">
        <v>0.61539999999999995</v>
      </c>
      <c r="P370" s="39">
        <v>6.72</v>
      </c>
      <c r="Q370" s="39">
        <v>6.9</v>
      </c>
      <c r="R370" s="38">
        <v>0.64290000000000003</v>
      </c>
      <c r="S370" s="40">
        <v>14</v>
      </c>
      <c r="T370" s="39">
        <v>5.1100000000000003</v>
      </c>
      <c r="U370" s="39">
        <v>5.84</v>
      </c>
      <c r="V370" s="39">
        <v>6.14</v>
      </c>
      <c r="W370" s="52">
        <v>0.93600000000000005</v>
      </c>
      <c r="X370" s="39">
        <v>3.03</v>
      </c>
      <c r="Y370" s="41">
        <v>20702.120596091401</v>
      </c>
      <c r="Z370" s="40">
        <v>992</v>
      </c>
      <c r="AA370" s="39">
        <v>0.47543122090228501</v>
      </c>
    </row>
    <row r="371" spans="1:27" s="22" customFormat="1" x14ac:dyDescent="0.25">
      <c r="A371" s="7" t="str">
        <f t="shared" si="5"/>
        <v>3532Providence Little Company of Mary Hospital581076283600 05810 PATIENT FAMILY SERVICES</v>
      </c>
      <c r="B371" s="7"/>
      <c r="C371" s="29" t="s">
        <v>924</v>
      </c>
      <c r="D371" s="29" t="s">
        <v>924</v>
      </c>
      <c r="E371" s="29" t="s">
        <v>924</v>
      </c>
      <c r="F371" s="29">
        <v>3532</v>
      </c>
      <c r="G371" s="4" t="s">
        <v>977</v>
      </c>
      <c r="H371" s="5">
        <v>5810</v>
      </c>
      <c r="I371" s="4" t="s">
        <v>133</v>
      </c>
      <c r="J371" s="4" t="s">
        <v>26</v>
      </c>
      <c r="K371" s="4" t="s">
        <v>1002</v>
      </c>
      <c r="L371" s="4" t="s">
        <v>134</v>
      </c>
      <c r="M371" s="39">
        <v>6000</v>
      </c>
      <c r="N371" s="39">
        <v>20430</v>
      </c>
      <c r="O371" s="38">
        <v>0.57140000000000002</v>
      </c>
      <c r="P371" s="39">
        <v>2.75</v>
      </c>
      <c r="Q371" s="39">
        <v>0.89</v>
      </c>
      <c r="R371" s="38">
        <v>0.30769999999999997</v>
      </c>
      <c r="S371" s="40">
        <v>15</v>
      </c>
      <c r="T371" s="39">
        <v>0.87</v>
      </c>
      <c r="U371" s="39">
        <v>0.98</v>
      </c>
      <c r="V371" s="39">
        <v>1.0900000000000001</v>
      </c>
      <c r="W371" s="52">
        <v>0.92149999999999999</v>
      </c>
      <c r="X371" s="39">
        <v>9.52</v>
      </c>
      <c r="Y371" s="41">
        <v>-74967.281208312997</v>
      </c>
      <c r="Z371" s="40">
        <v>-1871</v>
      </c>
      <c r="AA371" s="39">
        <v>-0.89711027558640299</v>
      </c>
    </row>
    <row r="372" spans="1:27" s="22" customFormat="1" x14ac:dyDescent="0.25">
      <c r="A372" s="7" t="str">
        <f t="shared" si="5"/>
        <v>3532Providence Little Company of Mary Hospital126076262900 01260 PEDIATRIC ACUTE</v>
      </c>
      <c r="B372" s="7"/>
      <c r="C372" s="29" t="s">
        <v>924</v>
      </c>
      <c r="D372" s="29" t="s">
        <v>924</v>
      </c>
      <c r="E372" s="29" t="s">
        <v>924</v>
      </c>
      <c r="F372" s="29">
        <v>3532</v>
      </c>
      <c r="G372" s="4" t="s">
        <v>977</v>
      </c>
      <c r="H372" s="5">
        <v>1260</v>
      </c>
      <c r="I372" s="4" t="s">
        <v>173</v>
      </c>
      <c r="J372" s="4" t="s">
        <v>23</v>
      </c>
      <c r="K372" s="4" t="s">
        <v>1001</v>
      </c>
      <c r="L372" s="4" t="s">
        <v>74</v>
      </c>
      <c r="M372" s="39">
        <v>1407</v>
      </c>
      <c r="N372" s="39">
        <v>1308</v>
      </c>
      <c r="O372" s="38">
        <v>0.5</v>
      </c>
      <c r="P372" s="39">
        <v>15.81</v>
      </c>
      <c r="Q372" s="39">
        <v>15.64</v>
      </c>
      <c r="R372" s="38">
        <v>0.16669999999999999</v>
      </c>
      <c r="S372" s="40">
        <v>15</v>
      </c>
      <c r="T372" s="39">
        <v>15.74</v>
      </c>
      <c r="U372" s="39">
        <v>16.05</v>
      </c>
      <c r="V372" s="39">
        <v>17.03</v>
      </c>
      <c r="W372" s="52">
        <v>0.83799999999999997</v>
      </c>
      <c r="X372" s="39">
        <v>11.74</v>
      </c>
      <c r="Y372" s="41">
        <v>-28241.988642374701</v>
      </c>
      <c r="Z372" s="40">
        <v>-566</v>
      </c>
      <c r="AA372" s="39">
        <v>-0.27121444893017199</v>
      </c>
    </row>
    <row r="373" spans="1:27" s="22" customFormat="1" x14ac:dyDescent="0.25">
      <c r="A373" s="7" t="str">
        <f t="shared" si="5"/>
        <v>3532Providence Little Company of Mary Hospital339076275401 03390 CONSOLIDATED BLOOD BANK</v>
      </c>
      <c r="B373" s="7"/>
      <c r="C373" s="29" t="s">
        <v>924</v>
      </c>
      <c r="D373" s="29" t="s">
        <v>924</v>
      </c>
      <c r="E373" s="29" t="s">
        <v>924</v>
      </c>
      <c r="F373" s="29">
        <v>3532</v>
      </c>
      <c r="G373" s="4" t="s">
        <v>977</v>
      </c>
      <c r="H373" s="5">
        <v>3390</v>
      </c>
      <c r="I373" s="4" t="s">
        <v>831</v>
      </c>
      <c r="J373" s="4" t="s">
        <v>53</v>
      </c>
      <c r="K373" s="4" t="s">
        <v>1000</v>
      </c>
      <c r="L373" s="4" t="s">
        <v>94</v>
      </c>
      <c r="M373" s="39">
        <v>685.05</v>
      </c>
      <c r="N373" s="39">
        <v>718.87</v>
      </c>
      <c r="O373" s="38">
        <v>0.57140000000000002</v>
      </c>
      <c r="P373" s="39">
        <v>24.52</v>
      </c>
      <c r="Q373" s="39">
        <v>23.73</v>
      </c>
      <c r="R373" s="38">
        <v>0.69230000000000003</v>
      </c>
      <c r="S373" s="40">
        <v>15</v>
      </c>
      <c r="T373" s="39">
        <v>15.2</v>
      </c>
      <c r="U373" s="39">
        <v>17.02</v>
      </c>
      <c r="V373" s="39">
        <v>19.940000000000001</v>
      </c>
      <c r="W373" s="52">
        <v>0.88790000000000002</v>
      </c>
      <c r="X373" s="39">
        <v>9.24</v>
      </c>
      <c r="Y373" s="41">
        <v>228549.370756677</v>
      </c>
      <c r="Z373" s="40">
        <v>5492</v>
      </c>
      <c r="AA373" s="39">
        <v>2.6331565150930998</v>
      </c>
    </row>
    <row r="374" spans="1:27" s="22" customFormat="1" x14ac:dyDescent="0.25">
      <c r="A374" s="7" t="str">
        <f t="shared" si="5"/>
        <v>3532Providence Little Company of Mary Hospital183076287235 01830 CENTRAL PATIENT MONITORING</v>
      </c>
      <c r="B374" s="7"/>
      <c r="C374" s="29" t="s">
        <v>924</v>
      </c>
      <c r="D374" s="29" t="s">
        <v>924</v>
      </c>
      <c r="E374" s="29" t="s">
        <v>924</v>
      </c>
      <c r="F374" s="29">
        <v>3532</v>
      </c>
      <c r="G374" s="4" t="s">
        <v>977</v>
      </c>
      <c r="H374" s="5">
        <v>1830</v>
      </c>
      <c r="I374" s="4" t="s">
        <v>22</v>
      </c>
      <c r="J374" s="4" t="s">
        <v>23</v>
      </c>
      <c r="K374" s="4" t="s">
        <v>1005</v>
      </c>
      <c r="L374" s="4" t="s">
        <v>24</v>
      </c>
      <c r="M374" s="39">
        <v>35500</v>
      </c>
      <c r="N374" s="39">
        <v>36749</v>
      </c>
      <c r="O374" s="38">
        <v>0.66669999999999996</v>
      </c>
      <c r="P374" s="39">
        <v>0.94</v>
      </c>
      <c r="Q374" s="39">
        <v>0.48</v>
      </c>
      <c r="R374" s="38">
        <v>0.1333</v>
      </c>
      <c r="S374" s="40">
        <v>16</v>
      </c>
      <c r="T374" s="39">
        <v>0.55000000000000004</v>
      </c>
      <c r="U374" s="39">
        <v>0.59</v>
      </c>
      <c r="V374" s="39">
        <v>0.64</v>
      </c>
      <c r="W374" s="52">
        <v>0.91059999999999997</v>
      </c>
      <c r="X374" s="39">
        <v>9.36</v>
      </c>
      <c r="Y374" s="41">
        <v>-84807.308926082696</v>
      </c>
      <c r="Z374" s="40">
        <v>-4288</v>
      </c>
      <c r="AA374" s="39">
        <v>-2.05610751534818</v>
      </c>
    </row>
    <row r="375" spans="1:27" s="22" customFormat="1" x14ac:dyDescent="0.25">
      <c r="A375" s="7" t="str">
        <f t="shared" si="5"/>
        <v>3532Providence Little Company of Mary Hospital424176275930 04241 CARDIAC REHAB</v>
      </c>
      <c r="B375" s="7"/>
      <c r="C375" s="29" t="s">
        <v>924</v>
      </c>
      <c r="D375" s="29" t="s">
        <v>924</v>
      </c>
      <c r="E375" s="29" t="s">
        <v>924</v>
      </c>
      <c r="F375" s="29">
        <v>3532</v>
      </c>
      <c r="G375" s="4" t="s">
        <v>977</v>
      </c>
      <c r="H375" s="5">
        <v>4241</v>
      </c>
      <c r="I375" s="4" t="s">
        <v>178</v>
      </c>
      <c r="J375" s="4" t="s">
        <v>60</v>
      </c>
      <c r="K375" s="4" t="s">
        <v>1004</v>
      </c>
      <c r="L375" s="4" t="s">
        <v>77</v>
      </c>
      <c r="M375" s="39">
        <v>5118</v>
      </c>
      <c r="N375" s="39">
        <v>15612</v>
      </c>
      <c r="O375" s="7"/>
      <c r="P375" s="7"/>
      <c r="Q375" s="39">
        <v>0.83</v>
      </c>
      <c r="R375" s="7"/>
      <c r="S375" s="40">
        <v>16</v>
      </c>
      <c r="T375" s="39">
        <v>0.54</v>
      </c>
      <c r="U375" s="39">
        <v>0.62</v>
      </c>
      <c r="V375" s="39">
        <v>0.68</v>
      </c>
      <c r="W375" s="52">
        <v>0.84430000000000005</v>
      </c>
      <c r="X375" s="39">
        <v>7.41</v>
      </c>
      <c r="Y375" s="41">
        <v>171142.74539133799</v>
      </c>
      <c r="Z375" s="40">
        <v>3991</v>
      </c>
      <c r="AA375" s="39">
        <v>1.9133054791341799</v>
      </c>
    </row>
    <row r="376" spans="1:27" s="22" customFormat="1" x14ac:dyDescent="0.25">
      <c r="A376" s="7" t="str">
        <f t="shared" si="5"/>
        <v>3532Providence Little Company of Mary Hospital591076284200 05910 SECURITY</v>
      </c>
      <c r="B376" s="7"/>
      <c r="C376" s="29" t="s">
        <v>924</v>
      </c>
      <c r="D376" s="29" t="s">
        <v>924</v>
      </c>
      <c r="E376" s="29" t="s">
        <v>924</v>
      </c>
      <c r="F376" s="29">
        <v>3532</v>
      </c>
      <c r="G376" s="4" t="s">
        <v>977</v>
      </c>
      <c r="H376" s="5">
        <v>5910</v>
      </c>
      <c r="I376" s="4" t="s">
        <v>139</v>
      </c>
      <c r="J376" s="4" t="s">
        <v>136</v>
      </c>
      <c r="K376" s="4" t="s">
        <v>1003</v>
      </c>
      <c r="L376" s="4" t="s">
        <v>140</v>
      </c>
      <c r="M376" s="39">
        <v>1200</v>
      </c>
      <c r="N376" s="39">
        <v>1446.04</v>
      </c>
      <c r="O376" s="38">
        <v>0.4</v>
      </c>
      <c r="P376" s="39">
        <v>35.479999999999997</v>
      </c>
      <c r="Q376" s="39">
        <v>30.96</v>
      </c>
      <c r="R376" s="38">
        <v>1</v>
      </c>
      <c r="S376" s="40">
        <v>16</v>
      </c>
      <c r="T376" s="39">
        <v>11.36</v>
      </c>
      <c r="U376" s="39">
        <v>12.3</v>
      </c>
      <c r="V376" s="39">
        <v>15.39</v>
      </c>
      <c r="W376" s="52">
        <v>0.91410000000000002</v>
      </c>
      <c r="X376" s="39">
        <v>23.55</v>
      </c>
      <c r="Y376" s="41">
        <v>966677.18171486806</v>
      </c>
      <c r="Z376" s="40">
        <v>29661</v>
      </c>
      <c r="AA376" s="39">
        <v>14.220897433866</v>
      </c>
    </row>
    <row r="377" spans="1:27" s="22" customFormat="1" x14ac:dyDescent="0.25">
      <c r="A377" s="7" t="str">
        <f t="shared" si="5"/>
        <v>3532Providence Little Company of Mary Hospital423076275701 04230 ANGIO CENTER (72301)</v>
      </c>
      <c r="B377" s="7"/>
      <c r="C377" s="29" t="s">
        <v>924</v>
      </c>
      <c r="D377" s="29" t="s">
        <v>924</v>
      </c>
      <c r="E377" s="29" t="s">
        <v>924</v>
      </c>
      <c r="F377" s="29">
        <v>3532</v>
      </c>
      <c r="G377" s="4" t="s">
        <v>977</v>
      </c>
      <c r="H377" s="5">
        <v>4230</v>
      </c>
      <c r="I377" s="4" t="s">
        <v>96</v>
      </c>
      <c r="J377" s="4" t="s">
        <v>60</v>
      </c>
      <c r="K377" s="4" t="s">
        <v>1006</v>
      </c>
      <c r="L377" s="4" t="s">
        <v>97</v>
      </c>
      <c r="M377" s="39">
        <v>0</v>
      </c>
      <c r="N377" s="39">
        <v>204814</v>
      </c>
      <c r="O377" s="38">
        <v>0.8125</v>
      </c>
      <c r="P377" s="7"/>
      <c r="Q377" s="39">
        <v>0.28999999999999998</v>
      </c>
      <c r="R377" s="38">
        <v>0.86670000000000003</v>
      </c>
      <c r="S377" s="40">
        <v>17</v>
      </c>
      <c r="T377" s="39">
        <v>0.16</v>
      </c>
      <c r="U377" s="39">
        <v>0.16</v>
      </c>
      <c r="V377" s="39">
        <v>0.19</v>
      </c>
      <c r="W377" s="52">
        <v>0.878</v>
      </c>
      <c r="X377" s="39">
        <v>32.06</v>
      </c>
      <c r="Y377" s="41">
        <v>1381962.3214936501</v>
      </c>
      <c r="Z377" s="40">
        <v>29544</v>
      </c>
      <c r="AA377" s="39">
        <v>14.164935626840901</v>
      </c>
    </row>
    <row r="378" spans="1:27" s="22" customFormat="1" x14ac:dyDescent="0.25">
      <c r="A378" s="7" t="str">
        <f t="shared" si="5"/>
        <v>3532Providence Little Company of Mary Hospital486176277800 04861 SPEECH THERAPY</v>
      </c>
      <c r="B378" s="7"/>
      <c r="C378" s="29" t="s">
        <v>924</v>
      </c>
      <c r="D378" s="29" t="s">
        <v>924</v>
      </c>
      <c r="E378" s="29" t="s">
        <v>924</v>
      </c>
      <c r="F378" s="29">
        <v>3532</v>
      </c>
      <c r="G378" s="4" t="s">
        <v>977</v>
      </c>
      <c r="H378" s="5">
        <v>4861</v>
      </c>
      <c r="I378" s="4" t="s">
        <v>125</v>
      </c>
      <c r="J378" s="4" t="s">
        <v>41</v>
      </c>
      <c r="K378" s="4" t="s">
        <v>1009</v>
      </c>
      <c r="L378" s="4" t="s">
        <v>79</v>
      </c>
      <c r="M378" s="39">
        <v>265.91000000000003</v>
      </c>
      <c r="N378" s="39">
        <v>338.64</v>
      </c>
      <c r="O378" s="38">
        <v>0.63160000000000005</v>
      </c>
      <c r="P378" s="39">
        <v>28.78</v>
      </c>
      <c r="Q378" s="39">
        <v>25.55</v>
      </c>
      <c r="R378" s="38">
        <v>0.44440000000000002</v>
      </c>
      <c r="S378" s="40">
        <v>20</v>
      </c>
      <c r="T378" s="39">
        <v>22.89</v>
      </c>
      <c r="U378" s="39">
        <v>23.54</v>
      </c>
      <c r="V378" s="39">
        <v>25.8</v>
      </c>
      <c r="W378" s="52">
        <v>0.90239999999999998</v>
      </c>
      <c r="X378" s="39">
        <v>4.6100000000000003</v>
      </c>
      <c r="Y378" s="41">
        <v>37294.490972600899</v>
      </c>
      <c r="Z378" s="40">
        <v>781</v>
      </c>
      <c r="AA378" s="39">
        <v>0.37460630085924501</v>
      </c>
    </row>
    <row r="379" spans="1:27" s="22" customFormat="1" x14ac:dyDescent="0.25">
      <c r="A379" s="7" t="str">
        <f t="shared" si="5"/>
        <v>3532Providence Little Company of Mary Hospital441176277102 - 4440 - LCMH OP Pharmacy</v>
      </c>
      <c r="B379" s="7"/>
      <c r="C379" s="29" t="s">
        <v>924</v>
      </c>
      <c r="D379" s="29" t="s">
        <v>924</v>
      </c>
      <c r="E379" s="29" t="s">
        <v>924</v>
      </c>
      <c r="F379" s="29">
        <v>3532</v>
      </c>
      <c r="G379" s="43" t="s">
        <v>977</v>
      </c>
      <c r="H379" s="42">
        <v>4411</v>
      </c>
      <c r="I379" s="43" t="s">
        <v>278</v>
      </c>
      <c r="J379" s="43" t="s">
        <v>37</v>
      </c>
      <c r="K379" s="43" t="s">
        <v>1008</v>
      </c>
      <c r="L379" s="43" t="s">
        <v>155</v>
      </c>
      <c r="M379" s="71"/>
      <c r="N379" s="46">
        <v>64372</v>
      </c>
      <c r="O379" s="45"/>
      <c r="P379" s="71"/>
      <c r="Q379" s="46">
        <f>16386.16/N379</f>
        <v>0.25455415397999132</v>
      </c>
      <c r="R379" s="45"/>
      <c r="S379" s="47">
        <v>20</v>
      </c>
      <c r="T379" s="46">
        <v>0.16</v>
      </c>
      <c r="U379" s="46">
        <v>0.2</v>
      </c>
      <c r="V379" s="46">
        <v>0.22</v>
      </c>
      <c r="W379" s="138">
        <v>0.94330000000000003</v>
      </c>
      <c r="X379" s="46">
        <v>8.34</v>
      </c>
      <c r="Y379" s="48">
        <f>Z379*35.73</f>
        <v>133017.26364889217</v>
      </c>
      <c r="Z379" s="47">
        <f>SUM((Q379-U379)*N379)/W379</f>
        <v>3722.845330223683</v>
      </c>
      <c r="AA379" s="46">
        <f>+Z379/2085.7</f>
        <v>1.7849380688611418</v>
      </c>
    </row>
    <row r="380" spans="1:27" s="22" customFormat="1" x14ac:dyDescent="0.25">
      <c r="A380" s="7" t="str">
        <f t="shared" si="5"/>
        <v>3532Providence Little Company of Mary Hospital621076287401 06210 EDUCATION-SIMULATION (87405)</v>
      </c>
      <c r="B380" s="7"/>
      <c r="C380" s="29" t="s">
        <v>924</v>
      </c>
      <c r="D380" s="29" t="s">
        <v>924</v>
      </c>
      <c r="E380" s="29" t="s">
        <v>924</v>
      </c>
      <c r="F380" s="29">
        <v>3532</v>
      </c>
      <c r="G380" s="4" t="s">
        <v>977</v>
      </c>
      <c r="H380" s="5">
        <v>6210</v>
      </c>
      <c r="I380" s="4" t="s">
        <v>28</v>
      </c>
      <c r="J380" s="4" t="s">
        <v>21</v>
      </c>
      <c r="K380" s="4" t="s">
        <v>1007</v>
      </c>
      <c r="L380" s="4" t="s">
        <v>18</v>
      </c>
      <c r="M380" s="39">
        <v>29637.5</v>
      </c>
      <c r="N380" s="39">
        <v>33654.39</v>
      </c>
      <c r="O380" s="38">
        <v>0.52629999999999999</v>
      </c>
      <c r="P380" s="39">
        <v>0.72</v>
      </c>
      <c r="Q380" s="39">
        <v>0.48</v>
      </c>
      <c r="R380" s="38">
        <v>0.55559999999999998</v>
      </c>
      <c r="S380" s="40">
        <v>20</v>
      </c>
      <c r="T380" s="39">
        <v>0.28999999999999998</v>
      </c>
      <c r="U380" s="39">
        <v>0.37</v>
      </c>
      <c r="V380" s="39">
        <v>0.43</v>
      </c>
      <c r="W380" s="52">
        <v>0.86929999999999996</v>
      </c>
      <c r="X380" s="39">
        <v>8.94</v>
      </c>
      <c r="Y380" s="41">
        <v>185913.72952250901</v>
      </c>
      <c r="Z380" s="40">
        <v>4322</v>
      </c>
      <c r="AA380" s="39">
        <v>2.0721322049588502</v>
      </c>
    </row>
    <row r="381" spans="1:27" s="22" customFormat="1" x14ac:dyDescent="0.25">
      <c r="A381" s="7" t="str">
        <f t="shared" si="5"/>
        <v>3532Providence Little Company of Mary Hospital111076261740 61745 - 1110 - LCMH 4 MS ONC TELE ONC</v>
      </c>
      <c r="B381" s="7"/>
      <c r="C381" s="29" t="s">
        <v>924</v>
      </c>
      <c r="D381" s="29" t="s">
        <v>924</v>
      </c>
      <c r="E381" s="29" t="s">
        <v>924</v>
      </c>
      <c r="F381" s="29">
        <v>3532</v>
      </c>
      <c r="G381" s="4" t="s">
        <v>977</v>
      </c>
      <c r="H381" s="5">
        <v>1110</v>
      </c>
      <c r="I381" s="4" t="s">
        <v>111</v>
      </c>
      <c r="J381" s="4" t="s">
        <v>23</v>
      </c>
      <c r="K381" s="4" t="s">
        <v>1011</v>
      </c>
      <c r="L381" s="4" t="s">
        <v>74</v>
      </c>
      <c r="M381" s="7"/>
      <c r="N381" s="39">
        <v>17648</v>
      </c>
      <c r="O381" s="38">
        <v>0.95</v>
      </c>
      <c r="P381" s="7"/>
      <c r="Q381" s="39">
        <v>10.96</v>
      </c>
      <c r="R381" s="38">
        <v>0.35</v>
      </c>
      <c r="S381" s="40">
        <v>21</v>
      </c>
      <c r="T381" s="39">
        <v>10.76</v>
      </c>
      <c r="U381" s="39">
        <v>10.96</v>
      </c>
      <c r="V381" s="39">
        <v>11.23</v>
      </c>
      <c r="W381" s="52">
        <v>0.91759999999999997</v>
      </c>
      <c r="X381" s="39">
        <v>101.33</v>
      </c>
      <c r="Y381" s="41">
        <v>25373.987906454498</v>
      </c>
      <c r="Z381" s="40">
        <v>553</v>
      </c>
      <c r="AA381" s="39">
        <v>0.264994676039294</v>
      </c>
    </row>
    <row r="382" spans="1:27" s="22" customFormat="1" x14ac:dyDescent="0.25">
      <c r="A382" s="7" t="str">
        <f t="shared" si="5"/>
        <v>3532Providence Little Company of Mary Hospital511276283200 05112 DIETARY (83300-83400)</v>
      </c>
      <c r="B382" s="7"/>
      <c r="C382" s="29" t="s">
        <v>924</v>
      </c>
      <c r="D382" s="29" t="s">
        <v>924</v>
      </c>
      <c r="E382" s="29" t="s">
        <v>924</v>
      </c>
      <c r="F382" s="29">
        <v>3532</v>
      </c>
      <c r="G382" s="4" t="s">
        <v>977</v>
      </c>
      <c r="H382" s="5">
        <v>5112</v>
      </c>
      <c r="I382" s="4" t="s">
        <v>281</v>
      </c>
      <c r="J382" s="4" t="s">
        <v>65</v>
      </c>
      <c r="K382" s="4" t="s">
        <v>1012</v>
      </c>
      <c r="L382" s="4" t="s">
        <v>282</v>
      </c>
      <c r="M382" s="39">
        <v>1758845.62</v>
      </c>
      <c r="N382" s="39">
        <v>1798294.08</v>
      </c>
      <c r="O382" s="7"/>
      <c r="P382" s="39">
        <v>0.08</v>
      </c>
      <c r="Q382" s="39">
        <f>135518/N382</f>
        <v>7.5359198201886982E-2</v>
      </c>
      <c r="R382" s="7"/>
      <c r="S382" s="40">
        <v>21</v>
      </c>
      <c r="T382" s="39">
        <v>7.0000000000000007E-2</v>
      </c>
      <c r="U382" s="39">
        <v>0.08</v>
      </c>
      <c r="V382" s="39">
        <v>0.09</v>
      </c>
      <c r="W382" s="52">
        <v>0.92100000000000004</v>
      </c>
      <c r="X382" s="39">
        <v>72.3</v>
      </c>
      <c r="Y382" s="56">
        <f>Z382*16.12</f>
        <v>-146069.36543756785</v>
      </c>
      <c r="Z382" s="53">
        <f>SUM((Q382-U382)*N382)/W382</f>
        <v>-9061.375027144406</v>
      </c>
      <c r="AA382" s="53">
        <f>+Z382/2085.7</f>
        <v>-4.3445246330461744</v>
      </c>
    </row>
    <row r="383" spans="1:27" s="22" customFormat="1" x14ac:dyDescent="0.25">
      <c r="A383" s="7" t="str">
        <f t="shared" si="5"/>
        <v>3532Providence Little Company of Mary Hospital303076274300 03030 AMBULATORY SURGERY</v>
      </c>
      <c r="B383" s="7"/>
      <c r="C383" s="29" t="s">
        <v>924</v>
      </c>
      <c r="D383" s="29" t="s">
        <v>924</v>
      </c>
      <c r="E383" s="29" t="s">
        <v>924</v>
      </c>
      <c r="F383" s="29">
        <v>3532</v>
      </c>
      <c r="G383" s="4" t="s">
        <v>977</v>
      </c>
      <c r="H383" s="5">
        <v>3030</v>
      </c>
      <c r="I383" s="4" t="s">
        <v>80</v>
      </c>
      <c r="J383" s="4" t="s">
        <v>47</v>
      </c>
      <c r="K383" s="4" t="s">
        <v>1010</v>
      </c>
      <c r="L383" s="4" t="s">
        <v>81</v>
      </c>
      <c r="M383" s="39">
        <v>4822.33</v>
      </c>
      <c r="N383" s="39">
        <v>5688.3</v>
      </c>
      <c r="O383" s="38">
        <v>0.05</v>
      </c>
      <c r="P383" s="39">
        <v>5.68</v>
      </c>
      <c r="Q383" s="39">
        <v>5.83</v>
      </c>
      <c r="R383" s="38">
        <v>1</v>
      </c>
      <c r="S383" s="40">
        <v>21</v>
      </c>
      <c r="T383" s="39">
        <v>3.59</v>
      </c>
      <c r="U383" s="39">
        <v>3.96</v>
      </c>
      <c r="V383" s="39">
        <v>4.25</v>
      </c>
      <c r="W383" s="52">
        <v>0.83699999999999997</v>
      </c>
      <c r="X383" s="39">
        <v>19.07</v>
      </c>
      <c r="Y383" s="41">
        <v>607566.17747640796</v>
      </c>
      <c r="Z383" s="40">
        <v>12862</v>
      </c>
      <c r="AA383" s="39">
        <v>6.1667123283433902</v>
      </c>
    </row>
    <row r="384" spans="1:27" s="22" customFormat="1" x14ac:dyDescent="0.25">
      <c r="A384" s="7" t="str">
        <f t="shared" si="5"/>
        <v>3532Providence Little Company of Mary Hospital4490Pharmacy Administration &amp; Support (U,N)</v>
      </c>
      <c r="B384" s="7"/>
      <c r="C384" s="29" t="s">
        <v>924</v>
      </c>
      <c r="D384" s="29" t="s">
        <v>924</v>
      </c>
      <c r="E384" s="29" t="s">
        <v>924</v>
      </c>
      <c r="F384" s="29">
        <v>3532</v>
      </c>
      <c r="G384" s="4" t="s">
        <v>977</v>
      </c>
      <c r="H384" s="5">
        <v>4490</v>
      </c>
      <c r="I384" s="4" t="s">
        <v>36</v>
      </c>
      <c r="J384" s="4" t="s">
        <v>37</v>
      </c>
      <c r="K384" s="4" t="s">
        <v>1014</v>
      </c>
      <c r="L384" s="4" t="s">
        <v>39</v>
      </c>
      <c r="M384" s="39">
        <v>40077.06</v>
      </c>
      <c r="N384" s="39">
        <v>45542.52</v>
      </c>
      <c r="O384" s="38">
        <v>0.54</v>
      </c>
      <c r="P384" s="39">
        <v>0.14000000000000001</v>
      </c>
      <c r="Q384" s="39">
        <v>0.16</v>
      </c>
      <c r="R384" s="38">
        <v>0.2989</v>
      </c>
      <c r="S384" s="40">
        <v>23</v>
      </c>
      <c r="T384" s="39">
        <v>0.15</v>
      </c>
      <c r="U384" s="39">
        <v>0.18</v>
      </c>
      <c r="V384" s="39">
        <v>0.2</v>
      </c>
      <c r="W384" s="52">
        <v>0.89049999999999996</v>
      </c>
      <c r="X384" s="39">
        <v>4.03</v>
      </c>
      <c r="Y384" s="41">
        <v>-56326.717976714899</v>
      </c>
      <c r="Z384" s="40">
        <v>-800</v>
      </c>
      <c r="AA384" s="39">
        <v>-0.38371003214127603</v>
      </c>
    </row>
    <row r="385" spans="1:27" s="22" customFormat="1" x14ac:dyDescent="0.25">
      <c r="A385" s="7" t="str">
        <f t="shared" si="5"/>
        <v>3532Providence Little Company of Mary Hospital5925Patient Transport (U,N)</v>
      </c>
      <c r="B385" s="7"/>
      <c r="C385" s="29" t="s">
        <v>924</v>
      </c>
      <c r="D385" s="29" t="s">
        <v>924</v>
      </c>
      <c r="E385" s="29" t="s">
        <v>924</v>
      </c>
      <c r="F385" s="29">
        <v>3532</v>
      </c>
      <c r="G385" s="43" t="s">
        <v>977</v>
      </c>
      <c r="H385" s="42">
        <v>5925</v>
      </c>
      <c r="I385" s="43" t="s">
        <v>135</v>
      </c>
      <c r="J385" s="43" t="s">
        <v>136</v>
      </c>
      <c r="K385" s="43" t="s">
        <v>1013</v>
      </c>
      <c r="L385" s="43" t="s">
        <v>137</v>
      </c>
      <c r="M385" s="46">
        <v>720</v>
      </c>
      <c r="N385" s="46">
        <v>600</v>
      </c>
      <c r="O385" s="71"/>
      <c r="P385" s="46">
        <v>43.18</v>
      </c>
      <c r="Q385" s="144">
        <f>30703.88/N385</f>
        <v>51.173133333333332</v>
      </c>
      <c r="R385" s="71"/>
      <c r="S385" s="47">
        <v>23</v>
      </c>
      <c r="T385" s="46">
        <v>36.36</v>
      </c>
      <c r="U385" s="46">
        <v>36.76</v>
      </c>
      <c r="V385" s="46">
        <v>41.7</v>
      </c>
      <c r="W385" s="138">
        <v>0.93879999999999997</v>
      </c>
      <c r="X385" s="46">
        <v>7.69</v>
      </c>
      <c r="Y385" s="48">
        <f>Z385*22.78</f>
        <v>209840.97400937372</v>
      </c>
      <c r="Z385" s="47">
        <f>SUM((Q385-U385)*N385)/W385</f>
        <v>9211.6318704729456</v>
      </c>
      <c r="AA385" s="46">
        <f>+Z385/2085.7</f>
        <v>4.4165660787615408</v>
      </c>
    </row>
    <row r="386" spans="1:27" s="22" customFormat="1" x14ac:dyDescent="0.25">
      <c r="A386" s="7" t="str">
        <f t="shared" si="5"/>
        <v>3532Providence Little Company of Mary Hospital3399Laboratory Services Administration (U,N)</v>
      </c>
      <c r="B386" s="7"/>
      <c r="C386" s="29" t="s">
        <v>924</v>
      </c>
      <c r="D386" s="29" t="s">
        <v>924</v>
      </c>
      <c r="E386" s="29" t="s">
        <v>924</v>
      </c>
      <c r="F386" s="29">
        <v>3532</v>
      </c>
      <c r="G386" s="43" t="s">
        <v>977</v>
      </c>
      <c r="H386" s="42">
        <v>3399</v>
      </c>
      <c r="I386" s="43" t="s">
        <v>52</v>
      </c>
      <c r="J386" s="43" t="s">
        <v>53</v>
      </c>
      <c r="K386" s="43" t="s">
        <v>54</v>
      </c>
      <c r="L386" s="43" t="s">
        <v>55</v>
      </c>
      <c r="M386" s="46">
        <v>11285.12</v>
      </c>
      <c r="N386" s="46">
        <v>13740.54</v>
      </c>
      <c r="O386" s="71"/>
      <c r="P386" s="46">
        <v>0</v>
      </c>
      <c r="Q386" s="46">
        <f>32020.84/N386</f>
        <v>2.3303916731074614</v>
      </c>
      <c r="R386" s="45">
        <v>0.93420000000000003</v>
      </c>
      <c r="S386" s="47">
        <v>23</v>
      </c>
      <c r="T386" s="46">
        <v>0.99</v>
      </c>
      <c r="U386" s="46">
        <v>1.1100000000000001</v>
      </c>
      <c r="V386" s="46">
        <v>1.41</v>
      </c>
      <c r="W386" s="138">
        <v>0.9073</v>
      </c>
      <c r="X386" s="46">
        <v>16.97</v>
      </c>
      <c r="Y386" s="48">
        <f>Z386*35.34</f>
        <v>653158.63198941923</v>
      </c>
      <c r="Z386" s="47">
        <f>SUM((Q386-U386)*N386)/W386</f>
        <v>18482.134464895844</v>
      </c>
      <c r="AA386" s="46">
        <f>+Z386/2085.7</f>
        <v>8.8613580404160928</v>
      </c>
    </row>
    <row r="387" spans="1:27" s="22" customFormat="1" x14ac:dyDescent="0.25">
      <c r="A387" s="7" t="str">
        <f t="shared" ref="A387:A450" si="6">F387&amp;G387&amp;H387&amp;K387</f>
        <v>3532Providence Little Company of Mary Hospital582576287520 05825 PI-RISK (87541)</v>
      </c>
      <c r="B387" s="7"/>
      <c r="C387" s="29" t="s">
        <v>924</v>
      </c>
      <c r="D387" s="29" t="s">
        <v>924</v>
      </c>
      <c r="E387" s="29" t="s">
        <v>924</v>
      </c>
      <c r="F387" s="29">
        <v>3532</v>
      </c>
      <c r="G387" s="4" t="s">
        <v>977</v>
      </c>
      <c r="H387" s="5">
        <v>5825</v>
      </c>
      <c r="I387" s="4" t="s">
        <v>25</v>
      </c>
      <c r="J387" s="4" t="s">
        <v>26</v>
      </c>
      <c r="K387" s="4" t="s">
        <v>1015</v>
      </c>
      <c r="L387" s="4" t="s">
        <v>27</v>
      </c>
      <c r="M387" s="39">
        <v>134226</v>
      </c>
      <c r="N387" s="39">
        <v>220035</v>
      </c>
      <c r="O387" s="38">
        <v>0.41670000000000001</v>
      </c>
      <c r="P387" s="39">
        <v>0.04</v>
      </c>
      <c r="Q387" s="39">
        <v>0.06</v>
      </c>
      <c r="R387" s="38">
        <v>0.5</v>
      </c>
      <c r="S387" s="40">
        <v>25</v>
      </c>
      <c r="T387" s="39">
        <v>0.05</v>
      </c>
      <c r="U387" s="39">
        <v>0.06</v>
      </c>
      <c r="V387" s="39">
        <v>0.06</v>
      </c>
      <c r="W387" s="52">
        <v>0.90139999999999998</v>
      </c>
      <c r="X387" s="39">
        <v>7.51</v>
      </c>
      <c r="Y387" s="41">
        <v>42321.009164497998</v>
      </c>
      <c r="Z387" s="40">
        <v>1017</v>
      </c>
      <c r="AA387" s="39">
        <v>0.48779306909702402</v>
      </c>
    </row>
    <row r="388" spans="1:27" s="22" customFormat="1" x14ac:dyDescent="0.25">
      <c r="A388" s="7" t="str">
        <f t="shared" si="6"/>
        <v>3532Providence Little Company of Mary Hospital553076284700 05530 COMMUNICATIONS</v>
      </c>
      <c r="B388" s="7"/>
      <c r="C388" s="29" t="s">
        <v>924</v>
      </c>
      <c r="D388" s="29" t="s">
        <v>924</v>
      </c>
      <c r="E388" s="29" t="s">
        <v>924</v>
      </c>
      <c r="F388" s="29">
        <v>3532</v>
      </c>
      <c r="G388" s="4" t="s">
        <v>977</v>
      </c>
      <c r="H388" s="5">
        <v>5530</v>
      </c>
      <c r="I388" s="4" t="s">
        <v>144</v>
      </c>
      <c r="J388" s="4" t="s">
        <v>68</v>
      </c>
      <c r="K388" s="4" t="s">
        <v>1017</v>
      </c>
      <c r="L388" s="4" t="s">
        <v>18</v>
      </c>
      <c r="M388" s="39">
        <v>29637.5</v>
      </c>
      <c r="N388" s="39">
        <v>33654.39</v>
      </c>
      <c r="O388" s="38">
        <v>0.56000000000000005</v>
      </c>
      <c r="P388" s="39">
        <v>0.54</v>
      </c>
      <c r="Q388" s="39">
        <v>0.46</v>
      </c>
      <c r="R388" s="38">
        <v>0.4</v>
      </c>
      <c r="S388" s="40">
        <v>26</v>
      </c>
      <c r="T388" s="39">
        <v>0.37</v>
      </c>
      <c r="U388" s="39">
        <v>0.43</v>
      </c>
      <c r="V388" s="39">
        <v>0.51</v>
      </c>
      <c r="W388" s="52">
        <v>0.90869999999999995</v>
      </c>
      <c r="X388" s="39">
        <v>8.23</v>
      </c>
      <c r="Y388" s="41">
        <v>19713.664931050102</v>
      </c>
      <c r="Z388" s="40">
        <v>1240</v>
      </c>
      <c r="AA388" s="39">
        <v>0.59449423168057602</v>
      </c>
    </row>
    <row r="389" spans="1:27" s="22" customFormat="1" x14ac:dyDescent="0.25">
      <c r="A389" s="7" t="str">
        <f t="shared" si="6"/>
        <v>3532Providence Little Company of Mary Hospital101376260100 01013 ICU</v>
      </c>
      <c r="B389" s="7"/>
      <c r="C389" s="29" t="s">
        <v>924</v>
      </c>
      <c r="D389" s="29" t="s">
        <v>924</v>
      </c>
      <c r="E389" s="29" t="s">
        <v>924</v>
      </c>
      <c r="F389" s="29">
        <v>3532</v>
      </c>
      <c r="G389" s="4" t="s">
        <v>977</v>
      </c>
      <c r="H389" s="5">
        <v>1013</v>
      </c>
      <c r="I389" s="4" t="s">
        <v>73</v>
      </c>
      <c r="J389" s="4" t="s">
        <v>23</v>
      </c>
      <c r="K389" s="4" t="s">
        <v>1016</v>
      </c>
      <c r="L389" s="4" t="s">
        <v>74</v>
      </c>
      <c r="M389" s="39">
        <v>6966</v>
      </c>
      <c r="N389" s="39">
        <v>7051</v>
      </c>
      <c r="O389" s="38">
        <v>0.52</v>
      </c>
      <c r="P389" s="39">
        <v>19.21</v>
      </c>
      <c r="Q389" s="39">
        <v>18.54</v>
      </c>
      <c r="R389" s="38">
        <v>0.4</v>
      </c>
      <c r="S389" s="40">
        <v>26</v>
      </c>
      <c r="T389" s="39">
        <v>17.77</v>
      </c>
      <c r="U389" s="39">
        <v>18.3</v>
      </c>
      <c r="V389" s="39">
        <v>19.09</v>
      </c>
      <c r="W389" s="52">
        <v>0.88490000000000002</v>
      </c>
      <c r="X389" s="39">
        <v>71.010000000000005</v>
      </c>
      <c r="Y389" s="41">
        <v>119194.597357313</v>
      </c>
      <c r="Z389" s="40">
        <v>2289</v>
      </c>
      <c r="AA389" s="39">
        <v>1.09734935063817</v>
      </c>
    </row>
    <row r="390" spans="1:27" s="22" customFormat="1" x14ac:dyDescent="0.25">
      <c r="A390" s="7" t="str">
        <f t="shared" si="6"/>
        <v>3532Providence Little Company of Mary Hospital3099Surgical Services Administration (U,N)</v>
      </c>
      <c r="B390" s="7"/>
      <c r="C390" s="29" t="s">
        <v>924</v>
      </c>
      <c r="D390" s="29" t="s">
        <v>924</v>
      </c>
      <c r="E390" s="29" t="s">
        <v>924</v>
      </c>
      <c r="F390" s="29">
        <v>3532</v>
      </c>
      <c r="G390" s="4" t="s">
        <v>977</v>
      </c>
      <c r="H390" s="5">
        <v>3099</v>
      </c>
      <c r="I390" s="4" t="s">
        <v>46</v>
      </c>
      <c r="J390" s="4" t="s">
        <v>47</v>
      </c>
      <c r="K390" s="4" t="s">
        <v>48</v>
      </c>
      <c r="L390" s="4" t="s">
        <v>49</v>
      </c>
      <c r="M390" s="39">
        <v>9358</v>
      </c>
      <c r="N390" s="39">
        <v>12816</v>
      </c>
      <c r="O390" s="7"/>
      <c r="P390" s="39">
        <v>2.2599999999999998</v>
      </c>
      <c r="Q390" s="39">
        <v>0.63</v>
      </c>
      <c r="R390" s="38">
        <v>0.2233</v>
      </c>
      <c r="S390" s="40">
        <v>27</v>
      </c>
      <c r="T390" s="39">
        <v>0.99</v>
      </c>
      <c r="U390" s="39">
        <v>1.07</v>
      </c>
      <c r="V390" s="39">
        <v>1.17</v>
      </c>
      <c r="W390" s="52">
        <v>0.87629999999999997</v>
      </c>
      <c r="X390" s="39">
        <v>4.41</v>
      </c>
      <c r="Y390" s="41">
        <v>-143979.28311925099</v>
      </c>
      <c r="Z390" s="40">
        <v>-6451</v>
      </c>
      <c r="AA390" s="39">
        <v>-3.0929425935369199</v>
      </c>
    </row>
    <row r="391" spans="1:27" s="22" customFormat="1" x14ac:dyDescent="0.25">
      <c r="A391" s="7" t="str">
        <f t="shared" si="6"/>
        <v>3532Providence Little Company of Mary Hospital128076265300 01280 Newborn Nursery</v>
      </c>
      <c r="B391" s="7"/>
      <c r="C391" s="29" t="s">
        <v>924</v>
      </c>
      <c r="D391" s="29" t="s">
        <v>924</v>
      </c>
      <c r="E391" s="29" t="s">
        <v>924</v>
      </c>
      <c r="F391" s="29">
        <v>3532</v>
      </c>
      <c r="G391" s="4" t="s">
        <v>977</v>
      </c>
      <c r="H391" s="5">
        <v>1280</v>
      </c>
      <c r="I391" s="4" t="s">
        <v>1020</v>
      </c>
      <c r="J391" s="4" t="s">
        <v>23</v>
      </c>
      <c r="K391" s="4" t="s">
        <v>1021</v>
      </c>
      <c r="L391" s="4" t="s">
        <v>107</v>
      </c>
      <c r="M391" s="39">
        <v>5571</v>
      </c>
      <c r="N391" s="39">
        <v>5669</v>
      </c>
      <c r="O391" s="38">
        <v>1</v>
      </c>
      <c r="P391" s="39">
        <v>1.56</v>
      </c>
      <c r="Q391" s="39">
        <v>1.49</v>
      </c>
      <c r="R391" s="7"/>
      <c r="S391" s="40">
        <v>28</v>
      </c>
      <c r="T391" s="39">
        <v>5.43</v>
      </c>
      <c r="U391" s="39">
        <v>6.2</v>
      </c>
      <c r="V391" s="39">
        <v>7.43</v>
      </c>
      <c r="W391" s="52">
        <v>1</v>
      </c>
      <c r="X391" s="39">
        <v>4.0599999999999996</v>
      </c>
      <c r="Y391" s="41">
        <v>-1338576.52343748</v>
      </c>
      <c r="Z391" s="40">
        <v>-26680</v>
      </c>
      <c r="AA391" s="39">
        <v>-12.791800354796999</v>
      </c>
    </row>
    <row r="392" spans="1:27" s="22" customFormat="1" x14ac:dyDescent="0.25">
      <c r="A392" s="7" t="str">
        <f t="shared" si="6"/>
        <v>3532Providence Little Company of Mary Hospital3499Imaging Service Administration (U,N)</v>
      </c>
      <c r="B392" s="7"/>
      <c r="C392" s="29" t="s">
        <v>924</v>
      </c>
      <c r="D392" s="29" t="s">
        <v>924</v>
      </c>
      <c r="E392" s="29" t="s">
        <v>924</v>
      </c>
      <c r="F392" s="29">
        <v>3532</v>
      </c>
      <c r="G392" s="43" t="s">
        <v>977</v>
      </c>
      <c r="H392" s="42">
        <v>3499</v>
      </c>
      <c r="I392" s="43" t="s">
        <v>56</v>
      </c>
      <c r="J392" s="43" t="s">
        <v>57</v>
      </c>
      <c r="K392" s="43" t="s">
        <v>1019</v>
      </c>
      <c r="L392" s="43" t="s">
        <v>58</v>
      </c>
      <c r="M392" s="71"/>
      <c r="N392" s="46">
        <v>348536</v>
      </c>
      <c r="O392" s="45"/>
      <c r="P392" s="71"/>
      <c r="Q392" s="46">
        <f>7692.75/N392</f>
        <v>2.2071608097872241E-2</v>
      </c>
      <c r="R392" s="71"/>
      <c r="S392" s="47">
        <v>28</v>
      </c>
      <c r="T392" s="46">
        <v>0.04</v>
      </c>
      <c r="U392" s="46">
        <v>0.05</v>
      </c>
      <c r="V392" s="46">
        <v>0.06</v>
      </c>
      <c r="W392" s="138">
        <v>0.88229999999999997</v>
      </c>
      <c r="X392" s="46">
        <v>4.1900000000000004</v>
      </c>
      <c r="Y392" s="48">
        <f>Z392*35.34</f>
        <v>-389891.56409384572</v>
      </c>
      <c r="Z392" s="47">
        <f>SUM((Q392-U392)*N392)/W392</f>
        <v>-11032.585288450642</v>
      </c>
      <c r="AA392" s="46">
        <f>+Z392/2085.7</f>
        <v>-5.2896319165990517</v>
      </c>
    </row>
    <row r="393" spans="1:27" s="22" customFormat="1" x14ac:dyDescent="0.25">
      <c r="A393" s="7" t="str">
        <f t="shared" si="6"/>
        <v>3532Providence Little Company of Mary Hospital522176283500 05221 LAUNDRY &amp; LINEN</v>
      </c>
      <c r="B393" s="7"/>
      <c r="C393" s="29" t="s">
        <v>924</v>
      </c>
      <c r="D393" s="29" t="s">
        <v>924</v>
      </c>
      <c r="E393" s="29" t="s">
        <v>924</v>
      </c>
      <c r="F393" s="29">
        <v>3532</v>
      </c>
      <c r="G393" s="4" t="s">
        <v>977</v>
      </c>
      <c r="H393" s="5">
        <v>5221</v>
      </c>
      <c r="I393" s="4" t="s">
        <v>131</v>
      </c>
      <c r="J393" s="4" t="s">
        <v>50</v>
      </c>
      <c r="K393" s="4" t="s">
        <v>1018</v>
      </c>
      <c r="L393" s="4" t="s">
        <v>132</v>
      </c>
      <c r="M393" s="39">
        <v>21318.68</v>
      </c>
      <c r="N393" s="39">
        <v>19809.810000000001</v>
      </c>
      <c r="O393" s="38">
        <v>0.62960000000000005</v>
      </c>
      <c r="P393" s="39">
        <v>0.17</v>
      </c>
      <c r="Q393" s="39">
        <v>0.19</v>
      </c>
      <c r="R393" s="38">
        <v>7.4099999999999999E-2</v>
      </c>
      <c r="S393" s="40">
        <v>28</v>
      </c>
      <c r="T393" s="39">
        <v>0.26</v>
      </c>
      <c r="U393" s="39">
        <v>0.28999999999999998</v>
      </c>
      <c r="V393" s="39">
        <v>0.38</v>
      </c>
      <c r="W393" s="52">
        <v>0.92159999999999997</v>
      </c>
      <c r="X393" s="39">
        <v>2.0099999999999998</v>
      </c>
      <c r="Y393" s="41">
        <v>-32489.853714470199</v>
      </c>
      <c r="Z393" s="40">
        <v>-2041</v>
      </c>
      <c r="AA393" s="39">
        <v>-0.97871154243779102</v>
      </c>
    </row>
    <row r="394" spans="1:27" s="22" customFormat="1" x14ac:dyDescent="0.25">
      <c r="A394" s="7" t="str">
        <f t="shared" si="6"/>
        <v>3532Providence Little Company of Mary Hospital422076275900 04220 CARDIOLOGY (U)</v>
      </c>
      <c r="B394" s="7"/>
      <c r="C394" s="29" t="s">
        <v>924</v>
      </c>
      <c r="D394" s="29" t="s">
        <v>924</v>
      </c>
      <c r="E394" s="29" t="s">
        <v>924</v>
      </c>
      <c r="F394" s="29">
        <v>3532</v>
      </c>
      <c r="G394" s="4" t="s">
        <v>977</v>
      </c>
      <c r="H394" s="5">
        <v>4220</v>
      </c>
      <c r="I394" s="4" t="s">
        <v>98</v>
      </c>
      <c r="J394" s="4" t="s">
        <v>60</v>
      </c>
      <c r="K394" s="4" t="s">
        <v>1022</v>
      </c>
      <c r="L394" s="4" t="s">
        <v>99</v>
      </c>
      <c r="M394" s="39">
        <v>54834.74</v>
      </c>
      <c r="N394" s="39">
        <v>84859.67</v>
      </c>
      <c r="O394" s="38">
        <v>0.61880000000000002</v>
      </c>
      <c r="P394" s="39">
        <v>0.23</v>
      </c>
      <c r="Q394" s="39">
        <v>0.17</v>
      </c>
      <c r="R394" s="7"/>
      <c r="S394" s="40">
        <v>30</v>
      </c>
      <c r="T394" s="39">
        <v>0.26</v>
      </c>
      <c r="U394" s="39">
        <v>0.27</v>
      </c>
      <c r="V394" s="39">
        <v>0.32</v>
      </c>
      <c r="W394" s="52">
        <v>0.90600000000000003</v>
      </c>
      <c r="X394" s="39">
        <v>7.63</v>
      </c>
      <c r="Y394" s="41">
        <v>-413663.22919095698</v>
      </c>
      <c r="Z394" s="40">
        <v>-9375</v>
      </c>
      <c r="AA394" s="39">
        <v>-4.4950925967968001</v>
      </c>
    </row>
    <row r="395" spans="1:27" s="22" customFormat="1" x14ac:dyDescent="0.25">
      <c r="A395" s="7" t="str">
        <f t="shared" si="6"/>
        <v>3532Providence Little Company of Mary Hospital127276264000 01272 POST PARTUM</v>
      </c>
      <c r="B395" s="7"/>
      <c r="C395" s="29" t="s">
        <v>924</v>
      </c>
      <c r="D395" s="29" t="s">
        <v>924</v>
      </c>
      <c r="E395" s="29" t="s">
        <v>924</v>
      </c>
      <c r="F395" s="29">
        <v>3532</v>
      </c>
      <c r="G395" s="4" t="s">
        <v>977</v>
      </c>
      <c r="H395" s="5">
        <v>1272</v>
      </c>
      <c r="I395" s="4" t="s">
        <v>112</v>
      </c>
      <c r="J395" s="4" t="s">
        <v>23</v>
      </c>
      <c r="K395" s="4" t="s">
        <v>1023</v>
      </c>
      <c r="L395" s="4" t="s">
        <v>74</v>
      </c>
      <c r="M395" s="39">
        <v>13009</v>
      </c>
      <c r="N395" s="39">
        <v>13728</v>
      </c>
      <c r="O395" s="7"/>
      <c r="P395" s="39">
        <v>6.59</v>
      </c>
      <c r="Q395" s="39">
        <v>7.07</v>
      </c>
      <c r="R395" s="7"/>
      <c r="S395" s="40">
        <v>33</v>
      </c>
      <c r="T395" s="39">
        <v>7.1</v>
      </c>
      <c r="U395" s="39">
        <v>7.31</v>
      </c>
      <c r="V395" s="39">
        <v>7.53</v>
      </c>
      <c r="W395" s="52">
        <v>0.84209999999999996</v>
      </c>
      <c r="X395" s="39">
        <v>55.45</v>
      </c>
      <c r="Y395" s="41">
        <v>-152916.48330168799</v>
      </c>
      <c r="Z395" s="40">
        <v>-3516</v>
      </c>
      <c r="AA395" s="39">
        <v>-1.6859087127966701</v>
      </c>
    </row>
    <row r="396" spans="1:27" s="22" customFormat="1" x14ac:dyDescent="0.25">
      <c r="A396" s="7" t="str">
        <f t="shared" si="6"/>
        <v>3532Providence Little Company of Mary Hospital504076284601 05040 BIO MED ENGINEER</v>
      </c>
      <c r="B396" s="7"/>
      <c r="C396" s="29" t="s">
        <v>924</v>
      </c>
      <c r="D396" s="29" t="s">
        <v>924</v>
      </c>
      <c r="E396" s="29" t="s">
        <v>924</v>
      </c>
      <c r="F396" s="29">
        <v>3532</v>
      </c>
      <c r="G396" s="4" t="s">
        <v>977</v>
      </c>
      <c r="H396" s="5">
        <v>5040</v>
      </c>
      <c r="I396" s="4" t="s">
        <v>142</v>
      </c>
      <c r="J396" s="4" t="s">
        <v>62</v>
      </c>
      <c r="K396" s="4" t="s">
        <v>1024</v>
      </c>
      <c r="L396" s="4" t="s">
        <v>143</v>
      </c>
      <c r="M396" s="39">
        <v>44.8</v>
      </c>
      <c r="N396" s="39">
        <v>47.51</v>
      </c>
      <c r="O396" s="38">
        <v>0.33329999999999999</v>
      </c>
      <c r="P396" s="39">
        <v>249.61</v>
      </c>
      <c r="Q396" s="39">
        <v>226.71</v>
      </c>
      <c r="R396" s="38">
        <v>0.9667</v>
      </c>
      <c r="S396" s="40">
        <v>34</v>
      </c>
      <c r="T396" s="39">
        <v>125.74</v>
      </c>
      <c r="U396" s="39">
        <v>136.27000000000001</v>
      </c>
      <c r="V396" s="39">
        <v>157.87</v>
      </c>
      <c r="W396" s="52">
        <v>0.91739999999999999</v>
      </c>
      <c r="X396" s="39">
        <v>5.64</v>
      </c>
      <c r="Y396" s="41">
        <v>193812.77950976099</v>
      </c>
      <c r="Z396" s="40">
        <v>4706</v>
      </c>
      <c r="AA396" s="39">
        <v>2.2564335548956298</v>
      </c>
    </row>
    <row r="397" spans="1:27" s="22" customFormat="1" x14ac:dyDescent="0.25">
      <c r="A397" s="7" t="str">
        <f t="shared" si="6"/>
        <v>3532Providence Little Company of Mary Hospital521176284400 05211 EVS</v>
      </c>
      <c r="B397" s="7"/>
      <c r="C397" s="29" t="s">
        <v>924</v>
      </c>
      <c r="D397" s="29" t="s">
        <v>924</v>
      </c>
      <c r="E397" s="29" t="s">
        <v>924</v>
      </c>
      <c r="F397" s="29">
        <v>3532</v>
      </c>
      <c r="G397" s="4" t="s">
        <v>977</v>
      </c>
      <c r="H397" s="5">
        <v>5211</v>
      </c>
      <c r="I397" s="4" t="s">
        <v>50</v>
      </c>
      <c r="J397" s="4" t="s">
        <v>50</v>
      </c>
      <c r="K397" s="4" t="s">
        <v>1025</v>
      </c>
      <c r="L397" s="4" t="s">
        <v>51</v>
      </c>
      <c r="M397" s="39">
        <v>410.2</v>
      </c>
      <c r="N397" s="39">
        <v>839.57</v>
      </c>
      <c r="O397" s="38">
        <v>0.47220000000000001</v>
      </c>
      <c r="P397" s="39">
        <v>309.64</v>
      </c>
      <c r="Q397" s="39">
        <v>143.81</v>
      </c>
      <c r="R397" s="38">
        <v>5.5599999999999997E-2</v>
      </c>
      <c r="S397" s="40">
        <v>37</v>
      </c>
      <c r="T397" s="39">
        <v>166.93</v>
      </c>
      <c r="U397" s="39">
        <v>175.04</v>
      </c>
      <c r="V397" s="39">
        <v>185.01</v>
      </c>
      <c r="W397" s="52">
        <v>0.92559999999999998</v>
      </c>
      <c r="X397" s="39">
        <v>62.71</v>
      </c>
      <c r="Y397" s="41">
        <v>-411502.44828797301</v>
      </c>
      <c r="Z397" s="40">
        <v>-27977</v>
      </c>
      <c r="AA397" s="39">
        <v>-13.4135493005443</v>
      </c>
    </row>
    <row r="398" spans="1:27" s="22" customFormat="1" x14ac:dyDescent="0.25">
      <c r="A398" s="7" t="str">
        <f t="shared" si="6"/>
        <v>3532Providence Little Company of Mary Hospital342076276800 03420 CAT SCAN</v>
      </c>
      <c r="B398" s="7"/>
      <c r="C398" s="29" t="s">
        <v>924</v>
      </c>
      <c r="D398" s="29" t="s">
        <v>924</v>
      </c>
      <c r="E398" s="29" t="s">
        <v>924</v>
      </c>
      <c r="F398" s="29">
        <v>3532</v>
      </c>
      <c r="G398" s="4" t="s">
        <v>977</v>
      </c>
      <c r="H398" s="5">
        <v>3420</v>
      </c>
      <c r="I398" s="4" t="s">
        <v>123</v>
      </c>
      <c r="J398" s="4" t="s">
        <v>57</v>
      </c>
      <c r="K398" s="4" t="s">
        <v>1026</v>
      </c>
      <c r="L398" s="4" t="s">
        <v>99</v>
      </c>
      <c r="M398" s="39">
        <v>87735.360000000001</v>
      </c>
      <c r="N398" s="39">
        <v>97713.25</v>
      </c>
      <c r="O398" s="38">
        <v>0.62160000000000004</v>
      </c>
      <c r="P398" s="39">
        <v>0.24</v>
      </c>
      <c r="Q398" s="39">
        <v>0.23</v>
      </c>
      <c r="R398" s="38">
        <v>0.36109999999999998</v>
      </c>
      <c r="S398" s="40">
        <v>38</v>
      </c>
      <c r="T398" s="39">
        <v>0.22</v>
      </c>
      <c r="U398" s="39">
        <v>0.23</v>
      </c>
      <c r="V398" s="39">
        <v>0.26</v>
      </c>
      <c r="W398" s="52">
        <v>0.89639999999999997</v>
      </c>
      <c r="X398" s="39">
        <v>12.07</v>
      </c>
      <c r="Y398" s="41">
        <v>3601.1290494063101</v>
      </c>
      <c r="Z398" s="40">
        <v>103</v>
      </c>
      <c r="AA398" s="39">
        <v>4.9359597430383297E-2</v>
      </c>
    </row>
    <row r="399" spans="1:27" s="22" customFormat="1" x14ac:dyDescent="0.25">
      <c r="A399" s="7" t="str">
        <f t="shared" si="6"/>
        <v>3532Providence Little Company of Mary Hospital463076277600 04630 GI LAB</v>
      </c>
      <c r="B399" s="7"/>
      <c r="C399" s="29" t="s">
        <v>924</v>
      </c>
      <c r="D399" s="29" t="s">
        <v>924</v>
      </c>
      <c r="E399" s="29" t="s">
        <v>924</v>
      </c>
      <c r="F399" s="29">
        <v>3532</v>
      </c>
      <c r="G399" s="4" t="s">
        <v>977</v>
      </c>
      <c r="H399" s="5">
        <v>4630</v>
      </c>
      <c r="I399" s="4" t="s">
        <v>104</v>
      </c>
      <c r="J399" s="4" t="s">
        <v>83</v>
      </c>
      <c r="K399" s="4" t="s">
        <v>1027</v>
      </c>
      <c r="L399" s="4" t="s">
        <v>905</v>
      </c>
      <c r="M399" s="39">
        <v>4289</v>
      </c>
      <c r="N399" s="39">
        <v>4606</v>
      </c>
      <c r="O399" s="38">
        <v>0.51280000000000003</v>
      </c>
      <c r="P399" s="7"/>
      <c r="Q399" s="39">
        <v>5.33</v>
      </c>
      <c r="R399" s="38">
        <v>0.51280000000000003</v>
      </c>
      <c r="S399" s="40">
        <v>40</v>
      </c>
      <c r="T399" s="39">
        <v>4.21</v>
      </c>
      <c r="U399" s="39">
        <v>4.91</v>
      </c>
      <c r="V399" s="39">
        <v>5.33</v>
      </c>
      <c r="W399" s="52">
        <v>0.87749999999999995</v>
      </c>
      <c r="X399" s="39">
        <v>13.45</v>
      </c>
      <c r="Y399" s="41">
        <v>102632.81548200401</v>
      </c>
      <c r="Z399" s="40">
        <v>2280</v>
      </c>
      <c r="AA399" s="39">
        <v>1.09318742455579</v>
      </c>
    </row>
    <row r="400" spans="1:27" s="22" customFormat="1" x14ac:dyDescent="0.25">
      <c r="A400" s="7" t="str">
        <f t="shared" si="6"/>
        <v>3532Providence Little Company of Mary Hospital338076275201 03380 CONSOLIDATED PATHOLOGY</v>
      </c>
      <c r="B400" s="7"/>
      <c r="C400" s="29" t="s">
        <v>924</v>
      </c>
      <c r="D400" s="29" t="s">
        <v>924</v>
      </c>
      <c r="E400" s="29" t="s">
        <v>924</v>
      </c>
      <c r="F400" s="29">
        <v>3532</v>
      </c>
      <c r="G400" s="4" t="s">
        <v>977</v>
      </c>
      <c r="H400" s="5">
        <v>3380</v>
      </c>
      <c r="I400" s="4" t="s">
        <v>95</v>
      </c>
      <c r="J400" s="4" t="s">
        <v>53</v>
      </c>
      <c r="K400" s="4" t="s">
        <v>1028</v>
      </c>
      <c r="L400" s="4" t="s">
        <v>94</v>
      </c>
      <c r="M400" s="39">
        <v>343.37</v>
      </c>
      <c r="N400" s="39">
        <v>405.43</v>
      </c>
      <c r="O400" s="38">
        <v>0.32500000000000001</v>
      </c>
      <c r="P400" s="39">
        <v>70.709999999999994</v>
      </c>
      <c r="Q400" s="39">
        <v>44.26</v>
      </c>
      <c r="R400" s="38">
        <v>0.81579999999999997</v>
      </c>
      <c r="S400" s="40">
        <v>41</v>
      </c>
      <c r="T400" s="39">
        <v>31.95</v>
      </c>
      <c r="U400" s="39">
        <v>34.4</v>
      </c>
      <c r="V400" s="39">
        <v>37.01</v>
      </c>
      <c r="W400" s="52">
        <v>0.86809999999999998</v>
      </c>
      <c r="X400" s="39">
        <v>9.94</v>
      </c>
      <c r="Y400" s="41">
        <v>130473.095297319</v>
      </c>
      <c r="Z400" s="40">
        <v>4666</v>
      </c>
      <c r="AA400" s="39">
        <v>2.2371271942986599</v>
      </c>
    </row>
    <row r="401" spans="1:27" s="22" customFormat="1" x14ac:dyDescent="0.25">
      <c r="A401" s="7" t="str">
        <f t="shared" si="6"/>
        <v>3532Providence Little Company of Mary Hospital509976284501 05099 SERVICE CENTER</v>
      </c>
      <c r="B401" s="7"/>
      <c r="C401" s="29" t="s">
        <v>924</v>
      </c>
      <c r="D401" s="29" t="s">
        <v>924</v>
      </c>
      <c r="E401" s="29" t="s">
        <v>924</v>
      </c>
      <c r="F401" s="29">
        <v>3532</v>
      </c>
      <c r="G401" s="4" t="s">
        <v>977</v>
      </c>
      <c r="H401" s="5">
        <v>5099</v>
      </c>
      <c r="I401" s="4" t="s">
        <v>61</v>
      </c>
      <c r="J401" s="4" t="s">
        <v>62</v>
      </c>
      <c r="K401" s="4" t="s">
        <v>1029</v>
      </c>
      <c r="L401" s="4" t="s">
        <v>63</v>
      </c>
      <c r="M401" s="39">
        <v>596</v>
      </c>
      <c r="N401" s="39">
        <v>839.57</v>
      </c>
      <c r="O401" s="38">
        <v>0.56100000000000005</v>
      </c>
      <c r="P401" s="39">
        <v>22.11</v>
      </c>
      <c r="Q401" s="39">
        <v>8.32</v>
      </c>
      <c r="R401" s="38">
        <v>0.9</v>
      </c>
      <c r="S401" s="40">
        <v>42</v>
      </c>
      <c r="T401" s="39">
        <v>2.1</v>
      </c>
      <c r="U401" s="39">
        <v>2.71</v>
      </c>
      <c r="V401" s="39">
        <v>3.53</v>
      </c>
      <c r="W401" s="52">
        <v>0.8639</v>
      </c>
      <c r="X401" s="39">
        <v>3.89</v>
      </c>
      <c r="Y401" s="41">
        <v>125992.367104593</v>
      </c>
      <c r="Z401" s="40">
        <v>5480</v>
      </c>
      <c r="AA401" s="39">
        <v>2.6272688693244901</v>
      </c>
    </row>
    <row r="402" spans="1:27" s="22" customFormat="1" x14ac:dyDescent="0.25">
      <c r="A402" s="7" t="str">
        <f t="shared" si="6"/>
        <v>3532Providence Little Company of Mary Hospital661076286100 06610 ADMINISTRATION (85104)</v>
      </c>
      <c r="B402" s="7"/>
      <c r="C402" s="29" t="s">
        <v>924</v>
      </c>
      <c r="D402" s="29" t="s">
        <v>924</v>
      </c>
      <c r="E402" s="29" t="s">
        <v>924</v>
      </c>
      <c r="F402" s="29">
        <v>3532</v>
      </c>
      <c r="G402" s="4" t="s">
        <v>977</v>
      </c>
      <c r="H402" s="5">
        <v>6610</v>
      </c>
      <c r="I402" s="4" t="s">
        <v>72</v>
      </c>
      <c r="J402" s="4" t="s">
        <v>72</v>
      </c>
      <c r="K402" s="4" t="s">
        <v>1030</v>
      </c>
      <c r="L402" s="4" t="s">
        <v>14</v>
      </c>
      <c r="M402" s="39">
        <v>296.38</v>
      </c>
      <c r="N402" s="39">
        <v>336.54</v>
      </c>
      <c r="O402" s="38">
        <v>0.61360000000000003</v>
      </c>
      <c r="P402" s="39">
        <v>51.17</v>
      </c>
      <c r="Q402" s="39">
        <v>44.91</v>
      </c>
      <c r="R402" s="38">
        <v>0.2195</v>
      </c>
      <c r="S402" s="40">
        <v>45</v>
      </c>
      <c r="T402" s="39">
        <v>47.24</v>
      </c>
      <c r="U402" s="39">
        <v>56.56</v>
      </c>
      <c r="V402" s="39">
        <v>65.709999999999994</v>
      </c>
      <c r="W402" s="52">
        <v>0.91639999999999999</v>
      </c>
      <c r="X402" s="39">
        <v>7.93</v>
      </c>
      <c r="Y402" s="41">
        <v>-461515.782836347</v>
      </c>
      <c r="Z402" s="40">
        <v>-4232</v>
      </c>
      <c r="AA402" s="39">
        <v>-2.0288495055823499</v>
      </c>
    </row>
    <row r="403" spans="1:27" s="22" customFormat="1" x14ac:dyDescent="0.25">
      <c r="A403" s="7" t="str">
        <f t="shared" si="6"/>
        <v>3532Providence Little Company of Mary Hospital201076270100 02010 EMERGENCY DEPT (U)</v>
      </c>
      <c r="B403" s="7"/>
      <c r="C403" s="29" t="s">
        <v>924</v>
      </c>
      <c r="D403" s="29" t="s">
        <v>924</v>
      </c>
      <c r="E403" s="29" t="s">
        <v>924</v>
      </c>
      <c r="F403" s="29">
        <v>3532</v>
      </c>
      <c r="G403" s="43" t="s">
        <v>977</v>
      </c>
      <c r="H403" s="42">
        <v>2010</v>
      </c>
      <c r="I403" s="43" t="s">
        <v>75</v>
      </c>
      <c r="J403" s="43" t="s">
        <v>76</v>
      </c>
      <c r="K403" s="43" t="s">
        <v>1031</v>
      </c>
      <c r="L403" s="43" t="s">
        <v>77</v>
      </c>
      <c r="M403" s="46">
        <v>72509</v>
      </c>
      <c r="N403" s="46">
        <v>76400</v>
      </c>
      <c r="O403" s="45">
        <v>0.56720000000000004</v>
      </c>
      <c r="P403" s="46">
        <v>2.92</v>
      </c>
      <c r="Q403" s="46">
        <f>211188.93/N403</f>
        <v>2.764253010471204</v>
      </c>
      <c r="R403" s="45">
        <v>0.39</v>
      </c>
      <c r="S403" s="47">
        <v>46</v>
      </c>
      <c r="T403" s="46">
        <v>2.67</v>
      </c>
      <c r="U403" s="46">
        <v>2.76</v>
      </c>
      <c r="V403" s="46">
        <v>2.95</v>
      </c>
      <c r="W403" s="138">
        <v>0.92869999999999997</v>
      </c>
      <c r="X403" s="46">
        <v>110.91</v>
      </c>
      <c r="Y403" s="48">
        <f>Z403*48.48</f>
        <v>16961.996769678044</v>
      </c>
      <c r="Z403" s="47">
        <f>SUM((Q403-U403)*N403)/W403</f>
        <v>349.87617099170888</v>
      </c>
      <c r="AA403" s="46">
        <f>+Z403/2085.7</f>
        <v>0.16774999807820343</v>
      </c>
    </row>
    <row r="404" spans="1:27" s="22" customFormat="1" x14ac:dyDescent="0.25">
      <c r="A404" s="7" t="str">
        <f t="shared" si="6"/>
        <v>3532Providence Little Company of Mary Hospital651076287100 06510 MEDICAL STAFF</v>
      </c>
      <c r="B404" s="7"/>
      <c r="C404" s="29" t="s">
        <v>924</v>
      </c>
      <c r="D404" s="29" t="s">
        <v>924</v>
      </c>
      <c r="E404" s="29" t="s">
        <v>924</v>
      </c>
      <c r="F404" s="29">
        <v>3532</v>
      </c>
      <c r="G404" s="4" t="s">
        <v>977</v>
      </c>
      <c r="H404" s="5">
        <v>6510</v>
      </c>
      <c r="I404" s="4" t="s">
        <v>19</v>
      </c>
      <c r="J404" s="4" t="s">
        <v>19</v>
      </c>
      <c r="K404" s="4" t="s">
        <v>1032</v>
      </c>
      <c r="L404" s="4" t="s">
        <v>20</v>
      </c>
      <c r="M404" s="39">
        <v>441</v>
      </c>
      <c r="N404" s="39">
        <v>140</v>
      </c>
      <c r="O404" s="7"/>
      <c r="P404" s="39">
        <v>28.6</v>
      </c>
      <c r="Q404" s="39">
        <v>97.79</v>
      </c>
      <c r="R404" s="38">
        <v>1.6000000000000001E-3</v>
      </c>
      <c r="S404" s="40">
        <v>53</v>
      </c>
      <c r="T404" s="39">
        <v>35.18</v>
      </c>
      <c r="U404" s="39">
        <v>37.729999999999997</v>
      </c>
      <c r="V404" s="39">
        <v>52.03</v>
      </c>
      <c r="W404" s="52">
        <v>0.91720000000000002</v>
      </c>
      <c r="X404" s="39">
        <v>7.18</v>
      </c>
      <c r="Y404" s="41">
        <v>360211.709431995</v>
      </c>
      <c r="Z404" s="40">
        <v>9216</v>
      </c>
      <c r="AA404" s="39">
        <v>4.4187930764641798</v>
      </c>
    </row>
    <row r="405" spans="1:27" s="22" customFormat="1" x14ac:dyDescent="0.25">
      <c r="A405" s="7" t="str">
        <f t="shared" si="6"/>
        <v>3532Providence Little Company of Mary Hospital343076276600 03430 MRI</v>
      </c>
      <c r="B405" s="7"/>
      <c r="C405" s="29" t="s">
        <v>924</v>
      </c>
      <c r="D405" s="29" t="s">
        <v>924</v>
      </c>
      <c r="E405" s="29" t="s">
        <v>924</v>
      </c>
      <c r="F405" s="29">
        <v>3532</v>
      </c>
      <c r="G405" s="4" t="s">
        <v>977</v>
      </c>
      <c r="H405" s="5">
        <v>3430</v>
      </c>
      <c r="I405" s="4" t="s">
        <v>121</v>
      </c>
      <c r="J405" s="4" t="s">
        <v>57</v>
      </c>
      <c r="K405" s="4" t="s">
        <v>1033</v>
      </c>
      <c r="L405" s="4" t="s">
        <v>99</v>
      </c>
      <c r="M405" s="39">
        <v>30332</v>
      </c>
      <c r="N405" s="39">
        <v>33174</v>
      </c>
      <c r="O405" s="38">
        <v>0.57410000000000005</v>
      </c>
      <c r="P405" s="39">
        <v>0.22</v>
      </c>
      <c r="Q405" s="39">
        <v>0.25</v>
      </c>
      <c r="R405" s="38">
        <v>0.16669999999999999</v>
      </c>
      <c r="S405" s="40">
        <v>55</v>
      </c>
      <c r="T405" s="39">
        <v>0.28000000000000003</v>
      </c>
      <c r="U405" s="39">
        <v>0.3</v>
      </c>
      <c r="V405" s="39">
        <v>0.3</v>
      </c>
      <c r="W405" s="52">
        <v>0.87970000000000004</v>
      </c>
      <c r="X405" s="39">
        <v>4.5</v>
      </c>
      <c r="Y405" s="41">
        <v>-102018.03938735501</v>
      </c>
      <c r="Z405" s="40">
        <v>-1928</v>
      </c>
      <c r="AA405" s="39">
        <v>-0.92416212590704205</v>
      </c>
    </row>
    <row r="406" spans="1:27" s="22" customFormat="1" x14ac:dyDescent="0.25">
      <c r="A406" s="7" t="str">
        <f t="shared" si="6"/>
        <v>3532Providence Little Company of Mary Hospital301176274200 03011 SURGERY</v>
      </c>
      <c r="B406" s="7"/>
      <c r="C406" s="29" t="s">
        <v>924</v>
      </c>
      <c r="D406" s="29" t="s">
        <v>924</v>
      </c>
      <c r="E406" s="29" t="s">
        <v>924</v>
      </c>
      <c r="F406" s="29">
        <v>3532</v>
      </c>
      <c r="G406" s="4" t="s">
        <v>977</v>
      </c>
      <c r="H406" s="5">
        <v>3011</v>
      </c>
      <c r="I406" s="4" t="s">
        <v>87</v>
      </c>
      <c r="J406" s="4" t="s">
        <v>47</v>
      </c>
      <c r="K406" s="4" t="s">
        <v>1034</v>
      </c>
      <c r="L406" s="4" t="s">
        <v>88</v>
      </c>
      <c r="M406" s="39">
        <v>9447.84</v>
      </c>
      <c r="N406" s="39">
        <v>9650.7099999999991</v>
      </c>
      <c r="O406" s="38">
        <v>0.33900000000000002</v>
      </c>
      <c r="P406" s="39">
        <v>9.67</v>
      </c>
      <c r="Q406" s="39">
        <v>11.97</v>
      </c>
      <c r="R406" s="38">
        <v>0.80700000000000005</v>
      </c>
      <c r="S406" s="40">
        <v>60</v>
      </c>
      <c r="T406" s="39">
        <v>10.57</v>
      </c>
      <c r="U406" s="39">
        <v>11</v>
      </c>
      <c r="V406" s="39">
        <v>11.82</v>
      </c>
      <c r="W406" s="52">
        <v>0.88629999999999998</v>
      </c>
      <c r="X406" s="39">
        <v>62.66</v>
      </c>
      <c r="Y406" s="41">
        <v>433437.26361591998</v>
      </c>
      <c r="Z406" s="40">
        <v>10914</v>
      </c>
      <c r="AA406" s="39">
        <v>5.2325727711421903</v>
      </c>
    </row>
    <row r="407" spans="1:27" s="22" customFormat="1" x14ac:dyDescent="0.25">
      <c r="A407" s="7" t="str">
        <f t="shared" si="6"/>
        <v>3532Providence Little Company of Mary Hospital302076274270 03020 RECOVERY ROOM</v>
      </c>
      <c r="B407" s="7"/>
      <c r="C407" s="29" t="s">
        <v>924</v>
      </c>
      <c r="D407" s="29" t="s">
        <v>924</v>
      </c>
      <c r="E407" s="29" t="s">
        <v>924</v>
      </c>
      <c r="F407" s="29">
        <v>3532</v>
      </c>
      <c r="G407" s="4" t="s">
        <v>977</v>
      </c>
      <c r="H407" s="5">
        <v>3020</v>
      </c>
      <c r="I407" s="4" t="s">
        <v>89</v>
      </c>
      <c r="J407" s="4" t="s">
        <v>47</v>
      </c>
      <c r="K407" s="4" t="s">
        <v>1035</v>
      </c>
      <c r="L407" s="4" t="s">
        <v>90</v>
      </c>
      <c r="M407" s="39">
        <v>8972.7000000000007</v>
      </c>
      <c r="N407" s="39">
        <v>7733.25</v>
      </c>
      <c r="O407" s="38">
        <v>0.55559999999999998</v>
      </c>
      <c r="P407" s="39">
        <v>2.77</v>
      </c>
      <c r="Q407" s="39">
        <v>3.19</v>
      </c>
      <c r="R407" s="38">
        <v>0.4355</v>
      </c>
      <c r="S407" s="40">
        <v>64</v>
      </c>
      <c r="T407" s="39">
        <v>2.81</v>
      </c>
      <c r="U407" s="39">
        <v>3.04</v>
      </c>
      <c r="V407" s="39">
        <v>3.4</v>
      </c>
      <c r="W407" s="52">
        <v>0.85940000000000005</v>
      </c>
      <c r="X407" s="39">
        <v>13.82</v>
      </c>
      <c r="Y407" s="41">
        <v>78699.920526272399</v>
      </c>
      <c r="Z407" s="40">
        <v>1469</v>
      </c>
      <c r="AA407" s="39">
        <v>0.70439153507930796</v>
      </c>
    </row>
    <row r="408" spans="1:27" s="22" customFormat="1" x14ac:dyDescent="0.25">
      <c r="A408" s="7" t="str">
        <f t="shared" si="6"/>
        <v>3532Providence Little Company of Mary Hospital500176284500 600 Plant Ops Plant Maint</v>
      </c>
      <c r="B408" s="7"/>
      <c r="C408" s="29" t="s">
        <v>924</v>
      </c>
      <c r="D408" s="29" t="s">
        <v>924</v>
      </c>
      <c r="E408" s="29" t="s">
        <v>924</v>
      </c>
      <c r="F408" s="29">
        <v>3532</v>
      </c>
      <c r="G408" s="4" t="s">
        <v>977</v>
      </c>
      <c r="H408" s="5">
        <v>5001</v>
      </c>
      <c r="I408" s="4" t="s">
        <v>141</v>
      </c>
      <c r="J408" s="4" t="s">
        <v>62</v>
      </c>
      <c r="K408" s="4" t="s">
        <v>1036</v>
      </c>
      <c r="L408" s="4" t="s">
        <v>63</v>
      </c>
      <c r="M408" s="7"/>
      <c r="N408" s="39">
        <v>839.57</v>
      </c>
      <c r="O408" s="38">
        <v>0.54930000000000001</v>
      </c>
      <c r="P408" s="7"/>
      <c r="Q408" s="39">
        <v>39.83</v>
      </c>
      <c r="R408" s="38">
        <v>0.65669999999999995</v>
      </c>
      <c r="S408" s="40">
        <v>72</v>
      </c>
      <c r="T408" s="39">
        <v>28.51</v>
      </c>
      <c r="U408" s="39">
        <v>30.35</v>
      </c>
      <c r="V408" s="39">
        <v>34.21</v>
      </c>
      <c r="W408" s="52">
        <v>0.90069999999999995</v>
      </c>
      <c r="X408" s="39">
        <v>17.850000000000001</v>
      </c>
      <c r="Y408" s="41">
        <v>243528.30286588299</v>
      </c>
      <c r="Z408" s="40">
        <v>8940</v>
      </c>
      <c r="AA408" s="39">
        <v>4.2861304831609397</v>
      </c>
    </row>
    <row r="409" spans="1:27" s="22" customFormat="1" x14ac:dyDescent="0.25">
      <c r="A409" s="7" t="str">
        <f>F409&amp;G409&amp;H409&amp;K409</f>
        <v>3531Providence Medford Medical Center301159074200, SURGICAL SERVICES</v>
      </c>
      <c r="B409" s="7"/>
      <c r="C409" s="29" t="s">
        <v>1249</v>
      </c>
      <c r="D409" s="29" t="s">
        <v>1249</v>
      </c>
      <c r="E409" s="29" t="s">
        <v>1249</v>
      </c>
      <c r="F409" s="89">
        <v>3531</v>
      </c>
      <c r="G409" s="43" t="s">
        <v>1276</v>
      </c>
      <c r="H409" s="42">
        <v>3011</v>
      </c>
      <c r="I409" s="43" t="s">
        <v>87</v>
      </c>
      <c r="J409" s="43" t="s">
        <v>47</v>
      </c>
      <c r="K409" s="43" t="s">
        <v>1314</v>
      </c>
      <c r="L409" s="43" t="s">
        <v>88</v>
      </c>
      <c r="M409" s="46">
        <v>5556.45</v>
      </c>
      <c r="N409" s="46">
        <f>601160/100</f>
        <v>6011.6</v>
      </c>
      <c r="O409" s="45">
        <v>0.3</v>
      </c>
      <c r="P409" s="46">
        <v>12.86</v>
      </c>
      <c r="Q409" s="46">
        <f>81752.75/N409</f>
        <v>13.59916661121831</v>
      </c>
      <c r="R409" s="45" t="s">
        <v>1058</v>
      </c>
      <c r="S409" s="47">
        <v>31</v>
      </c>
      <c r="T409" s="46">
        <v>10.72</v>
      </c>
      <c r="U409" s="46">
        <v>11.15</v>
      </c>
      <c r="V409" s="46">
        <v>11.92</v>
      </c>
      <c r="W409" s="45">
        <v>0.90669999999999995</v>
      </c>
      <c r="X409" s="46">
        <v>43.35</v>
      </c>
      <c r="Y409" s="48">
        <f>+Z409*35.29</f>
        <v>573055.18793426675</v>
      </c>
      <c r="Z409" s="46">
        <f>((Q409-U409)*N409)/W409</f>
        <v>16238.458144921133</v>
      </c>
      <c r="AA409" s="46">
        <f>Z409/2085.7</f>
        <v>7.7856154504104778</v>
      </c>
    </row>
    <row r="410" spans="1:27" s="22" customFormat="1" x14ac:dyDescent="0.25">
      <c r="A410" s="7" t="str">
        <f>F410&amp;G410&amp;H410&amp;K410</f>
        <v>3531Providence Medford Medical Center500159084500, FACILITY SERVICES</v>
      </c>
      <c r="B410" s="7"/>
      <c r="C410" s="29" t="s">
        <v>1249</v>
      </c>
      <c r="D410" s="29" t="s">
        <v>1249</v>
      </c>
      <c r="E410" s="29" t="s">
        <v>1249</v>
      </c>
      <c r="F410" s="29">
        <v>3531</v>
      </c>
      <c r="G410" s="4" t="s">
        <v>1276</v>
      </c>
      <c r="H410" s="5">
        <v>5001</v>
      </c>
      <c r="I410" s="4" t="s">
        <v>141</v>
      </c>
      <c r="J410" s="4" t="s">
        <v>62</v>
      </c>
      <c r="K410" s="4" t="s">
        <v>1286</v>
      </c>
      <c r="L410" s="4" t="s">
        <v>63</v>
      </c>
      <c r="M410" s="39">
        <v>459.92</v>
      </c>
      <c r="N410" s="39">
        <v>488.9</v>
      </c>
      <c r="O410" s="38">
        <v>0.63639999999999997</v>
      </c>
      <c r="P410" s="39">
        <v>45.14</v>
      </c>
      <c r="Q410" s="39">
        <v>52.43</v>
      </c>
      <c r="R410" s="38">
        <v>0.81820000000000004</v>
      </c>
      <c r="S410" s="40">
        <v>12</v>
      </c>
      <c r="T410" s="39">
        <v>26.21</v>
      </c>
      <c r="U410" s="39">
        <v>28.62</v>
      </c>
      <c r="V410" s="39">
        <v>36.659999999999997</v>
      </c>
      <c r="W410" s="38">
        <v>0.90269999999999995</v>
      </c>
      <c r="X410" s="39">
        <v>13.65</v>
      </c>
      <c r="Y410" s="41">
        <v>301286.64882918599</v>
      </c>
      <c r="Z410" s="39">
        <v>12969</v>
      </c>
      <c r="AA410" s="39">
        <v>6.2181936785414997</v>
      </c>
    </row>
    <row r="411" spans="1:27" s="22" customFormat="1" x14ac:dyDescent="0.25">
      <c r="A411" s="7" t="str">
        <f>F411&amp;G411&amp;H411&amp;K411</f>
        <v>3531Providence Medford Medical Center349959003499, DIAGNOSTIC IMAGING ADM SUPPORT (U,N)</v>
      </c>
      <c r="B411" s="7"/>
      <c r="C411" s="29" t="s">
        <v>1249</v>
      </c>
      <c r="D411" s="29" t="s">
        <v>1249</v>
      </c>
      <c r="E411" s="29" t="s">
        <v>1249</v>
      </c>
      <c r="F411" s="148">
        <v>3531</v>
      </c>
      <c r="G411" s="43" t="s">
        <v>1276</v>
      </c>
      <c r="H411" s="42">
        <v>3499</v>
      </c>
      <c r="I411" s="43" t="s">
        <v>56</v>
      </c>
      <c r="J411" s="43" t="s">
        <v>57</v>
      </c>
      <c r="K411" s="43" t="s">
        <v>1313</v>
      </c>
      <c r="L411" s="43" t="s">
        <v>58</v>
      </c>
      <c r="M411" s="46">
        <v>134085.91</v>
      </c>
      <c r="N411" s="46">
        <v>129515.8</v>
      </c>
      <c r="O411" s="45">
        <v>0.53359999999999996</v>
      </c>
      <c r="P411" s="46">
        <v>0.13</v>
      </c>
      <c r="Q411" s="46">
        <f>16318.26/N411</f>
        <v>0.12599435744519202</v>
      </c>
      <c r="R411" s="45">
        <v>0.65059999999999996</v>
      </c>
      <c r="S411" s="47">
        <v>30</v>
      </c>
      <c r="T411" s="46">
        <v>0.05</v>
      </c>
      <c r="U411" s="46">
        <v>0.06</v>
      </c>
      <c r="V411" s="46">
        <v>7.0000000000000007E-2</v>
      </c>
      <c r="W411" s="45">
        <v>0.86850000000000005</v>
      </c>
      <c r="X411" s="46">
        <v>6.2</v>
      </c>
      <c r="Y411" s="48">
        <f>+Z411*29.52</f>
        <v>290520.0348186529</v>
      </c>
      <c r="Z411" s="46">
        <f>((Q411-U411)*N411)/W411</f>
        <v>9841.4645941278086</v>
      </c>
      <c r="AA411" s="46">
        <f>Z411/2085.7</f>
        <v>4.7185427406279947</v>
      </c>
    </row>
    <row r="412" spans="1:27" s="22" customFormat="1" x14ac:dyDescent="0.25">
      <c r="A412" s="7" t="str">
        <f>F412&amp;G412&amp;H412&amp;K412</f>
        <v>3531Providence Medford Medical Center127059074000, MATERNITY SERVICES</v>
      </c>
      <c r="B412" s="7"/>
      <c r="C412" s="29" t="s">
        <v>1249</v>
      </c>
      <c r="D412" s="29" t="s">
        <v>1249</v>
      </c>
      <c r="E412" s="29" t="s">
        <v>1249</v>
      </c>
      <c r="F412" s="29">
        <v>3531</v>
      </c>
      <c r="G412" s="4" t="s">
        <v>1276</v>
      </c>
      <c r="H412" s="5">
        <v>1270</v>
      </c>
      <c r="I412" s="4" t="s">
        <v>199</v>
      </c>
      <c r="J412" s="4" t="s">
        <v>23</v>
      </c>
      <c r="K412" s="4" t="s">
        <v>1285</v>
      </c>
      <c r="L412" s="4" t="s">
        <v>86</v>
      </c>
      <c r="M412" s="39">
        <v>521</v>
      </c>
      <c r="N412" s="39">
        <v>433</v>
      </c>
      <c r="O412" s="38">
        <v>0.5</v>
      </c>
      <c r="P412" s="39">
        <v>72.55</v>
      </c>
      <c r="Q412" s="39">
        <v>86.38</v>
      </c>
      <c r="R412" s="38">
        <v>1</v>
      </c>
      <c r="S412" s="40">
        <v>11</v>
      </c>
      <c r="T412" s="39">
        <v>68.94</v>
      </c>
      <c r="U412" s="39">
        <v>70.13</v>
      </c>
      <c r="V412" s="39">
        <v>70.95</v>
      </c>
      <c r="W412" s="38">
        <v>0.8609</v>
      </c>
      <c r="X412" s="39">
        <v>20.89</v>
      </c>
      <c r="Y412" s="41">
        <v>374442.407268329</v>
      </c>
      <c r="Z412" s="39">
        <v>8298</v>
      </c>
      <c r="AA412" s="39">
        <v>3.9783031036343099</v>
      </c>
    </row>
    <row r="413" spans="1:27" s="22" customFormat="1" x14ac:dyDescent="0.25">
      <c r="A413" s="7" t="str">
        <f>F413&amp;G413&amp;H413&amp;K413</f>
        <v>3531Providence Medford Medical Center489959004899, REHAB ADMIN AND SUPPORT (U,N)</v>
      </c>
      <c r="B413" s="7"/>
      <c r="C413" s="29" t="s">
        <v>1249</v>
      </c>
      <c r="D413" s="29" t="s">
        <v>1249</v>
      </c>
      <c r="E413" s="29" t="s">
        <v>1249</v>
      </c>
      <c r="F413" s="89">
        <v>3531</v>
      </c>
      <c r="G413" s="43" t="s">
        <v>1276</v>
      </c>
      <c r="H413" s="42">
        <v>4899</v>
      </c>
      <c r="I413" s="43" t="s">
        <v>40</v>
      </c>
      <c r="J413" s="43" t="s">
        <v>41</v>
      </c>
      <c r="K413" s="43" t="s">
        <v>1308</v>
      </c>
      <c r="L413" s="43" t="s">
        <v>43</v>
      </c>
      <c r="M413" s="46">
        <v>2547.84</v>
      </c>
      <c r="N413" s="46">
        <v>2990.98</v>
      </c>
      <c r="O413" s="45">
        <v>0.85270000000000001</v>
      </c>
      <c r="P413" s="46">
        <v>9.7200000000000006</v>
      </c>
      <c r="Q413" s="46">
        <v>6.16</v>
      </c>
      <c r="R413" s="45">
        <v>0.71719999999999995</v>
      </c>
      <c r="S413" s="47">
        <v>27</v>
      </c>
      <c r="T413" s="46">
        <v>2.58</v>
      </c>
      <c r="U413" s="46">
        <v>3.87</v>
      </c>
      <c r="V413" s="46">
        <v>4.4400000000000004</v>
      </c>
      <c r="W413" s="45">
        <v>0.89419999999999999</v>
      </c>
      <c r="X413" s="46">
        <v>9.9</v>
      </c>
      <c r="Y413" s="48">
        <v>199762.009072905</v>
      </c>
      <c r="Z413" s="46">
        <v>7704</v>
      </c>
      <c r="AA413" s="46">
        <v>3.69362565038664</v>
      </c>
    </row>
    <row r="414" spans="1:27" s="22" customFormat="1" x14ac:dyDescent="0.25">
      <c r="A414" s="7" t="str">
        <f>F414&amp;G414&amp;H414&amp;K414</f>
        <v>3531Providence Medford Medical Center191059087200, NURSING SERVICE ADMIN</v>
      </c>
      <c r="B414" s="7"/>
      <c r="C414" s="29" t="s">
        <v>1249</v>
      </c>
      <c r="D414" s="29" t="s">
        <v>1249</v>
      </c>
      <c r="E414" s="29" t="s">
        <v>1249</v>
      </c>
      <c r="F414" s="29">
        <v>3531</v>
      </c>
      <c r="G414" s="4" t="s">
        <v>1276</v>
      </c>
      <c r="H414" s="5">
        <v>1910</v>
      </c>
      <c r="I414" s="4" t="s">
        <v>34</v>
      </c>
      <c r="J414" s="4" t="s">
        <v>23</v>
      </c>
      <c r="K414" s="4" t="s">
        <v>1290</v>
      </c>
      <c r="L414" s="4" t="s">
        <v>35</v>
      </c>
      <c r="M414" s="39">
        <v>332</v>
      </c>
      <c r="N414" s="39">
        <v>322</v>
      </c>
      <c r="O414" s="38">
        <v>0.41670000000000001</v>
      </c>
      <c r="P414" s="39">
        <v>56.18</v>
      </c>
      <c r="Q414" s="39">
        <v>67.010000000000005</v>
      </c>
      <c r="R414" s="38">
        <v>0.5</v>
      </c>
      <c r="S414" s="40">
        <v>13</v>
      </c>
      <c r="T414" s="39">
        <v>40.75</v>
      </c>
      <c r="U414" s="39">
        <v>49.23</v>
      </c>
      <c r="V414" s="39">
        <v>67.010000000000005</v>
      </c>
      <c r="W414" s="38">
        <v>0.92079999999999995</v>
      </c>
      <c r="X414" s="39">
        <v>11.26</v>
      </c>
      <c r="Y414" s="41">
        <f>Z414*43.49</f>
        <v>270403.13683753274</v>
      </c>
      <c r="Z414" s="39">
        <f>SUM((Q414-U414)*N414)/W414</f>
        <v>6217.5933970460501</v>
      </c>
      <c r="AA414" s="39">
        <f>+Z414/2085.7</f>
        <v>2.9810583482984372</v>
      </c>
    </row>
    <row r="415" spans="1:27" s="22" customFormat="1" x14ac:dyDescent="0.25">
      <c r="A415" s="7" t="str">
        <f>F415&amp;G415&amp;H415&amp;K415</f>
        <v>3531Providence Medford Medical Center449059004490, PHARMACY SUPPORT SVCS (U,N)</v>
      </c>
      <c r="B415" s="7"/>
      <c r="C415" s="29" t="s">
        <v>1249</v>
      </c>
      <c r="D415" s="29" t="s">
        <v>1249</v>
      </c>
      <c r="E415" s="29" t="s">
        <v>1249</v>
      </c>
      <c r="F415" s="29">
        <v>3531</v>
      </c>
      <c r="G415" s="4" t="s">
        <v>1276</v>
      </c>
      <c r="H415" s="5">
        <v>4490</v>
      </c>
      <c r="I415" s="4" t="s">
        <v>36</v>
      </c>
      <c r="J415" s="60" t="s">
        <v>37</v>
      </c>
      <c r="K415" s="60" t="s">
        <v>1315</v>
      </c>
      <c r="L415" s="60" t="s">
        <v>39</v>
      </c>
      <c r="M415" s="62">
        <v>21029.31</v>
      </c>
      <c r="N415" s="62">
        <v>21516.720000000001</v>
      </c>
      <c r="O415" s="63">
        <v>0.50529999999999997</v>
      </c>
      <c r="P415" s="62">
        <v>0.56000000000000005</v>
      </c>
      <c r="Q415" s="72">
        <f>10743.44/N415</f>
        <v>0.49930658576214221</v>
      </c>
      <c r="R415" s="63">
        <v>0.90029999999999999</v>
      </c>
      <c r="S415" s="64">
        <v>31</v>
      </c>
      <c r="T415" s="62">
        <v>0.23</v>
      </c>
      <c r="U415" s="62">
        <v>0.28999999999999998</v>
      </c>
      <c r="V415" s="62">
        <v>0.33</v>
      </c>
      <c r="W415" s="63">
        <v>0.90949999999999998</v>
      </c>
      <c r="X415" s="62">
        <v>5.66</v>
      </c>
      <c r="Y415" s="57">
        <f>+Z415*40.66</f>
        <v>201337.0183529412</v>
      </c>
      <c r="Z415" s="62">
        <f>((Q415-U415)*N415)/W415</f>
        <v>4951.7220450797149</v>
      </c>
      <c r="AA415" s="62">
        <f>Z415/2085.7</f>
        <v>2.3741295704462364</v>
      </c>
    </row>
    <row r="416" spans="1:27" s="22" customFormat="1" x14ac:dyDescent="0.25">
      <c r="A416" s="7" t="str">
        <f>F416&amp;G416&amp;H416&amp;K416</f>
        <v>3531Providence Medford Medical Center487259077713, OP PHYSICAL THERAPY - NEURO</v>
      </c>
      <c r="B416" s="7"/>
      <c r="C416" s="29" t="s">
        <v>1249</v>
      </c>
      <c r="D416" s="29" t="s">
        <v>1249</v>
      </c>
      <c r="E416" s="29" t="s">
        <v>1249</v>
      </c>
      <c r="F416" s="29">
        <v>3531</v>
      </c>
      <c r="G416" s="4" t="s">
        <v>1276</v>
      </c>
      <c r="H416" s="5">
        <v>4872</v>
      </c>
      <c r="I416" s="4" t="s">
        <v>197</v>
      </c>
      <c r="J416" s="4" t="s">
        <v>41</v>
      </c>
      <c r="K416" s="4" t="s">
        <v>1296</v>
      </c>
      <c r="L416" s="4" t="s">
        <v>79</v>
      </c>
      <c r="M416" s="39">
        <v>336.64</v>
      </c>
      <c r="N416" s="39">
        <v>396.4</v>
      </c>
      <c r="O416" s="38">
        <v>0.6</v>
      </c>
      <c r="P416" s="39">
        <v>28.74</v>
      </c>
      <c r="Q416" s="39">
        <v>35.32</v>
      </c>
      <c r="R416" s="38">
        <v>0.8</v>
      </c>
      <c r="S416" s="40">
        <v>16</v>
      </c>
      <c r="T416" s="39">
        <v>21.6</v>
      </c>
      <c r="U416" s="39">
        <v>24.39</v>
      </c>
      <c r="V416" s="39">
        <v>26.1</v>
      </c>
      <c r="W416" s="38">
        <v>0.90100000000000002</v>
      </c>
      <c r="X416" s="39">
        <v>7.47</v>
      </c>
      <c r="Y416" s="41">
        <v>149015.95641891201</v>
      </c>
      <c r="Z416" s="39">
        <v>4850</v>
      </c>
      <c r="AA416" s="39">
        <v>2.3251962395801602</v>
      </c>
    </row>
    <row r="417" spans="1:27" s="22" customFormat="1" x14ac:dyDescent="0.25">
      <c r="A417" s="7" t="str">
        <f>F417&amp;G417&amp;H417&amp;K417</f>
        <v>3531Providence Medford Medical Center309959003099, SURG SVCS ADMIN (U,N)</v>
      </c>
      <c r="B417" s="7"/>
      <c r="C417" s="29" t="s">
        <v>1249</v>
      </c>
      <c r="D417" s="29" t="s">
        <v>1249</v>
      </c>
      <c r="E417" s="29" t="s">
        <v>1249</v>
      </c>
      <c r="F417" s="148">
        <v>3531</v>
      </c>
      <c r="G417" s="43" t="s">
        <v>1276</v>
      </c>
      <c r="H417" s="42">
        <v>3099</v>
      </c>
      <c r="I417" s="43" t="s">
        <v>46</v>
      </c>
      <c r="J417" s="43" t="s">
        <v>47</v>
      </c>
      <c r="K417" s="43" t="s">
        <v>1311</v>
      </c>
      <c r="L417" s="43" t="s">
        <v>49</v>
      </c>
      <c r="M417" s="46">
        <v>6829</v>
      </c>
      <c r="N417" s="46">
        <v>5649</v>
      </c>
      <c r="O417" s="45">
        <v>0.60509999999999997</v>
      </c>
      <c r="P417" s="46">
        <v>2</v>
      </c>
      <c r="Q417" s="46">
        <f>11427.91/N417</f>
        <v>2.0229969906178082</v>
      </c>
      <c r="R417" s="45">
        <v>0.8306</v>
      </c>
      <c r="S417" s="47">
        <v>29</v>
      </c>
      <c r="T417" s="46">
        <v>1.23</v>
      </c>
      <c r="U417" s="46">
        <v>1.31</v>
      </c>
      <c r="V417" s="46">
        <v>1.65</v>
      </c>
      <c r="W417" s="45">
        <v>0.85350000000000004</v>
      </c>
      <c r="X417" s="46">
        <v>6.44</v>
      </c>
      <c r="Y417" s="48">
        <f>+Z417*37.83</f>
        <v>178522.14130052718</v>
      </c>
      <c r="Z417" s="46">
        <f>((Q417-U417)*N417)/W417</f>
        <v>4719.0626830697111</v>
      </c>
      <c r="AA417" s="46">
        <f>Z417/2085.7</f>
        <v>2.2625797972238151</v>
      </c>
    </row>
    <row r="418" spans="1:27" s="22" customFormat="1" x14ac:dyDescent="0.25">
      <c r="A418" s="7" t="str">
        <f>F418&amp;G418&amp;H418&amp;K418</f>
        <v>3531Providence Medford Medical Center112259061701, MEDICAL TELEMETRY</v>
      </c>
      <c r="B418" s="7"/>
      <c r="C418" s="29" t="s">
        <v>1249</v>
      </c>
      <c r="D418" s="29" t="s">
        <v>1249</v>
      </c>
      <c r="E418" s="29" t="s">
        <v>1249</v>
      </c>
      <c r="F418" s="29">
        <v>3531</v>
      </c>
      <c r="G418" s="4" t="s">
        <v>1276</v>
      </c>
      <c r="H418" s="5">
        <v>1122</v>
      </c>
      <c r="I418" s="4" t="s">
        <v>105</v>
      </c>
      <c r="J418" s="4" t="s">
        <v>23</v>
      </c>
      <c r="K418" s="4" t="s">
        <v>1326</v>
      </c>
      <c r="L418" s="4" t="s">
        <v>74</v>
      </c>
      <c r="M418" s="39">
        <v>7906.42</v>
      </c>
      <c r="N418" s="39">
        <v>8977</v>
      </c>
      <c r="O418" s="38">
        <v>0.56059999999999999</v>
      </c>
      <c r="P418" s="39">
        <v>11.92</v>
      </c>
      <c r="Q418" s="39">
        <v>11.6</v>
      </c>
      <c r="R418" s="38">
        <v>0.53129999999999999</v>
      </c>
      <c r="S418" s="40">
        <v>67</v>
      </c>
      <c r="T418" s="39">
        <v>10.99</v>
      </c>
      <c r="U418" s="39">
        <v>11.2</v>
      </c>
      <c r="V418" s="39">
        <v>11.42</v>
      </c>
      <c r="W418" s="38">
        <v>0.92630000000000001</v>
      </c>
      <c r="X418" s="39">
        <v>54.02</v>
      </c>
      <c r="Y418" s="41">
        <v>144116.19524569</v>
      </c>
      <c r="Z418" s="39">
        <v>4128</v>
      </c>
      <c r="AA418" s="39">
        <v>1.97898688410919</v>
      </c>
    </row>
    <row r="419" spans="1:27" s="22" customFormat="1" x14ac:dyDescent="0.25">
      <c r="A419" s="7" t="str">
        <f>F419&amp;G419&amp;H419&amp;K419</f>
        <v>3531Providence Medford Medical Center303059074300, SHORT STAY SURGICAL UNIT</v>
      </c>
      <c r="B419" s="7"/>
      <c r="C419" s="29" t="s">
        <v>1249</v>
      </c>
      <c r="D419" s="29" t="s">
        <v>1249</v>
      </c>
      <c r="E419" s="29" t="s">
        <v>1249</v>
      </c>
      <c r="F419" s="89">
        <v>3531</v>
      </c>
      <c r="G419" s="43" t="s">
        <v>1276</v>
      </c>
      <c r="H419" s="42">
        <v>3030</v>
      </c>
      <c r="I419" s="43" t="s">
        <v>80</v>
      </c>
      <c r="J419" s="43" t="s">
        <v>47</v>
      </c>
      <c r="K419" s="43" t="s">
        <v>1303</v>
      </c>
      <c r="L419" s="43" t="s">
        <v>81</v>
      </c>
      <c r="M419" s="46">
        <v>13324.53</v>
      </c>
      <c r="N419" s="46">
        <v>17136.599999999999</v>
      </c>
      <c r="O419" s="45">
        <v>0.75</v>
      </c>
      <c r="P419" s="46">
        <v>2.4</v>
      </c>
      <c r="Q419" s="46">
        <f>37232.45/N419</f>
        <v>2.1726859470373352</v>
      </c>
      <c r="R419" s="71"/>
      <c r="S419" s="47">
        <v>22</v>
      </c>
      <c r="T419" s="46">
        <v>1.85</v>
      </c>
      <c r="U419" s="46">
        <v>1.99</v>
      </c>
      <c r="V419" s="46">
        <v>2.2400000000000002</v>
      </c>
      <c r="W419" s="45">
        <v>0.88190000000000002</v>
      </c>
      <c r="X419" s="46">
        <v>20.3</v>
      </c>
      <c r="Y419" s="48">
        <f>+Z419*35.56</f>
        <v>126232.79845787497</v>
      </c>
      <c r="Z419" s="46">
        <f>((Q419-U419)*N419)/W419</f>
        <v>3549.8537249121196</v>
      </c>
      <c r="AA419" s="46">
        <f>Z419/2085.7</f>
        <v>1.7019963201381405</v>
      </c>
    </row>
    <row r="420" spans="1:27" s="22" customFormat="1" x14ac:dyDescent="0.25">
      <c r="A420" s="7" t="str">
        <f>F420&amp;G420&amp;H420&amp;K420</f>
        <v>3531Providence Medford Medical Center584059083600, CARE MANAGEMENT</v>
      </c>
      <c r="B420" s="7"/>
      <c r="C420" s="29" t="s">
        <v>1249</v>
      </c>
      <c r="D420" s="29" t="s">
        <v>1249</v>
      </c>
      <c r="E420" s="29" t="s">
        <v>1249</v>
      </c>
      <c r="F420" s="29">
        <v>3531</v>
      </c>
      <c r="G420" s="4" t="s">
        <v>1276</v>
      </c>
      <c r="H420" s="5">
        <v>5840</v>
      </c>
      <c r="I420" s="4" t="s">
        <v>1091</v>
      </c>
      <c r="J420" s="4" t="s">
        <v>26</v>
      </c>
      <c r="K420" s="4" t="s">
        <v>1278</v>
      </c>
      <c r="L420" s="4" t="s">
        <v>1093</v>
      </c>
      <c r="M420" s="7"/>
      <c r="N420" s="39">
        <v>6508</v>
      </c>
      <c r="O420" s="38">
        <v>0.375</v>
      </c>
      <c r="P420" s="7"/>
      <c r="Q420" s="39">
        <v>1.49</v>
      </c>
      <c r="R420" s="38">
        <v>0.625</v>
      </c>
      <c r="S420" s="40">
        <v>9</v>
      </c>
      <c r="T420" s="39">
        <v>0.37</v>
      </c>
      <c r="U420" s="39">
        <v>1</v>
      </c>
      <c r="V420" s="39">
        <v>1.45</v>
      </c>
      <c r="W420" s="38">
        <v>0.92049999999999998</v>
      </c>
      <c r="X420" s="39">
        <v>5.05</v>
      </c>
      <c r="Y420" s="41">
        <v>144317.99327080499</v>
      </c>
      <c r="Z420" s="39">
        <v>3463</v>
      </c>
      <c r="AA420" s="39">
        <v>1.6602168989802699</v>
      </c>
    </row>
    <row r="421" spans="1:27" s="22" customFormat="1" x14ac:dyDescent="0.25">
      <c r="A421" s="7" t="str">
        <f>F421&amp;G421&amp;H421&amp;K421</f>
        <v>3531Providence Medford Medical Center401059076420, RADIATION ONCOLOGY</v>
      </c>
      <c r="B421" s="7"/>
      <c r="C421" s="29" t="s">
        <v>1249</v>
      </c>
      <c r="D421" s="29" t="s">
        <v>1249</v>
      </c>
      <c r="E421" s="29" t="s">
        <v>1249</v>
      </c>
      <c r="F421" s="29">
        <v>3531</v>
      </c>
      <c r="G421" s="4" t="s">
        <v>1276</v>
      </c>
      <c r="H421" s="5">
        <v>4010</v>
      </c>
      <c r="I421" s="4" t="s">
        <v>152</v>
      </c>
      <c r="J421" s="4" t="s">
        <v>153</v>
      </c>
      <c r="K421" s="4" t="s">
        <v>1309</v>
      </c>
      <c r="L421" s="4" t="s">
        <v>99</v>
      </c>
      <c r="M421" s="39">
        <v>41625.379999999997</v>
      </c>
      <c r="N421" s="39">
        <v>46505.14</v>
      </c>
      <c r="O421" s="38">
        <v>0.57689999999999997</v>
      </c>
      <c r="P421" s="39">
        <v>0.37</v>
      </c>
      <c r="Q421" s="39">
        <v>0.39</v>
      </c>
      <c r="R421" s="38">
        <v>0.56000000000000005</v>
      </c>
      <c r="S421" s="40">
        <v>27</v>
      </c>
      <c r="T421" s="39">
        <v>0.33</v>
      </c>
      <c r="U421" s="39">
        <v>0.34</v>
      </c>
      <c r="V421" s="39">
        <v>0.37</v>
      </c>
      <c r="W421" s="38">
        <v>0.86499999999999999</v>
      </c>
      <c r="X421" s="39">
        <v>9.99</v>
      </c>
      <c r="Y421" s="41">
        <v>119508.265892729</v>
      </c>
      <c r="Z421" s="39">
        <v>2557</v>
      </c>
      <c r="AA421" s="39">
        <v>1.22580716583418</v>
      </c>
    </row>
    <row r="422" spans="1:27" s="22" customFormat="1" x14ac:dyDescent="0.25">
      <c r="A422" s="7" t="str">
        <f>F422&amp;G422&amp;H422&amp;K422</f>
        <v>3531Providence Medford Medical Center623059006230, COMBO ALL STAFF EDUC (U,N)</v>
      </c>
      <c r="B422" s="7"/>
      <c r="C422" s="29" t="s">
        <v>1249</v>
      </c>
      <c r="D422" s="29" t="s">
        <v>1249</v>
      </c>
      <c r="E422" s="29" t="s">
        <v>1249</v>
      </c>
      <c r="F422" s="29">
        <v>3531</v>
      </c>
      <c r="G422" s="4" t="s">
        <v>1276</v>
      </c>
      <c r="H422" s="5">
        <v>6230</v>
      </c>
      <c r="I422" s="4" t="s">
        <v>284</v>
      </c>
      <c r="J422" s="4" t="s">
        <v>21</v>
      </c>
      <c r="K422" s="4" t="s">
        <v>1302</v>
      </c>
      <c r="L422" s="4" t="s">
        <v>18</v>
      </c>
      <c r="M422" s="39">
        <v>13415.83</v>
      </c>
      <c r="N422" s="39">
        <v>13761.01</v>
      </c>
      <c r="O422" s="38">
        <v>0.6452</v>
      </c>
      <c r="P422" s="39">
        <v>0.3</v>
      </c>
      <c r="Q422" s="39">
        <v>0.55000000000000004</v>
      </c>
      <c r="R422" s="38">
        <v>0.57450000000000001</v>
      </c>
      <c r="S422" s="40">
        <v>20</v>
      </c>
      <c r="T422" s="39">
        <v>0.35</v>
      </c>
      <c r="U422" s="39">
        <v>0.41</v>
      </c>
      <c r="V422" s="39">
        <v>0.49</v>
      </c>
      <c r="W422" s="38">
        <v>0.86799999999999999</v>
      </c>
      <c r="X422" s="39">
        <v>4.1500000000000004</v>
      </c>
      <c r="Y422" s="41">
        <v>89070.372122910296</v>
      </c>
      <c r="Z422" s="39">
        <v>2156</v>
      </c>
      <c r="AA422" s="39">
        <v>1.03353250983381</v>
      </c>
    </row>
    <row r="423" spans="1:27" s="22" customFormat="1" x14ac:dyDescent="0.25">
      <c r="A423" s="7" t="str">
        <f>F423&amp;G423&amp;H423&amp;K423</f>
        <v>3531Providence Medford Medical Center481259077702, OP PHYSICAL THERAPY-ORTHO</v>
      </c>
      <c r="B423" s="7"/>
      <c r="C423" s="29" t="s">
        <v>1249</v>
      </c>
      <c r="D423" s="29" t="s">
        <v>1249</v>
      </c>
      <c r="E423" s="29" t="s">
        <v>1249</v>
      </c>
      <c r="F423" s="29">
        <v>3531</v>
      </c>
      <c r="G423" s="4" t="s">
        <v>1276</v>
      </c>
      <c r="H423" s="5">
        <v>4812</v>
      </c>
      <c r="I423" s="4" t="s">
        <v>78</v>
      </c>
      <c r="J423" s="4" t="s">
        <v>41</v>
      </c>
      <c r="K423" s="4" t="s">
        <v>1324</v>
      </c>
      <c r="L423" s="4" t="s">
        <v>79</v>
      </c>
      <c r="M423" s="39">
        <v>360.19</v>
      </c>
      <c r="N423" s="39">
        <v>478.59</v>
      </c>
      <c r="O423" s="38">
        <v>0.6</v>
      </c>
      <c r="P423" s="39">
        <v>28.52</v>
      </c>
      <c r="Q423" s="39">
        <v>25.85</v>
      </c>
      <c r="R423" s="38">
        <v>0.72089999999999999</v>
      </c>
      <c r="S423" s="40">
        <v>46</v>
      </c>
      <c r="T423" s="39">
        <v>22</v>
      </c>
      <c r="U423" s="39">
        <v>22.41</v>
      </c>
      <c r="V423" s="39">
        <v>23.45</v>
      </c>
      <c r="W423" s="38">
        <v>0.87270000000000003</v>
      </c>
      <c r="X423" s="39">
        <v>6.82</v>
      </c>
      <c r="Y423" s="41">
        <v>66288.186186660794</v>
      </c>
      <c r="Z423" s="39">
        <v>1935</v>
      </c>
      <c r="AA423" s="39">
        <v>0.92764832133851505</v>
      </c>
    </row>
    <row r="424" spans="1:27" s="22" customFormat="1" x14ac:dyDescent="0.25">
      <c r="A424" s="7" t="str">
        <f>F424&amp;G424&amp;H424&amp;K424</f>
        <v>3531Providence Medford Medical Center123959061721, NEUROSURGERY</v>
      </c>
      <c r="B424" s="7"/>
      <c r="C424" s="29" t="s">
        <v>1249</v>
      </c>
      <c r="D424" s="29" t="s">
        <v>1249</v>
      </c>
      <c r="E424" s="29" t="s">
        <v>1249</v>
      </c>
      <c r="F424" s="29">
        <v>3531</v>
      </c>
      <c r="G424" s="4" t="s">
        <v>1276</v>
      </c>
      <c r="H424" s="5">
        <v>1239</v>
      </c>
      <c r="I424" s="4" t="s">
        <v>289</v>
      </c>
      <c r="J424" s="4" t="s">
        <v>23</v>
      </c>
      <c r="K424" s="4" t="s">
        <v>1279</v>
      </c>
      <c r="L424" s="4" t="s">
        <v>74</v>
      </c>
      <c r="M424" s="39">
        <v>3547.84</v>
      </c>
      <c r="N424" s="39">
        <v>3583</v>
      </c>
      <c r="O424" s="38">
        <v>0.125</v>
      </c>
      <c r="P424" s="39">
        <v>12.59</v>
      </c>
      <c r="Q424" s="39">
        <v>11.9</v>
      </c>
      <c r="R424" s="38">
        <v>0.5</v>
      </c>
      <c r="S424" s="40">
        <v>9</v>
      </c>
      <c r="T424" s="39">
        <v>11.41</v>
      </c>
      <c r="U424" s="39">
        <v>11.49</v>
      </c>
      <c r="V424" s="39">
        <v>11.9</v>
      </c>
      <c r="W424" s="38">
        <v>0.92090000000000005</v>
      </c>
      <c r="X424" s="39">
        <v>22.25</v>
      </c>
      <c r="Y424" s="41">
        <v>64080.785394729901</v>
      </c>
      <c r="Z424" s="39">
        <v>1702</v>
      </c>
      <c r="AA424" s="39">
        <v>0.81603472675911304</v>
      </c>
    </row>
    <row r="425" spans="1:27" s="22" customFormat="1" x14ac:dyDescent="0.25">
      <c r="A425" s="7" t="str">
        <f>F425&amp;G425&amp;H425&amp;K425</f>
        <v>3531Providence Medford Medical Center432059078745, SLEEP LAB</v>
      </c>
      <c r="B425" s="7"/>
      <c r="C425" s="29" t="s">
        <v>1249</v>
      </c>
      <c r="D425" s="29" t="s">
        <v>1249</v>
      </c>
      <c r="E425" s="29" t="s">
        <v>1249</v>
      </c>
      <c r="F425" s="29">
        <v>3531</v>
      </c>
      <c r="G425" s="4" t="s">
        <v>1276</v>
      </c>
      <c r="H425" s="5">
        <v>4320</v>
      </c>
      <c r="I425" s="4" t="s">
        <v>166</v>
      </c>
      <c r="J425" s="4" t="s">
        <v>116</v>
      </c>
      <c r="K425" s="4" t="s">
        <v>1300</v>
      </c>
      <c r="L425" s="4" t="s">
        <v>99</v>
      </c>
      <c r="M425" s="39">
        <v>3378.65</v>
      </c>
      <c r="N425" s="39">
        <v>5789.07</v>
      </c>
      <c r="O425" s="38">
        <v>0.55559999999999998</v>
      </c>
      <c r="P425" s="39">
        <v>0.92</v>
      </c>
      <c r="Q425" s="39">
        <v>1.23</v>
      </c>
      <c r="R425" s="38">
        <v>0.64710000000000001</v>
      </c>
      <c r="S425" s="40">
        <v>19</v>
      </c>
      <c r="T425" s="39">
        <v>0.92</v>
      </c>
      <c r="U425" s="39">
        <v>0.97</v>
      </c>
      <c r="V425" s="39">
        <v>1.03</v>
      </c>
      <c r="W425" s="38">
        <v>0.91910000000000003</v>
      </c>
      <c r="X425" s="39">
        <v>3.72</v>
      </c>
      <c r="Y425" s="41">
        <v>44218.857067723002</v>
      </c>
      <c r="Z425" s="39">
        <v>1649</v>
      </c>
      <c r="AA425" s="39">
        <v>0.79068599469327305</v>
      </c>
    </row>
    <row r="426" spans="1:27" s="22" customFormat="1" x14ac:dyDescent="0.25">
      <c r="A426" s="7" t="str">
        <f>F426&amp;G426&amp;H426&amp;K426</f>
        <v>3531Providence Medford Medical Center339059075400, BLOOD BANK</v>
      </c>
      <c r="B426" s="7"/>
      <c r="C426" s="29" t="s">
        <v>1249</v>
      </c>
      <c r="D426" s="29" t="s">
        <v>1249</v>
      </c>
      <c r="E426" s="29" t="s">
        <v>1249</v>
      </c>
      <c r="F426" s="29">
        <v>3531</v>
      </c>
      <c r="G426" s="4" t="s">
        <v>1276</v>
      </c>
      <c r="H426" s="5">
        <v>3390</v>
      </c>
      <c r="I426" s="4" t="s">
        <v>831</v>
      </c>
      <c r="J426" s="4" t="s">
        <v>53</v>
      </c>
      <c r="K426" s="4" t="s">
        <v>1283</v>
      </c>
      <c r="L426" s="4" t="s">
        <v>94</v>
      </c>
      <c r="M426" s="39">
        <v>163.75</v>
      </c>
      <c r="N426" s="39">
        <v>157.12</v>
      </c>
      <c r="O426" s="38">
        <v>0.33329999999999999</v>
      </c>
      <c r="P426" s="39">
        <v>27.37</v>
      </c>
      <c r="Q426" s="39">
        <v>26.84</v>
      </c>
      <c r="R426" s="38">
        <v>0.75</v>
      </c>
      <c r="S426" s="40">
        <v>10</v>
      </c>
      <c r="T426" s="39">
        <v>19.86</v>
      </c>
      <c r="U426" s="39">
        <v>20.57</v>
      </c>
      <c r="V426" s="39">
        <v>23.68</v>
      </c>
      <c r="W426" s="38">
        <v>0.97130000000000005</v>
      </c>
      <c r="X426" s="39">
        <v>2.09</v>
      </c>
      <c r="Y426" s="41">
        <v>35753.389346363198</v>
      </c>
      <c r="Z426" s="39">
        <v>1032</v>
      </c>
      <c r="AA426" s="39">
        <v>0.49463326526298301</v>
      </c>
    </row>
    <row r="427" spans="1:27" s="22" customFormat="1" x14ac:dyDescent="0.25">
      <c r="A427" s="7" t="str">
        <f>F427&amp;G427&amp;H427&amp;K427</f>
        <v>3531Providence Medford Medical Center141059064400, REHAB</v>
      </c>
      <c r="B427" s="7"/>
      <c r="C427" s="29" t="s">
        <v>1249</v>
      </c>
      <c r="D427" s="29" t="s">
        <v>1249</v>
      </c>
      <c r="E427" s="29" t="s">
        <v>1249</v>
      </c>
      <c r="F427" s="29">
        <v>3531</v>
      </c>
      <c r="G427" s="4" t="s">
        <v>1276</v>
      </c>
      <c r="H427" s="5">
        <v>1410</v>
      </c>
      <c r="I427" s="4" t="s">
        <v>113</v>
      </c>
      <c r="J427" s="4" t="s">
        <v>23</v>
      </c>
      <c r="K427" s="4" t="s">
        <v>1291</v>
      </c>
      <c r="L427" s="4" t="s">
        <v>74</v>
      </c>
      <c r="M427" s="39">
        <v>1586</v>
      </c>
      <c r="N427" s="39">
        <v>1733</v>
      </c>
      <c r="O427" s="38">
        <v>0.53849999999999998</v>
      </c>
      <c r="P427" s="39">
        <v>13.02</v>
      </c>
      <c r="Q427" s="39">
        <v>12.51</v>
      </c>
      <c r="R427" s="38">
        <v>0.41670000000000001</v>
      </c>
      <c r="S427" s="40">
        <v>14</v>
      </c>
      <c r="T427" s="39">
        <v>11.68</v>
      </c>
      <c r="U427" s="39">
        <v>12.06</v>
      </c>
      <c r="V427" s="39">
        <v>12.61</v>
      </c>
      <c r="W427" s="38">
        <v>0.83140000000000003</v>
      </c>
      <c r="X427" s="39">
        <v>12.53</v>
      </c>
      <c r="Y427" s="41">
        <v>41275.713204805601</v>
      </c>
      <c r="Z427" s="39">
        <v>996</v>
      </c>
      <c r="AA427" s="39">
        <v>0.477309369185903</v>
      </c>
    </row>
    <row r="428" spans="1:27" s="22" customFormat="1" x14ac:dyDescent="0.25">
      <c r="A428" s="7" t="str">
        <f>F428&amp;G428&amp;H428&amp;K428</f>
        <v>3531Providence Medford Medical Center511159083410, NUTRITION SERVICES</v>
      </c>
      <c r="B428" s="7"/>
      <c r="C428" s="29" t="s">
        <v>1249</v>
      </c>
      <c r="D428" s="29" t="s">
        <v>1249</v>
      </c>
      <c r="E428" s="29" t="s">
        <v>1249</v>
      </c>
      <c r="F428" s="29">
        <v>3531</v>
      </c>
      <c r="G428" s="4" t="s">
        <v>1276</v>
      </c>
      <c r="H428" s="5">
        <v>5111</v>
      </c>
      <c r="I428" s="4" t="s">
        <v>64</v>
      </c>
      <c r="J428" s="4" t="s">
        <v>65</v>
      </c>
      <c r="K428" s="4" t="s">
        <v>1297</v>
      </c>
      <c r="L428" s="4" t="s">
        <v>67</v>
      </c>
      <c r="M428" s="39">
        <v>8017</v>
      </c>
      <c r="N428" s="39">
        <v>9413</v>
      </c>
      <c r="O428" s="38">
        <v>0.6</v>
      </c>
      <c r="P428" s="39">
        <v>0.44</v>
      </c>
      <c r="Q428" s="39">
        <v>0.53</v>
      </c>
      <c r="R428" s="38">
        <v>0.5</v>
      </c>
      <c r="S428" s="40">
        <v>16</v>
      </c>
      <c r="T428" s="39">
        <v>0.4</v>
      </c>
      <c r="U428" s="39">
        <v>0.44</v>
      </c>
      <c r="V428" s="39">
        <v>0.53</v>
      </c>
      <c r="W428" s="38">
        <v>0.9113</v>
      </c>
      <c r="X428" s="39">
        <v>2.62</v>
      </c>
      <c r="Y428" s="41">
        <v>25999.864967752401</v>
      </c>
      <c r="Z428" s="39">
        <v>920</v>
      </c>
      <c r="AA428" s="39">
        <v>0.440948353400264</v>
      </c>
    </row>
    <row r="429" spans="1:27" s="22" customFormat="1" x14ac:dyDescent="0.25">
      <c r="A429" s="7" t="str">
        <f>F429&amp;G429&amp;H429&amp;K429</f>
        <v>3531Providence Medford Medical Center338059075200, PATHOLOGY</v>
      </c>
      <c r="B429" s="7"/>
      <c r="C429" s="29" t="s">
        <v>1249</v>
      </c>
      <c r="D429" s="29" t="s">
        <v>1249</v>
      </c>
      <c r="E429" s="29" t="s">
        <v>1249</v>
      </c>
      <c r="F429" s="29">
        <v>3531</v>
      </c>
      <c r="G429" s="4" t="s">
        <v>1276</v>
      </c>
      <c r="H429" s="5">
        <v>3380</v>
      </c>
      <c r="I429" s="4" t="s">
        <v>95</v>
      </c>
      <c r="J429" s="4" t="s">
        <v>53</v>
      </c>
      <c r="K429" s="4" t="s">
        <v>1310</v>
      </c>
      <c r="L429" s="4" t="s">
        <v>94</v>
      </c>
      <c r="M429" s="39">
        <v>207.69</v>
      </c>
      <c r="N429" s="39">
        <v>132.55000000000001</v>
      </c>
      <c r="O429" s="38">
        <v>0.55559999999999998</v>
      </c>
      <c r="P429" s="39">
        <v>27.13</v>
      </c>
      <c r="Q429" s="39">
        <v>43.08</v>
      </c>
      <c r="R429" s="38">
        <v>0.56520000000000004</v>
      </c>
      <c r="S429" s="40">
        <v>28</v>
      </c>
      <c r="T429" s="39">
        <v>36.5</v>
      </c>
      <c r="U429" s="39">
        <v>37.299999999999997</v>
      </c>
      <c r="V429" s="39">
        <v>41.78</v>
      </c>
      <c r="W429" s="38">
        <v>0.91610000000000003</v>
      </c>
      <c r="X429" s="39">
        <v>3</v>
      </c>
      <c r="Y429" s="41">
        <v>27959.139803604299</v>
      </c>
      <c r="Z429" s="39">
        <v>860</v>
      </c>
      <c r="AA429" s="39">
        <v>0.41241967899708798</v>
      </c>
    </row>
    <row r="430" spans="1:27" s="22" customFormat="1" x14ac:dyDescent="0.25">
      <c r="A430" s="7" t="str">
        <f>F430&amp;G430&amp;H430&amp;K430</f>
        <v>3531Providence Medford Medical Center339959003399, LAB SVCS ADMIN AND SUPPORT (U,N)</v>
      </c>
      <c r="B430" s="7"/>
      <c r="C430" s="29" t="s">
        <v>1249</v>
      </c>
      <c r="D430" s="29" t="s">
        <v>1249</v>
      </c>
      <c r="E430" s="29" t="s">
        <v>1249</v>
      </c>
      <c r="F430" s="29">
        <v>3531</v>
      </c>
      <c r="G430" s="4" t="s">
        <v>1276</v>
      </c>
      <c r="H430" s="5">
        <v>3399</v>
      </c>
      <c r="I430" s="4" t="s">
        <v>52</v>
      </c>
      <c r="J430" s="4" t="s">
        <v>53</v>
      </c>
      <c r="K430" s="4" t="s">
        <v>1287</v>
      </c>
      <c r="L430" s="4" t="s">
        <v>55</v>
      </c>
      <c r="M430" s="39">
        <v>5124.8100000000004</v>
      </c>
      <c r="N430" s="39">
        <v>4570.13</v>
      </c>
      <c r="O430" s="38">
        <v>0.39400000000000002</v>
      </c>
      <c r="P430" s="39">
        <v>1.39</v>
      </c>
      <c r="Q430" s="39">
        <v>1.35</v>
      </c>
      <c r="R430" s="38">
        <v>0.4304</v>
      </c>
      <c r="S430" s="40">
        <v>12</v>
      </c>
      <c r="T430" s="39">
        <v>0.68</v>
      </c>
      <c r="U430" s="39">
        <v>1.21</v>
      </c>
      <c r="V430" s="39">
        <v>1.39</v>
      </c>
      <c r="W430" s="38">
        <v>0.90169999999999995</v>
      </c>
      <c r="X430" s="39">
        <v>3.28</v>
      </c>
      <c r="Y430" s="41">
        <f>+Z430*32.55</f>
        <v>23096.464910724208</v>
      </c>
      <c r="Z430" s="39">
        <f>((Q430-U430)*N430)/W430</f>
        <v>709.56881446157331</v>
      </c>
      <c r="AA430" s="39">
        <f>Z430/2085.7</f>
        <v>0.34020655629360569</v>
      </c>
    </row>
    <row r="431" spans="1:27" s="22" customFormat="1" x14ac:dyDescent="0.25">
      <c r="A431" s="7" t="str">
        <f>F431&amp;G431&amp;H431&amp;K431</f>
        <v>3531Providence Medford Medical Center413059077200, RESPIRATORY THERAPY</v>
      </c>
      <c r="B431" s="7"/>
      <c r="C431" s="29" t="s">
        <v>1249</v>
      </c>
      <c r="D431" s="29" t="s">
        <v>1249</v>
      </c>
      <c r="E431" s="29" t="s">
        <v>1249</v>
      </c>
      <c r="F431" s="29">
        <v>3531</v>
      </c>
      <c r="G431" s="4" t="s">
        <v>1276</v>
      </c>
      <c r="H431" s="5">
        <v>4130</v>
      </c>
      <c r="I431" s="4" t="s">
        <v>184</v>
      </c>
      <c r="J431" s="4" t="s">
        <v>44</v>
      </c>
      <c r="K431" s="4" t="s">
        <v>1280</v>
      </c>
      <c r="L431" s="4" t="s">
        <v>45</v>
      </c>
      <c r="M431" s="39">
        <v>9876.82</v>
      </c>
      <c r="N431" s="39">
        <v>10243.14</v>
      </c>
      <c r="O431" s="38">
        <v>0.5</v>
      </c>
      <c r="P431" s="39">
        <v>3.02</v>
      </c>
      <c r="Q431" s="39">
        <v>3.01</v>
      </c>
      <c r="R431" s="38">
        <v>0.42859999999999998</v>
      </c>
      <c r="S431" s="40">
        <v>9</v>
      </c>
      <c r="T431" s="39">
        <v>2.84</v>
      </c>
      <c r="U431" s="39">
        <v>2.96</v>
      </c>
      <c r="V431" s="39">
        <v>3.16</v>
      </c>
      <c r="W431" s="38">
        <v>0.89329999999999998</v>
      </c>
      <c r="X431" s="39">
        <v>16.59</v>
      </c>
      <c r="Y431" s="41">
        <v>20759.590429720301</v>
      </c>
      <c r="Z431" s="39">
        <v>661</v>
      </c>
      <c r="AA431" s="39">
        <v>0.31669948628719202</v>
      </c>
    </row>
    <row r="432" spans="1:27" s="22" customFormat="1" x14ac:dyDescent="0.25">
      <c r="A432" s="7" t="str">
        <f>F432&amp;G432&amp;H432&amp;K432</f>
        <v>3531Providence Medford Medical Center337059075000, 59075012, 59075096, 59075098, 59089008, 59089009, LAB COMBO</v>
      </c>
      <c r="B432" s="7"/>
      <c r="C432" s="29" t="s">
        <v>1249</v>
      </c>
      <c r="D432" s="29" t="s">
        <v>1249</v>
      </c>
      <c r="E432" s="29" t="s">
        <v>1249</v>
      </c>
      <c r="F432" s="29">
        <v>3531</v>
      </c>
      <c r="G432" s="4" t="s">
        <v>1276</v>
      </c>
      <c r="H432" s="5">
        <v>3370</v>
      </c>
      <c r="I432" s="4" t="s">
        <v>182</v>
      </c>
      <c r="J432" s="4" t="s">
        <v>53</v>
      </c>
      <c r="K432" s="4" t="s">
        <v>1298</v>
      </c>
      <c r="L432" s="4" t="s">
        <v>94</v>
      </c>
      <c r="M432" s="39">
        <v>4753.37</v>
      </c>
      <c r="N432" s="39">
        <v>4280.46</v>
      </c>
      <c r="O432" s="38">
        <v>0.5</v>
      </c>
      <c r="P432" s="39">
        <v>9.8800000000000008</v>
      </c>
      <c r="Q432" s="39">
        <v>11.39</v>
      </c>
      <c r="R432" s="38">
        <v>0.35709999999999997</v>
      </c>
      <c r="S432" s="40">
        <v>17</v>
      </c>
      <c r="T432" s="39">
        <v>10.77</v>
      </c>
      <c r="U432" s="39">
        <v>11.34</v>
      </c>
      <c r="V432" s="39">
        <v>12.64</v>
      </c>
      <c r="W432" s="38">
        <v>0.92889999999999995</v>
      </c>
      <c r="X432" s="39">
        <v>25.23</v>
      </c>
      <c r="Y432" s="41">
        <v>10170.7062929315</v>
      </c>
      <c r="Z432" s="39">
        <v>366</v>
      </c>
      <c r="AA432" s="39">
        <v>0.175675759059637</v>
      </c>
    </row>
    <row r="433" spans="1:27" s="22" customFormat="1" x14ac:dyDescent="0.25">
      <c r="A433" s="7" t="str">
        <f>F433&amp;G433&amp;H433&amp;K433</f>
        <v>3531Providence Medford Medical Center581059005810, SOCIAL WORK SVCS (U,N)</v>
      </c>
      <c r="B433" s="7"/>
      <c r="C433" s="29" t="s">
        <v>1249</v>
      </c>
      <c r="D433" s="29" t="s">
        <v>1249</v>
      </c>
      <c r="E433" s="29" t="s">
        <v>1249</v>
      </c>
      <c r="F433" s="29">
        <v>3531</v>
      </c>
      <c r="G433" s="4" t="s">
        <v>1276</v>
      </c>
      <c r="H433" s="5">
        <v>5810</v>
      </c>
      <c r="I433" s="4" t="s">
        <v>133</v>
      </c>
      <c r="J433" s="4" t="s">
        <v>26</v>
      </c>
      <c r="K433" s="4" t="s">
        <v>1288</v>
      </c>
      <c r="L433" s="4" t="s">
        <v>134</v>
      </c>
      <c r="M433" s="39">
        <v>121</v>
      </c>
      <c r="N433" s="39">
        <v>4806</v>
      </c>
      <c r="O433" s="38">
        <v>0.45710000000000001</v>
      </c>
      <c r="P433" s="39">
        <v>57.55</v>
      </c>
      <c r="Q433" s="39">
        <v>2.02</v>
      </c>
      <c r="R433" s="7"/>
      <c r="S433" s="40">
        <v>12</v>
      </c>
      <c r="T433" s="39">
        <v>1.83</v>
      </c>
      <c r="U433" s="39">
        <v>1.98</v>
      </c>
      <c r="V433" s="39">
        <v>2.15</v>
      </c>
      <c r="W433" s="38">
        <v>0.91159999999999997</v>
      </c>
      <c r="X433" s="39">
        <v>2.29</v>
      </c>
      <c r="Y433" s="41">
        <f>Z433*38.66</f>
        <v>8152.6967968407271</v>
      </c>
      <c r="Z433" s="39">
        <f>SUM((Q433-U433)*N433)/W433</f>
        <v>210.88196577446269</v>
      </c>
      <c r="AA433" s="39">
        <f>+Z433/2085.7</f>
        <v>0.10110848433353919</v>
      </c>
    </row>
    <row r="434" spans="1:27" s="22" customFormat="1" x14ac:dyDescent="0.25">
      <c r="A434" s="7" t="str">
        <f>F434&amp;G434&amp;H434&amp;K434</f>
        <v>3531Providence Medford Medical Center345059076700, ULTRASOUND</v>
      </c>
      <c r="B434" s="7"/>
      <c r="C434" s="29" t="s">
        <v>1249</v>
      </c>
      <c r="D434" s="29" t="s">
        <v>1249</v>
      </c>
      <c r="E434" s="29" t="s">
        <v>1249</v>
      </c>
      <c r="F434" s="29">
        <v>3531</v>
      </c>
      <c r="G434" s="4" t="s">
        <v>1276</v>
      </c>
      <c r="H434" s="5">
        <v>3450</v>
      </c>
      <c r="I434" s="4" t="s">
        <v>122</v>
      </c>
      <c r="J434" s="4" t="s">
        <v>57</v>
      </c>
      <c r="K434" s="4" t="s">
        <v>1305</v>
      </c>
      <c r="L434" s="4" t="s">
        <v>99</v>
      </c>
      <c r="M434" s="39">
        <v>15527.76</v>
      </c>
      <c r="N434" s="39">
        <v>16010.42</v>
      </c>
      <c r="O434" s="38">
        <v>0.45829999999999999</v>
      </c>
      <c r="P434" s="39">
        <v>0.47</v>
      </c>
      <c r="Q434" s="39">
        <v>0.49</v>
      </c>
      <c r="R434" s="38">
        <v>0.3478</v>
      </c>
      <c r="S434" s="40">
        <v>25</v>
      </c>
      <c r="T434" s="39">
        <v>0.48</v>
      </c>
      <c r="U434" s="39">
        <v>0.49</v>
      </c>
      <c r="V434" s="39">
        <v>0.51</v>
      </c>
      <c r="W434" s="38">
        <v>0.92030000000000001</v>
      </c>
      <c r="X434" s="39">
        <v>4.13</v>
      </c>
      <c r="Y434" s="41">
        <v>3733.48732666161</v>
      </c>
      <c r="Z434" s="39">
        <v>89</v>
      </c>
      <c r="AA434" s="39">
        <v>4.2878562694276E-2</v>
      </c>
    </row>
    <row r="435" spans="1:27" s="22" customFormat="1" x14ac:dyDescent="0.25">
      <c r="A435" s="7" t="str">
        <f>F435&amp;G435&amp;H435&amp;K435</f>
        <v>3531Providence Medford Medical Center342059076800, CTT SCANNER</v>
      </c>
      <c r="B435" s="7"/>
      <c r="C435" s="29" t="s">
        <v>1249</v>
      </c>
      <c r="D435" s="29" t="s">
        <v>1249</v>
      </c>
      <c r="E435" s="29" t="s">
        <v>1249</v>
      </c>
      <c r="F435" s="29">
        <v>3531</v>
      </c>
      <c r="G435" s="4" t="s">
        <v>1276</v>
      </c>
      <c r="H435" s="5">
        <v>3420</v>
      </c>
      <c r="I435" s="4" t="s">
        <v>123</v>
      </c>
      <c r="J435" s="4" t="s">
        <v>57</v>
      </c>
      <c r="K435" s="4" t="s">
        <v>1318</v>
      </c>
      <c r="L435" s="4" t="s">
        <v>99</v>
      </c>
      <c r="M435" s="39">
        <v>45143.91</v>
      </c>
      <c r="N435" s="39">
        <v>45862.47</v>
      </c>
      <c r="O435" s="38">
        <v>0.54549999999999998</v>
      </c>
      <c r="P435" s="39">
        <v>0.26</v>
      </c>
      <c r="Q435" s="39">
        <v>0.28000000000000003</v>
      </c>
      <c r="R435" s="38">
        <v>0.33329999999999999</v>
      </c>
      <c r="S435" s="40">
        <v>34</v>
      </c>
      <c r="T435" s="39">
        <v>0.26</v>
      </c>
      <c r="U435" s="39">
        <v>0.28000000000000003</v>
      </c>
      <c r="V435" s="39">
        <v>0.28999999999999998</v>
      </c>
      <c r="W435" s="38">
        <v>0.90549999999999997</v>
      </c>
      <c r="X435" s="39">
        <v>6.81</v>
      </c>
      <c r="Y435" s="41">
        <v>757.50066881623604</v>
      </c>
      <c r="Z435" s="39">
        <v>22</v>
      </c>
      <c r="AA435" s="39">
        <v>1.0528210995929E-2</v>
      </c>
    </row>
    <row r="436" spans="1:27" s="22" customFormat="1" x14ac:dyDescent="0.25">
      <c r="A436" s="7" t="str">
        <f>F436&amp;G436&amp;H436&amp;K436</f>
        <v>3531Providence Medford Medical Center560859005608, CENTRALIZED SCHEDULING (U,N)</v>
      </c>
      <c r="B436" s="7"/>
      <c r="C436" s="29" t="s">
        <v>1249</v>
      </c>
      <c r="D436" s="29" t="s">
        <v>1249</v>
      </c>
      <c r="E436" s="29" t="s">
        <v>1249</v>
      </c>
      <c r="F436" s="29">
        <v>3531</v>
      </c>
      <c r="G436" s="4" t="s">
        <v>1276</v>
      </c>
      <c r="H436" s="5">
        <v>5608</v>
      </c>
      <c r="I436" s="4" t="s">
        <v>257</v>
      </c>
      <c r="J436" s="4" t="s">
        <v>12</v>
      </c>
      <c r="K436" s="4" t="s">
        <v>1292</v>
      </c>
      <c r="L436" s="4" t="s">
        <v>18</v>
      </c>
      <c r="M436" s="39">
        <v>13415.83</v>
      </c>
      <c r="N436" s="39">
        <v>13761.01</v>
      </c>
      <c r="O436" s="38">
        <v>0.68179999999999996</v>
      </c>
      <c r="P436" s="39">
        <v>0.69</v>
      </c>
      <c r="Q436" s="39">
        <v>0.81</v>
      </c>
      <c r="R436" s="38">
        <v>0.34989999999999999</v>
      </c>
      <c r="S436" s="40">
        <v>15</v>
      </c>
      <c r="T436" s="39">
        <v>0.79</v>
      </c>
      <c r="U436" s="39">
        <v>0.81</v>
      </c>
      <c r="V436" s="39">
        <v>1.2</v>
      </c>
      <c r="W436" s="38">
        <v>0.86609999999999998</v>
      </c>
      <c r="X436" s="39">
        <v>6.17</v>
      </c>
      <c r="Y436" s="41">
        <v>-15.521506208852699</v>
      </c>
      <c r="Z436" s="39">
        <v>-1</v>
      </c>
      <c r="AA436" s="39">
        <v>-4.3028035980796598E-4</v>
      </c>
    </row>
    <row r="437" spans="1:27" s="22" customFormat="1" x14ac:dyDescent="0.25">
      <c r="A437" s="7" t="str">
        <f>F437&amp;G437&amp;H437&amp;K437</f>
        <v>3531Providence Medford Medical Center346059076500, NUCLEAR MEDICINE</v>
      </c>
      <c r="B437" s="7"/>
      <c r="C437" s="29" t="s">
        <v>1249</v>
      </c>
      <c r="D437" s="29" t="s">
        <v>1249</v>
      </c>
      <c r="E437" s="29" t="s">
        <v>1249</v>
      </c>
      <c r="F437" s="29">
        <v>3531</v>
      </c>
      <c r="G437" s="4" t="s">
        <v>1276</v>
      </c>
      <c r="H437" s="5">
        <v>3460</v>
      </c>
      <c r="I437" s="4" t="s">
        <v>120</v>
      </c>
      <c r="J437" s="4" t="s">
        <v>57</v>
      </c>
      <c r="K437" s="4" t="s">
        <v>1322</v>
      </c>
      <c r="L437" s="4" t="s">
        <v>99</v>
      </c>
      <c r="M437" s="39">
        <v>15671.39</v>
      </c>
      <c r="N437" s="39">
        <v>13798.49</v>
      </c>
      <c r="O437" s="38">
        <v>0.35</v>
      </c>
      <c r="P437" s="39">
        <v>0.25</v>
      </c>
      <c r="Q437" s="39">
        <v>0.28000000000000003</v>
      </c>
      <c r="R437" s="38">
        <v>0.2162</v>
      </c>
      <c r="S437" s="40">
        <v>41</v>
      </c>
      <c r="T437" s="39">
        <v>0.28000000000000003</v>
      </c>
      <c r="U437" s="39">
        <v>0.28999999999999998</v>
      </c>
      <c r="V437" s="39">
        <v>0.34</v>
      </c>
      <c r="W437" s="38">
        <v>0.86890000000000001</v>
      </c>
      <c r="X437" s="39">
        <v>2.13</v>
      </c>
      <c r="Y437" s="41">
        <v>-6707.3496695780104</v>
      </c>
      <c r="Z437" s="39">
        <v>-163</v>
      </c>
      <c r="AA437" s="39">
        <v>-7.8045013379474795E-2</v>
      </c>
    </row>
    <row r="438" spans="1:27" s="22" customFormat="1" x14ac:dyDescent="0.25">
      <c r="A438" s="7" t="str">
        <f>F438&amp;G438&amp;H438&amp;K438</f>
        <v>3531Providence Medford Medical Center504059084610, CLINICAL ENGINEERING-BIOMED</v>
      </c>
      <c r="B438" s="7"/>
      <c r="C438" s="29" t="s">
        <v>1249</v>
      </c>
      <c r="D438" s="29" t="s">
        <v>1249</v>
      </c>
      <c r="E438" s="29" t="s">
        <v>1249</v>
      </c>
      <c r="F438" s="29">
        <v>3531</v>
      </c>
      <c r="G438" s="4" t="s">
        <v>1276</v>
      </c>
      <c r="H438" s="5">
        <v>5040</v>
      </c>
      <c r="I438" s="4" t="s">
        <v>142</v>
      </c>
      <c r="J438" s="4" t="s">
        <v>62</v>
      </c>
      <c r="K438" s="4" t="s">
        <v>1293</v>
      </c>
      <c r="L438" s="4" t="s">
        <v>143</v>
      </c>
      <c r="M438" s="39">
        <v>46.25</v>
      </c>
      <c r="N438" s="39">
        <v>47.5</v>
      </c>
      <c r="O438" s="38">
        <v>0.42859999999999998</v>
      </c>
      <c r="P438" s="39">
        <v>143.56</v>
      </c>
      <c r="Q438" s="39">
        <v>125.44</v>
      </c>
      <c r="R438" s="38">
        <v>0.30769999999999997</v>
      </c>
      <c r="S438" s="40">
        <v>15</v>
      </c>
      <c r="T438" s="39">
        <v>119.62</v>
      </c>
      <c r="U438" s="39">
        <v>128.86000000000001</v>
      </c>
      <c r="V438" s="39">
        <v>145.88999999999999</v>
      </c>
      <c r="W438" s="38">
        <v>0.88700000000000001</v>
      </c>
      <c r="X438" s="39">
        <v>3.23</v>
      </c>
      <c r="Y438" s="41">
        <v>-6764.1662102401697</v>
      </c>
      <c r="Z438" s="39">
        <v>-164</v>
      </c>
      <c r="AA438" s="39">
        <v>-7.8539132015027893E-2</v>
      </c>
    </row>
    <row r="439" spans="1:27" s="22" customFormat="1" x14ac:dyDescent="0.25">
      <c r="A439" s="7" t="str">
        <f>F439&amp;G439&amp;H439&amp;K439</f>
        <v>3531Providence Medford Medical Center423059075700, CARDIOVASCULAR LAB</v>
      </c>
      <c r="B439" s="7"/>
      <c r="C439" s="29" t="s">
        <v>1249</v>
      </c>
      <c r="D439" s="29" t="s">
        <v>1249</v>
      </c>
      <c r="E439" s="29" t="s">
        <v>1249</v>
      </c>
      <c r="F439" s="29">
        <v>3531</v>
      </c>
      <c r="G439" s="4" t="s">
        <v>1276</v>
      </c>
      <c r="H439" s="5">
        <v>4230</v>
      </c>
      <c r="I439" s="4" t="s">
        <v>96</v>
      </c>
      <c r="J439" s="4" t="s">
        <v>60</v>
      </c>
      <c r="K439" s="4" t="s">
        <v>1294</v>
      </c>
      <c r="L439" s="4" t="s">
        <v>97</v>
      </c>
      <c r="M439" s="39">
        <v>101512</v>
      </c>
      <c r="N439" s="39">
        <v>101772</v>
      </c>
      <c r="O439" s="38">
        <v>0.57140000000000002</v>
      </c>
      <c r="P439" s="39">
        <v>0.23</v>
      </c>
      <c r="Q439" s="39">
        <v>0.22</v>
      </c>
      <c r="R439" s="38">
        <v>0.30769999999999997</v>
      </c>
      <c r="S439" s="40">
        <v>15</v>
      </c>
      <c r="T439" s="39">
        <v>0.21</v>
      </c>
      <c r="U439" s="39">
        <v>0.22</v>
      </c>
      <c r="V439" s="39">
        <v>0.24</v>
      </c>
      <c r="W439" s="38">
        <v>0.87849999999999995</v>
      </c>
      <c r="X439" s="39">
        <v>12.14</v>
      </c>
      <c r="Y439" s="41">
        <v>-7652.3952091484098</v>
      </c>
      <c r="Z439" s="39">
        <v>-166</v>
      </c>
      <c r="AA439" s="39">
        <v>-7.9611065938372902E-2</v>
      </c>
    </row>
    <row r="440" spans="1:27" s="22" customFormat="1" x14ac:dyDescent="0.25">
      <c r="A440" s="7" t="str">
        <f>F440&amp;G440&amp;H440&amp;K440</f>
        <v>3531Providence Medford Medical Center426059078710, NON-INVASIVE LAB</v>
      </c>
      <c r="B440" s="7"/>
      <c r="C440" s="29" t="s">
        <v>1249</v>
      </c>
      <c r="D440" s="29" t="s">
        <v>1249</v>
      </c>
      <c r="E440" s="29" t="s">
        <v>1249</v>
      </c>
      <c r="F440" s="29">
        <v>3531</v>
      </c>
      <c r="G440" s="4" t="s">
        <v>1276</v>
      </c>
      <c r="H440" s="5">
        <v>4260</v>
      </c>
      <c r="I440" s="4" t="s">
        <v>158</v>
      </c>
      <c r="J440" s="4" t="s">
        <v>60</v>
      </c>
      <c r="K440" s="4" t="s">
        <v>1281</v>
      </c>
      <c r="L440" s="4" t="s">
        <v>99</v>
      </c>
      <c r="M440" s="39">
        <v>10721.77</v>
      </c>
      <c r="N440" s="39">
        <v>10888.08</v>
      </c>
      <c r="O440" s="38">
        <v>0.5</v>
      </c>
      <c r="P440" s="39">
        <v>0.67</v>
      </c>
      <c r="Q440" s="39">
        <v>0.67</v>
      </c>
      <c r="R440" s="38">
        <v>0.1429</v>
      </c>
      <c r="S440" s="40">
        <v>9</v>
      </c>
      <c r="T440" s="39">
        <v>0.67</v>
      </c>
      <c r="U440" s="39">
        <v>0.72</v>
      </c>
      <c r="V440" s="39">
        <v>0.79</v>
      </c>
      <c r="W440" s="38">
        <v>0.90529999999999999</v>
      </c>
      <c r="X440" s="39">
        <v>3.86</v>
      </c>
      <c r="Y440" s="41">
        <v>-30710.783151380299</v>
      </c>
      <c r="Z440" s="39">
        <v>-609</v>
      </c>
      <c r="AA440" s="39">
        <v>-0.29182880911815301</v>
      </c>
    </row>
    <row r="441" spans="1:27" s="22" customFormat="1" x14ac:dyDescent="0.25">
      <c r="A441" s="7" t="str">
        <f>F441&amp;G441&amp;H441&amp;K441</f>
        <v>3531Providence Medford Medical Center441059077100, PHARMACY</v>
      </c>
      <c r="B441" s="7"/>
      <c r="C441" s="29" t="s">
        <v>1249</v>
      </c>
      <c r="D441" s="29" t="s">
        <v>1249</v>
      </c>
      <c r="E441" s="29" t="s">
        <v>1249</v>
      </c>
      <c r="F441" s="148">
        <v>3531</v>
      </c>
      <c r="G441" s="43" t="s">
        <v>1276</v>
      </c>
      <c r="H441" s="42">
        <v>4410</v>
      </c>
      <c r="I441" s="43" t="s">
        <v>37</v>
      </c>
      <c r="J441" s="43" t="s">
        <v>37</v>
      </c>
      <c r="K441" s="43" t="s">
        <v>1320</v>
      </c>
      <c r="L441" s="43" t="s">
        <v>100</v>
      </c>
      <c r="M441" s="46">
        <v>16197.86</v>
      </c>
      <c r="N441" s="46">
        <v>17460.78</v>
      </c>
      <c r="O441" s="45">
        <v>0.48649999999999999</v>
      </c>
      <c r="P441" s="46">
        <v>1.89</v>
      </c>
      <c r="Q441" s="46">
        <f>35562/N441</f>
        <v>2.0366787738004835</v>
      </c>
      <c r="R441" s="45">
        <v>0.42859999999999998</v>
      </c>
      <c r="S441" s="47">
        <v>38</v>
      </c>
      <c r="T441" s="46">
        <v>1.96</v>
      </c>
      <c r="U441" s="46">
        <v>2.0699999999999998</v>
      </c>
      <c r="V441" s="46">
        <v>2.19</v>
      </c>
      <c r="W441" s="45">
        <v>0.93110000000000004</v>
      </c>
      <c r="X441" s="46">
        <v>19.010000000000002</v>
      </c>
      <c r="Y441" s="48">
        <f>+Z441*38.82</f>
        <v>-24257.375976801282</v>
      </c>
      <c r="Z441" s="46">
        <f>((Q441-U441)*N441)/W441</f>
        <v>-624.86800558478319</v>
      </c>
      <c r="AA441" s="46">
        <f>Z441/2085.7</f>
        <v>-0.29959630128243908</v>
      </c>
    </row>
    <row r="442" spans="1:27" s="22" customFormat="1" x14ac:dyDescent="0.25">
      <c r="A442" s="7" t="str">
        <f>F442&amp;G442&amp;H442&amp;K442</f>
        <v>3531Providence Medford Medical Center101359060100, ICU</v>
      </c>
      <c r="B442" s="7"/>
      <c r="C442" s="29" t="s">
        <v>1249</v>
      </c>
      <c r="D442" s="29" t="s">
        <v>1249</v>
      </c>
      <c r="E442" s="29" t="s">
        <v>1249</v>
      </c>
      <c r="F442" s="29">
        <v>3531</v>
      </c>
      <c r="G442" s="4" t="s">
        <v>1276</v>
      </c>
      <c r="H442" s="5">
        <v>1013</v>
      </c>
      <c r="I442" s="4" t="s">
        <v>73</v>
      </c>
      <c r="J442" s="4" t="s">
        <v>23</v>
      </c>
      <c r="K442" s="4" t="s">
        <v>1312</v>
      </c>
      <c r="L442" s="4" t="s">
        <v>74</v>
      </c>
      <c r="M442" s="39">
        <v>3881.04</v>
      </c>
      <c r="N442" s="39">
        <v>4056</v>
      </c>
      <c r="O442" s="38">
        <v>0.57140000000000002</v>
      </c>
      <c r="P442" s="39">
        <v>18.260000000000002</v>
      </c>
      <c r="Q442" s="39">
        <v>18.760000000000002</v>
      </c>
      <c r="R442" s="38">
        <v>0.23080000000000001</v>
      </c>
      <c r="S442" s="40">
        <v>29</v>
      </c>
      <c r="T442" s="39">
        <v>18.87</v>
      </c>
      <c r="U442" s="39">
        <v>19.03</v>
      </c>
      <c r="V442" s="39">
        <v>20.36</v>
      </c>
      <c r="W442" s="38">
        <v>0.87729999999999997</v>
      </c>
      <c r="X442" s="39">
        <v>41.71</v>
      </c>
      <c r="Y442" s="41">
        <v>-44972.488731158803</v>
      </c>
      <c r="Z442" s="39">
        <v>-986</v>
      </c>
      <c r="AA442" s="39">
        <v>-0.47293212117463701</v>
      </c>
    </row>
    <row r="443" spans="1:27" s="22" customFormat="1" x14ac:dyDescent="0.25">
      <c r="A443" s="7" t="str">
        <f>F443&amp;G443&amp;H443&amp;K443</f>
        <v>3531Providence Medford Medical Center121159061712, MEDICAL UNIT WEST</v>
      </c>
      <c r="B443" s="7"/>
      <c r="C443" s="29" t="s">
        <v>1249</v>
      </c>
      <c r="D443" s="29" t="s">
        <v>1249</v>
      </c>
      <c r="E443" s="29" t="s">
        <v>1249</v>
      </c>
      <c r="F443" s="29">
        <v>3531</v>
      </c>
      <c r="G443" s="4" t="s">
        <v>1276</v>
      </c>
      <c r="H443" s="5">
        <v>1211</v>
      </c>
      <c r="I443" s="4" t="s">
        <v>161</v>
      </c>
      <c r="J443" s="4" t="s">
        <v>23</v>
      </c>
      <c r="K443" s="4" t="s">
        <v>1282</v>
      </c>
      <c r="L443" s="4" t="s">
        <v>74</v>
      </c>
      <c r="M443" s="39">
        <v>933</v>
      </c>
      <c r="N443" s="39">
        <v>762</v>
      </c>
      <c r="O443" s="38">
        <v>0</v>
      </c>
      <c r="P443" s="39">
        <v>12.49</v>
      </c>
      <c r="Q443" s="39">
        <v>11.82</v>
      </c>
      <c r="R443" s="38">
        <v>0</v>
      </c>
      <c r="S443" s="40">
        <v>9</v>
      </c>
      <c r="T443" s="39">
        <v>13.01</v>
      </c>
      <c r="U443" s="39">
        <v>13.44</v>
      </c>
      <c r="V443" s="39">
        <v>13.67</v>
      </c>
      <c r="W443" s="38">
        <v>0.98550000000000004</v>
      </c>
      <c r="X443" s="39">
        <v>4.3899999999999997</v>
      </c>
      <c r="Y443" s="41">
        <v>-53164.794999349702</v>
      </c>
      <c r="Z443" s="39">
        <v>-1236</v>
      </c>
      <c r="AA443" s="39">
        <v>-0.59248236578589197</v>
      </c>
    </row>
    <row r="444" spans="1:27" s="22" customFormat="1" x14ac:dyDescent="0.25">
      <c r="A444" s="7" t="str">
        <f>F444&amp;G444&amp;H444&amp;K444</f>
        <v>3531Providence Medford Medical Center521159084400, ENVIRONMENTAL SERVICES</v>
      </c>
      <c r="B444" s="7"/>
      <c r="C444" s="29" t="s">
        <v>1249</v>
      </c>
      <c r="D444" s="29" t="s">
        <v>1249</v>
      </c>
      <c r="E444" s="29" t="s">
        <v>1249</v>
      </c>
      <c r="F444" s="29">
        <v>3531</v>
      </c>
      <c r="G444" s="4" t="s">
        <v>1276</v>
      </c>
      <c r="H444" s="5">
        <v>5211</v>
      </c>
      <c r="I444" s="4" t="s">
        <v>50</v>
      </c>
      <c r="J444" s="4" t="s">
        <v>50</v>
      </c>
      <c r="K444" s="4" t="s">
        <v>1299</v>
      </c>
      <c r="L444" s="4" t="s">
        <v>51</v>
      </c>
      <c r="M444" s="39">
        <v>267.04000000000002</v>
      </c>
      <c r="N444" s="39">
        <v>267.04000000000002</v>
      </c>
      <c r="O444" s="38">
        <v>0.3125</v>
      </c>
      <c r="P444" s="39">
        <v>172.23</v>
      </c>
      <c r="Q444" s="39">
        <v>171.24</v>
      </c>
      <c r="R444" s="38">
        <v>7.6899999999999996E-2</v>
      </c>
      <c r="S444" s="40">
        <v>17</v>
      </c>
      <c r="T444" s="39">
        <v>174.24</v>
      </c>
      <c r="U444" s="39">
        <v>176.2</v>
      </c>
      <c r="V444" s="39">
        <v>179.12</v>
      </c>
      <c r="W444" s="38">
        <v>0.88900000000000001</v>
      </c>
      <c r="X444" s="39">
        <v>24.73</v>
      </c>
      <c r="Y444" s="41">
        <v>-21269.0876368178</v>
      </c>
      <c r="Z444" s="39">
        <v>-1348</v>
      </c>
      <c r="AA444" s="39">
        <v>-0.64631877858294096</v>
      </c>
    </row>
    <row r="445" spans="1:27" s="22" customFormat="1" x14ac:dyDescent="0.25">
      <c r="A445" s="7" t="str">
        <f>F445&amp;G445&amp;H445&amp;K445</f>
        <v>3531Providence Medford Medical Center481259077715, CENTRAL POINT PHYSICAL THERAPY</v>
      </c>
      <c r="B445" s="7"/>
      <c r="C445" s="29" t="s">
        <v>1249</v>
      </c>
      <c r="D445" s="29" t="s">
        <v>1249</v>
      </c>
      <c r="E445" s="29" t="s">
        <v>1249</v>
      </c>
      <c r="F445" s="29">
        <v>3531</v>
      </c>
      <c r="G445" s="4" t="s">
        <v>1276</v>
      </c>
      <c r="H445" s="5">
        <v>4812</v>
      </c>
      <c r="I445" s="4" t="s">
        <v>78</v>
      </c>
      <c r="J445" s="4" t="s">
        <v>41</v>
      </c>
      <c r="K445" s="4" t="s">
        <v>1323</v>
      </c>
      <c r="L445" s="4" t="s">
        <v>79</v>
      </c>
      <c r="M445" s="39">
        <v>478.41</v>
      </c>
      <c r="N445" s="39">
        <v>517.98</v>
      </c>
      <c r="O445" s="38">
        <v>0.56820000000000004</v>
      </c>
      <c r="P445" s="39">
        <v>21.37</v>
      </c>
      <c r="Q445" s="39">
        <v>19.600000000000001</v>
      </c>
      <c r="R445" s="38">
        <v>0.186</v>
      </c>
      <c r="S445" s="40">
        <v>45</v>
      </c>
      <c r="T445" s="39">
        <v>20.8</v>
      </c>
      <c r="U445" s="39">
        <v>22.25</v>
      </c>
      <c r="V445" s="39">
        <v>23.38</v>
      </c>
      <c r="W445" s="38">
        <v>0.88849999999999996</v>
      </c>
      <c r="X445" s="39">
        <v>5.49</v>
      </c>
      <c r="Y445" s="41">
        <v>-55660.681936990302</v>
      </c>
      <c r="Z445" s="39">
        <v>-1521</v>
      </c>
      <c r="AA445" s="39">
        <v>-0.72918868763846301</v>
      </c>
    </row>
    <row r="446" spans="1:27" s="22" customFormat="1" x14ac:dyDescent="0.25">
      <c r="A446" s="7" t="str">
        <f>F446&amp;G446&amp;H446&amp;K446</f>
        <v>3531Providence Medford Medical Center482259077704, HAND THERAPY (U)</v>
      </c>
      <c r="B446" s="7"/>
      <c r="C446" s="29" t="s">
        <v>1249</v>
      </c>
      <c r="D446" s="29" t="s">
        <v>1249</v>
      </c>
      <c r="E446" s="29" t="s">
        <v>1249</v>
      </c>
      <c r="F446" s="29">
        <v>3531</v>
      </c>
      <c r="G446" s="4" t="s">
        <v>1276</v>
      </c>
      <c r="H446" s="5">
        <v>4822</v>
      </c>
      <c r="I446" s="4" t="s">
        <v>165</v>
      </c>
      <c r="J446" s="4" t="s">
        <v>41</v>
      </c>
      <c r="K446" s="4" t="s">
        <v>1277</v>
      </c>
      <c r="L446" s="4" t="s">
        <v>79</v>
      </c>
      <c r="M446" s="39">
        <v>375.85</v>
      </c>
      <c r="N446" s="39">
        <v>435.61</v>
      </c>
      <c r="O446" s="38">
        <v>0.66910000000000003</v>
      </c>
      <c r="P446" s="39">
        <v>22.62</v>
      </c>
      <c r="Q446" s="39">
        <v>18.84</v>
      </c>
      <c r="R446" s="7"/>
      <c r="S446" s="40">
        <v>8</v>
      </c>
      <c r="T446" s="39">
        <v>21.87</v>
      </c>
      <c r="U446" s="39">
        <v>22.06</v>
      </c>
      <c r="V446" s="39">
        <v>22.35</v>
      </c>
      <c r="W446" s="38">
        <v>0.87949999999999995</v>
      </c>
      <c r="X446" s="39">
        <v>4.49</v>
      </c>
      <c r="Y446" s="41">
        <v>-68294.644426872197</v>
      </c>
      <c r="Z446" s="39">
        <v>-1561</v>
      </c>
      <c r="AA446" s="39">
        <v>-0.74860513331216205</v>
      </c>
    </row>
    <row r="447" spans="1:27" s="22" customFormat="1" x14ac:dyDescent="0.25">
      <c r="A447" s="7" t="str">
        <f>F447&amp;G447&amp;H447&amp;K447</f>
        <v>3531Providence Medford Medical Center307159083800, STERILE PROCESSING</v>
      </c>
      <c r="B447" s="7"/>
      <c r="C447" s="29" t="s">
        <v>1249</v>
      </c>
      <c r="D447" s="29" t="s">
        <v>1249</v>
      </c>
      <c r="E447" s="29" t="s">
        <v>1249</v>
      </c>
      <c r="F447" s="29">
        <v>3531</v>
      </c>
      <c r="G447" s="4" t="s">
        <v>1276</v>
      </c>
      <c r="H447" s="5">
        <v>3071</v>
      </c>
      <c r="I447" s="4" t="s">
        <v>290</v>
      </c>
      <c r="J447" s="4" t="s">
        <v>47</v>
      </c>
      <c r="K447" s="4" t="s">
        <v>1304</v>
      </c>
      <c r="L447" s="4" t="s">
        <v>92</v>
      </c>
      <c r="M447" s="39">
        <v>938.25</v>
      </c>
      <c r="N447" s="39">
        <v>895.79</v>
      </c>
      <c r="O447" s="38">
        <v>0.40910000000000002</v>
      </c>
      <c r="P447" s="39">
        <v>17.850000000000001</v>
      </c>
      <c r="Q447" s="39">
        <v>19.559999999999999</v>
      </c>
      <c r="R447" s="38">
        <v>0.2273</v>
      </c>
      <c r="S447" s="40">
        <v>23</v>
      </c>
      <c r="T447" s="39">
        <v>19.77</v>
      </c>
      <c r="U447" s="39">
        <v>21.63</v>
      </c>
      <c r="V447" s="39">
        <v>24.45</v>
      </c>
      <c r="W447" s="38">
        <v>0.88539999999999996</v>
      </c>
      <c r="X447" s="39">
        <v>9.52</v>
      </c>
      <c r="Y447" s="41">
        <v>-40367.892149282998</v>
      </c>
      <c r="Z447" s="39">
        <v>-2028</v>
      </c>
      <c r="AA447" s="39">
        <v>-0.97231621105214605</v>
      </c>
    </row>
    <row r="448" spans="1:27" s="22" customFormat="1" x14ac:dyDescent="0.25">
      <c r="A448" s="7" t="str">
        <f>F448&amp;G448&amp;H448&amp;K448</f>
        <v>3531Providence Medford Medical Center511259083300, 59083400 PT_NON PT FOOD SVC</v>
      </c>
      <c r="B448" s="7"/>
      <c r="C448" s="29" t="s">
        <v>1249</v>
      </c>
      <c r="D448" s="29" t="s">
        <v>1249</v>
      </c>
      <c r="E448" s="29" t="s">
        <v>1249</v>
      </c>
      <c r="F448" s="29">
        <v>3531</v>
      </c>
      <c r="G448" s="4" t="s">
        <v>1276</v>
      </c>
      <c r="H448" s="5">
        <v>5112</v>
      </c>
      <c r="I448" s="4" t="s">
        <v>281</v>
      </c>
      <c r="J448" s="4" t="s">
        <v>65</v>
      </c>
      <c r="K448" s="4" t="s">
        <v>1319</v>
      </c>
      <c r="L448" s="4" t="s">
        <v>282</v>
      </c>
      <c r="M448" s="39">
        <v>337100.83</v>
      </c>
      <c r="N448" s="39">
        <v>355157.98</v>
      </c>
      <c r="O448" s="38">
        <v>0.5</v>
      </c>
      <c r="P448" s="39">
        <v>0.14000000000000001</v>
      </c>
      <c r="Q448" s="39">
        <v>0.13</v>
      </c>
      <c r="R448" s="38">
        <v>0.21879999999999999</v>
      </c>
      <c r="S448" s="40">
        <v>35</v>
      </c>
      <c r="T448" s="39">
        <v>0.13</v>
      </c>
      <c r="U448" s="39">
        <v>0.14000000000000001</v>
      </c>
      <c r="V448" s="39">
        <v>0.15</v>
      </c>
      <c r="W448" s="38">
        <v>0.92100000000000004</v>
      </c>
      <c r="X448" s="39">
        <v>24.84</v>
      </c>
      <c r="Y448" s="41">
        <v>-35932.442223533697</v>
      </c>
      <c r="Z448" s="39">
        <v>-2178</v>
      </c>
      <c r="AA448" s="39">
        <v>-1.04440232872656</v>
      </c>
    </row>
    <row r="449" spans="1:27" s="22" customFormat="1" x14ac:dyDescent="0.25">
      <c r="A449" s="7" t="str">
        <f>F449&amp;G449&amp;H449&amp;K449</f>
        <v>3531Providence Medford Medical Center121059061700, MEDICAL_SURGICAL</v>
      </c>
      <c r="B449" s="7"/>
      <c r="C449" s="29" t="s">
        <v>1249</v>
      </c>
      <c r="D449" s="29" t="s">
        <v>1249</v>
      </c>
      <c r="E449" s="29" t="s">
        <v>1249</v>
      </c>
      <c r="F449" s="29">
        <v>3531</v>
      </c>
      <c r="G449" s="43" t="s">
        <v>1276</v>
      </c>
      <c r="H449" s="42">
        <v>1210</v>
      </c>
      <c r="I449" s="43" t="s">
        <v>147</v>
      </c>
      <c r="J449" s="43" t="s">
        <v>23</v>
      </c>
      <c r="K449" s="43" t="s">
        <v>1321</v>
      </c>
      <c r="L449" s="43" t="s">
        <v>74</v>
      </c>
      <c r="M449" s="46">
        <v>10075.08</v>
      </c>
      <c r="N449" s="46">
        <v>10191</v>
      </c>
      <c r="O449" s="45">
        <v>0.68420000000000003</v>
      </c>
      <c r="P449" s="46">
        <v>11.4</v>
      </c>
      <c r="Q449" s="46">
        <v>11</v>
      </c>
      <c r="R449" s="45">
        <v>0.62160000000000004</v>
      </c>
      <c r="S449" s="47">
        <v>67</v>
      </c>
      <c r="T449" s="46">
        <v>10.99</v>
      </c>
      <c r="U449" s="46">
        <v>11.2</v>
      </c>
      <c r="V449" s="46">
        <v>11.42</v>
      </c>
      <c r="W449" s="45">
        <v>0.9103</v>
      </c>
      <c r="X449" s="46">
        <v>59.2</v>
      </c>
      <c r="Y449" s="48">
        <f>+Z449*34.85</f>
        <v>-78030.616280346876</v>
      </c>
      <c r="Z449" s="46">
        <f>((Q449-U449)*N449)/W449</f>
        <v>-2239.042074041517</v>
      </c>
      <c r="AA449" s="46">
        <f>Z449/2085.7</f>
        <v>-1.0735206760519334</v>
      </c>
    </row>
    <row r="450" spans="1:27" s="22" customFormat="1" x14ac:dyDescent="0.25">
      <c r="A450" s="7" t="str">
        <f>F450&amp;G450&amp;H450&amp;K450</f>
        <v>3531Providence Medford Medical Center341159076300, DIAGNOSTIC IMAGING</v>
      </c>
      <c r="B450" s="7"/>
      <c r="C450" s="29" t="s">
        <v>1249</v>
      </c>
      <c r="D450" s="29" t="s">
        <v>1249</v>
      </c>
      <c r="E450" s="29" t="s">
        <v>1249</v>
      </c>
      <c r="F450" s="148">
        <v>3531</v>
      </c>
      <c r="G450" s="43" t="s">
        <v>1276</v>
      </c>
      <c r="H450" s="42">
        <v>3411</v>
      </c>
      <c r="I450" s="43" t="s">
        <v>117</v>
      </c>
      <c r="J450" s="43" t="s">
        <v>57</v>
      </c>
      <c r="K450" s="43" t="s">
        <v>1317</v>
      </c>
      <c r="L450" s="43" t="s">
        <v>99</v>
      </c>
      <c r="M450" s="46">
        <v>38542.65</v>
      </c>
      <c r="N450" s="46">
        <v>33569.879999999997</v>
      </c>
      <c r="O450" s="71"/>
      <c r="P450" s="46">
        <v>0.53</v>
      </c>
      <c r="Q450" s="147">
        <f>20739.01/N450</f>
        <v>0.61778624171429863</v>
      </c>
      <c r="R450" s="45">
        <v>0.53849999999999998</v>
      </c>
      <c r="S450" s="47">
        <v>34</v>
      </c>
      <c r="T450" s="46">
        <v>0.66</v>
      </c>
      <c r="U450" s="46">
        <v>0.69</v>
      </c>
      <c r="V450" s="46">
        <v>0.73</v>
      </c>
      <c r="W450" s="45">
        <v>0.91539999999999999</v>
      </c>
      <c r="X450" s="46">
        <v>13.57</v>
      </c>
      <c r="Y450" s="48">
        <f>+Z450*29.52</f>
        <v>-78176.312589032066</v>
      </c>
      <c r="Z450" s="46">
        <f>((Q450-U450)*N450)/W450</f>
        <v>-2648.2490714441756</v>
      </c>
      <c r="AA450" s="46">
        <f>Z450/2085.7</f>
        <v>-1.2697171556044378</v>
      </c>
    </row>
    <row r="451" spans="1:27" s="22" customFormat="1" x14ac:dyDescent="0.25">
      <c r="A451" s="7" t="str">
        <f>F451&amp;G451&amp;H451&amp;K451</f>
        <v>3531Providence Medford Medical Center466559004665, PRE ADMIT PRE PROC TESTING (U,N)</v>
      </c>
      <c r="B451" s="7"/>
      <c r="C451" s="29" t="s">
        <v>1249</v>
      </c>
      <c r="D451" s="29" t="s">
        <v>1249</v>
      </c>
      <c r="E451" s="29" t="s">
        <v>1249</v>
      </c>
      <c r="F451" s="29">
        <v>3531</v>
      </c>
      <c r="G451" s="4" t="s">
        <v>1276</v>
      </c>
      <c r="H451" s="5">
        <v>4665</v>
      </c>
      <c r="I451" s="4" t="s">
        <v>192</v>
      </c>
      <c r="J451" s="4" t="s">
        <v>83</v>
      </c>
      <c r="K451" s="4" t="s">
        <v>1301</v>
      </c>
      <c r="L451" s="4" t="s">
        <v>77</v>
      </c>
      <c r="M451" s="39">
        <v>1938</v>
      </c>
      <c r="N451" s="39">
        <v>1938</v>
      </c>
      <c r="O451" s="38">
        <v>0.65</v>
      </c>
      <c r="P451" s="39">
        <v>2.46</v>
      </c>
      <c r="Q451" s="39">
        <v>2.62</v>
      </c>
      <c r="R451" s="38">
        <v>6.0199999999999997E-2</v>
      </c>
      <c r="S451" s="40">
        <v>19</v>
      </c>
      <c r="T451" s="39">
        <v>3.76</v>
      </c>
      <c r="U451" s="39">
        <v>3.86</v>
      </c>
      <c r="V451" s="39">
        <v>4.2300000000000004</v>
      </c>
      <c r="W451" s="38">
        <v>0.86170000000000002</v>
      </c>
      <c r="X451" s="39">
        <v>2.84</v>
      </c>
      <c r="Y451" s="41">
        <v>-103581.225093266</v>
      </c>
      <c r="Z451" s="39">
        <v>-2758</v>
      </c>
      <c r="AA451" s="39">
        <v>-1.3222977409418699</v>
      </c>
    </row>
    <row r="452" spans="1:27" s="22" customFormat="1" x14ac:dyDescent="0.25">
      <c r="A452" s="7" t="str">
        <f>F452&amp;G452&amp;H452&amp;K452</f>
        <v>3531Providence Medford Medical Center344059076390, MAMMOGRAPHY</v>
      </c>
      <c r="B452" s="7"/>
      <c r="C452" s="29" t="s">
        <v>1249</v>
      </c>
      <c r="D452" s="29" t="s">
        <v>1249</v>
      </c>
      <c r="E452" s="29" t="s">
        <v>1249</v>
      </c>
      <c r="F452" s="29">
        <v>3531</v>
      </c>
      <c r="G452" s="4" t="s">
        <v>1276</v>
      </c>
      <c r="H452" s="5">
        <v>3440</v>
      </c>
      <c r="I452" s="4" t="s">
        <v>119</v>
      </c>
      <c r="J452" s="4" t="s">
        <v>57</v>
      </c>
      <c r="K452" s="4" t="s">
        <v>1284</v>
      </c>
      <c r="L452" s="4" t="s">
        <v>99</v>
      </c>
      <c r="M452" s="39">
        <v>14531.19</v>
      </c>
      <c r="N452" s="39">
        <v>20913.52</v>
      </c>
      <c r="O452" s="38">
        <v>0.33329999999999999</v>
      </c>
      <c r="P452" s="39">
        <v>0.43</v>
      </c>
      <c r="Q452" s="39">
        <v>0.38</v>
      </c>
      <c r="R452" s="38">
        <v>0</v>
      </c>
      <c r="S452" s="40">
        <v>10</v>
      </c>
      <c r="T452" s="39">
        <v>0.43</v>
      </c>
      <c r="U452" s="39">
        <v>0.5</v>
      </c>
      <c r="V452" s="39">
        <v>0.56999999999999995</v>
      </c>
      <c r="W452" s="38">
        <v>0.89610000000000001</v>
      </c>
      <c r="X452" s="39">
        <v>4.26</v>
      </c>
      <c r="Y452" s="41">
        <v>-105582.222389111</v>
      </c>
      <c r="Z452" s="39">
        <v>-2784</v>
      </c>
      <c r="AA452" s="39">
        <v>-1.3348548240962601</v>
      </c>
    </row>
    <row r="453" spans="1:27" s="22" customFormat="1" x14ac:dyDescent="0.25">
      <c r="A453" s="7" t="str">
        <f>F453&amp;G453&amp;H453&amp;K453</f>
        <v>3531Providence Medford Medical Center487159077700, PHYSICAL THERAPY</v>
      </c>
      <c r="B453" s="7"/>
      <c r="C453" s="29" t="s">
        <v>1249</v>
      </c>
      <c r="D453" s="29" t="s">
        <v>1249</v>
      </c>
      <c r="E453" s="29" t="s">
        <v>1249</v>
      </c>
      <c r="F453" s="29">
        <v>3531</v>
      </c>
      <c r="G453" s="4" t="s">
        <v>1276</v>
      </c>
      <c r="H453" s="5">
        <v>4871</v>
      </c>
      <c r="I453" s="4" t="s">
        <v>196</v>
      </c>
      <c r="J453" s="4" t="s">
        <v>41</v>
      </c>
      <c r="K453" s="4" t="s">
        <v>1295</v>
      </c>
      <c r="L453" s="4" t="s">
        <v>79</v>
      </c>
      <c r="M453" s="39">
        <v>766.77</v>
      </c>
      <c r="N453" s="39">
        <v>900.99</v>
      </c>
      <c r="O453" s="38">
        <v>0.42859999999999998</v>
      </c>
      <c r="P453" s="39">
        <v>29.66</v>
      </c>
      <c r="Q453" s="39">
        <v>23.24</v>
      </c>
      <c r="R453" s="38">
        <v>7.1400000000000005E-2</v>
      </c>
      <c r="S453" s="40">
        <v>15</v>
      </c>
      <c r="T453" s="39">
        <v>24</v>
      </c>
      <c r="U453" s="39">
        <v>27.53</v>
      </c>
      <c r="V453" s="39">
        <v>28.92</v>
      </c>
      <c r="W453" s="38">
        <v>0.90710000000000002</v>
      </c>
      <c r="X453" s="39">
        <v>11.1</v>
      </c>
      <c r="Y453" s="41">
        <v>-148442.138823382</v>
      </c>
      <c r="Z453" s="39">
        <v>-4193</v>
      </c>
      <c r="AA453" s="39">
        <v>-2.0104975628515098</v>
      </c>
    </row>
    <row r="454" spans="1:27" s="22" customFormat="1" x14ac:dyDescent="0.25">
      <c r="A454" s="7" t="str">
        <f>F454&amp;G454&amp;H454&amp;K454</f>
        <v>3531Providence Medford Medical Center302059074270, PACU</v>
      </c>
      <c r="B454" s="7"/>
      <c r="C454" s="29" t="s">
        <v>1249</v>
      </c>
      <c r="D454" s="29" t="s">
        <v>1249</v>
      </c>
      <c r="E454" s="29" t="s">
        <v>1249</v>
      </c>
      <c r="F454" s="29">
        <v>3531</v>
      </c>
      <c r="G454" s="4" t="s">
        <v>1276</v>
      </c>
      <c r="H454" s="5">
        <v>3020</v>
      </c>
      <c r="I454" s="4" t="s">
        <v>89</v>
      </c>
      <c r="J454" s="4" t="s">
        <v>47</v>
      </c>
      <c r="K454" s="4" t="s">
        <v>1306</v>
      </c>
      <c r="L454" s="4" t="s">
        <v>90</v>
      </c>
      <c r="M454" s="39">
        <v>3640.71</v>
      </c>
      <c r="N454" s="39">
        <v>5328.46</v>
      </c>
      <c r="O454" s="7"/>
      <c r="P454" s="39">
        <v>3.93</v>
      </c>
      <c r="Q454" s="39">
        <v>2.66</v>
      </c>
      <c r="R454" s="38">
        <v>0.1406</v>
      </c>
      <c r="S454" s="40">
        <v>25</v>
      </c>
      <c r="T454" s="39">
        <v>3.19</v>
      </c>
      <c r="U454" s="39">
        <v>3.4</v>
      </c>
      <c r="V454" s="39">
        <v>3.97</v>
      </c>
      <c r="W454" s="38">
        <v>0.86099999999999999</v>
      </c>
      <c r="X454" s="39">
        <v>7.92</v>
      </c>
      <c r="Y454" s="41">
        <v>-223117.897365827</v>
      </c>
      <c r="Z454" s="39">
        <v>-4523</v>
      </c>
      <c r="AA454" s="39">
        <v>-2.16847760790432</v>
      </c>
    </row>
    <row r="455" spans="1:27" s="22" customFormat="1" x14ac:dyDescent="0.25">
      <c r="A455" s="7" t="str">
        <f>F455&amp;G455&amp;H455&amp;K455</f>
        <v>3531Providence Medford Medical Center422059075910, 59075600, EKG &amp; ECHO</v>
      </c>
      <c r="B455" s="7"/>
      <c r="C455" s="29" t="s">
        <v>1249</v>
      </c>
      <c r="D455" s="29" t="s">
        <v>1249</v>
      </c>
      <c r="E455" s="29" t="s">
        <v>1249</v>
      </c>
      <c r="F455" s="29">
        <v>3531</v>
      </c>
      <c r="G455" s="4" t="s">
        <v>1276</v>
      </c>
      <c r="H455" s="5">
        <v>4220</v>
      </c>
      <c r="I455" s="4" t="s">
        <v>98</v>
      </c>
      <c r="J455" s="4" t="s">
        <v>60</v>
      </c>
      <c r="K455" s="4" t="s">
        <v>1325</v>
      </c>
      <c r="L455" s="4" t="s">
        <v>99</v>
      </c>
      <c r="M455" s="39">
        <v>32826.379999999997</v>
      </c>
      <c r="N455" s="39">
        <v>53918.06</v>
      </c>
      <c r="O455" s="38">
        <v>0.40820000000000001</v>
      </c>
      <c r="P455" s="39">
        <v>0.34</v>
      </c>
      <c r="Q455" s="39">
        <v>0.21</v>
      </c>
      <c r="R455" s="38">
        <v>0.10199999999999999</v>
      </c>
      <c r="S455" s="40">
        <v>50</v>
      </c>
      <c r="T455" s="39">
        <v>0.26</v>
      </c>
      <c r="U455" s="39">
        <v>0.28999999999999998</v>
      </c>
      <c r="V455" s="39">
        <v>0.33</v>
      </c>
      <c r="W455" s="38">
        <v>0.87290000000000001</v>
      </c>
      <c r="X455" s="39">
        <v>6.09</v>
      </c>
      <c r="Y455" s="41">
        <v>-192040.85018904801</v>
      </c>
      <c r="Z455" s="39">
        <v>-5211</v>
      </c>
      <c r="AA455" s="39">
        <v>-2.49847233263942</v>
      </c>
    </row>
    <row r="456" spans="1:27" s="22" customFormat="1" x14ac:dyDescent="0.25">
      <c r="A456" s="7" t="str">
        <f>F456&amp;G456&amp;H456&amp;K456</f>
        <v>3531Providence Medford Medical Center591059005910, SECURITY (N)</v>
      </c>
      <c r="B456" s="7"/>
      <c r="C456" s="29" t="s">
        <v>1249</v>
      </c>
      <c r="D456" s="29" t="s">
        <v>1249</v>
      </c>
      <c r="E456" s="29" t="s">
        <v>1249</v>
      </c>
      <c r="F456" s="29">
        <v>3531</v>
      </c>
      <c r="G456" s="4" t="s">
        <v>1276</v>
      </c>
      <c r="H456" s="5">
        <v>5910</v>
      </c>
      <c r="I456" s="4" t="s">
        <v>139</v>
      </c>
      <c r="J456" s="4" t="s">
        <v>136</v>
      </c>
      <c r="K456" s="4" t="s">
        <v>1307</v>
      </c>
      <c r="L456" s="4" t="s">
        <v>140</v>
      </c>
      <c r="M456" s="39">
        <v>1509.68</v>
      </c>
      <c r="N456" s="39">
        <v>1509.68</v>
      </c>
      <c r="O456" s="38">
        <v>0.48</v>
      </c>
      <c r="P456" s="39">
        <v>7.26</v>
      </c>
      <c r="Q456" s="39">
        <v>7.04</v>
      </c>
      <c r="R456" s="38">
        <v>0.13639999999999999</v>
      </c>
      <c r="S456" s="40">
        <v>26</v>
      </c>
      <c r="T456" s="39">
        <v>10.56</v>
      </c>
      <c r="U456" s="39">
        <v>11.3</v>
      </c>
      <c r="V456" s="39">
        <v>15.39</v>
      </c>
      <c r="W456" s="38">
        <v>0.92949999999999999</v>
      </c>
      <c r="X456" s="39">
        <v>5.5</v>
      </c>
      <c r="Y456" s="41">
        <v>-129621.22271630001</v>
      </c>
      <c r="Z456" s="39">
        <v>-6882</v>
      </c>
      <c r="AA456" s="39">
        <v>-3.2995833613058601</v>
      </c>
    </row>
    <row r="457" spans="1:27" s="22" customFormat="1" x14ac:dyDescent="0.25">
      <c r="A457" s="7" t="str">
        <f>F457&amp;G457&amp;H457&amp;K457</f>
        <v>3531Providence Medford Medical Center201059070100, 59070101 EMERGENCY SERVICES</v>
      </c>
      <c r="B457" s="7"/>
      <c r="C457" s="29" t="s">
        <v>1249</v>
      </c>
      <c r="D457" s="29" t="s">
        <v>1249</v>
      </c>
      <c r="E457" s="29" t="s">
        <v>1249</v>
      </c>
      <c r="F457" s="89">
        <v>3531</v>
      </c>
      <c r="G457" s="43" t="s">
        <v>1276</v>
      </c>
      <c r="H457" s="42">
        <v>2010</v>
      </c>
      <c r="I457" s="43" t="s">
        <v>75</v>
      </c>
      <c r="J457" s="43" t="s">
        <v>76</v>
      </c>
      <c r="K457" s="43" t="s">
        <v>1289</v>
      </c>
      <c r="L457" s="43" t="s">
        <v>77</v>
      </c>
      <c r="M457" s="46">
        <v>34130</v>
      </c>
      <c r="N457" s="46">
        <v>34013</v>
      </c>
      <c r="O457" s="45">
        <v>0.46489999999999998</v>
      </c>
      <c r="P457" s="46">
        <v>2.62</v>
      </c>
      <c r="Q457" s="46">
        <f>88516.03/N457</f>
        <v>2.6024176050333696</v>
      </c>
      <c r="R457" s="45">
        <v>0.31790000000000002</v>
      </c>
      <c r="S457" s="47">
        <v>13</v>
      </c>
      <c r="T457" s="46">
        <v>2.68</v>
      </c>
      <c r="U457" s="46">
        <v>2.9</v>
      </c>
      <c r="V457" s="46">
        <v>2.94</v>
      </c>
      <c r="W457" s="45">
        <v>0.89549999999999996</v>
      </c>
      <c r="X457" s="46">
        <v>50.25</v>
      </c>
      <c r="Y457" s="48">
        <f>Z457*45.22</f>
        <v>-511113.25226130633</v>
      </c>
      <c r="Z457" s="46">
        <f>SUM((Q457-U457)*N457)/W457</f>
        <v>-11302.814070351755</v>
      </c>
      <c r="AA457" s="46">
        <f>+Z457/2085.7</f>
        <v>-5.4191945487614497</v>
      </c>
    </row>
    <row r="458" spans="1:27" s="22" customFormat="1" x14ac:dyDescent="0.25">
      <c r="A458" s="7" t="str">
        <f>F458&amp;G458&amp;H458&amp;K458</f>
        <v>3531Providence Medford Medical Center463059077600, GASTRO-INTESTINAL SERVICES</v>
      </c>
      <c r="B458" s="7"/>
      <c r="C458" s="29" t="s">
        <v>1249</v>
      </c>
      <c r="D458" s="29" t="s">
        <v>1249</v>
      </c>
      <c r="E458" s="29" t="s">
        <v>1249</v>
      </c>
      <c r="F458" s="29">
        <v>3531</v>
      </c>
      <c r="G458" s="4" t="s">
        <v>1276</v>
      </c>
      <c r="H458" s="5">
        <v>4630</v>
      </c>
      <c r="I458" s="4" t="s">
        <v>104</v>
      </c>
      <c r="J458" s="4" t="s">
        <v>83</v>
      </c>
      <c r="K458" s="4" t="s">
        <v>1316</v>
      </c>
      <c r="L458" s="4" t="s">
        <v>99</v>
      </c>
      <c r="M458" s="39">
        <v>14491.79</v>
      </c>
      <c r="N458" s="39">
        <v>3286.65</v>
      </c>
      <c r="O458" s="38">
        <v>0.7742</v>
      </c>
      <c r="P458" s="39">
        <v>0.73</v>
      </c>
      <c r="Q458" s="39">
        <v>3.5</v>
      </c>
      <c r="R458" s="38">
        <v>0.2258</v>
      </c>
      <c r="S458" s="40">
        <v>32</v>
      </c>
      <c r="T458" s="39">
        <v>3.87</v>
      </c>
      <c r="U458" s="39">
        <v>7.05</v>
      </c>
      <c r="V458" s="39">
        <v>11.1</v>
      </c>
      <c r="W458" s="38">
        <v>0.89439999999999997</v>
      </c>
      <c r="X458" s="39">
        <v>6.19</v>
      </c>
      <c r="Y458" s="41">
        <v>-554422.99547492794</v>
      </c>
      <c r="Z458" s="39">
        <v>-12996</v>
      </c>
      <c r="AA458" s="39">
        <v>-6.2310681102760999</v>
      </c>
    </row>
    <row r="459" spans="1:27" s="22" customFormat="1" x14ac:dyDescent="0.25">
      <c r="A459" s="7" t="str">
        <f t="shared" ref="A451:A514" si="7">F459&amp;G459&amp;H459&amp;K459</f>
        <v>3529Providence Milwaukie Hospital191055087200, NURSING SERVICE ADMIN</v>
      </c>
      <c r="B459" s="7"/>
      <c r="C459" s="29" t="s">
        <v>1249</v>
      </c>
      <c r="D459" s="29" t="s">
        <v>1249</v>
      </c>
      <c r="E459" s="29" t="s">
        <v>1249</v>
      </c>
      <c r="F459" s="29">
        <v>3529</v>
      </c>
      <c r="G459" s="4" t="s">
        <v>1327</v>
      </c>
      <c r="H459" s="5">
        <v>1910</v>
      </c>
      <c r="I459" s="4" t="s">
        <v>34</v>
      </c>
      <c r="J459" s="4" t="s">
        <v>23</v>
      </c>
      <c r="K459" s="4" t="s">
        <v>1328</v>
      </c>
      <c r="L459" s="4" t="s">
        <v>35</v>
      </c>
      <c r="M459" s="39">
        <v>98</v>
      </c>
      <c r="N459" s="39">
        <v>91</v>
      </c>
      <c r="O459" s="38">
        <v>0.42859999999999998</v>
      </c>
      <c r="P459" s="39">
        <v>105.37</v>
      </c>
      <c r="Q459" s="39">
        <v>121.26</v>
      </c>
      <c r="R459" s="38">
        <v>0.57140000000000002</v>
      </c>
      <c r="S459" s="40">
        <v>8</v>
      </c>
      <c r="T459" s="39">
        <v>103.02</v>
      </c>
      <c r="U459" s="39">
        <v>110.49</v>
      </c>
      <c r="V459" s="39">
        <v>117.57</v>
      </c>
      <c r="W459" s="38">
        <v>0.8266</v>
      </c>
      <c r="X459" s="39">
        <v>6.42</v>
      </c>
      <c r="Y459" s="41">
        <f>Z459*52.06</f>
        <v>61725.676506169919</v>
      </c>
      <c r="Z459" s="39">
        <f>SUM((Q459-U459)*N459)/W459</f>
        <v>1185.6641664650388</v>
      </c>
      <c r="AA459" s="39">
        <f>+Z459/2085.7</f>
        <v>0.56847301455868005</v>
      </c>
    </row>
    <row r="460" spans="1:27" s="22" customFormat="1" x14ac:dyDescent="0.25">
      <c r="A460" s="7" t="str">
        <f t="shared" si="7"/>
        <v>3529Providence Milwaukie Hospital341155076300, DIAGNOSTIC IMAGING</v>
      </c>
      <c r="B460" s="7"/>
      <c r="C460" s="29" t="s">
        <v>1249</v>
      </c>
      <c r="D460" s="29" t="s">
        <v>1249</v>
      </c>
      <c r="E460" s="29" t="s">
        <v>1249</v>
      </c>
      <c r="F460" s="29">
        <v>3529</v>
      </c>
      <c r="G460" s="4" t="s">
        <v>1327</v>
      </c>
      <c r="H460" s="5">
        <v>3411</v>
      </c>
      <c r="I460" s="4" t="s">
        <v>117</v>
      </c>
      <c r="J460" s="4" t="s">
        <v>57</v>
      </c>
      <c r="K460" s="4" t="s">
        <v>1331</v>
      </c>
      <c r="L460" s="4" t="s">
        <v>99</v>
      </c>
      <c r="M460" s="39">
        <v>21563.14</v>
      </c>
      <c r="N460" s="39">
        <v>21459.84</v>
      </c>
      <c r="O460" s="38">
        <v>0.5</v>
      </c>
      <c r="P460" s="39">
        <v>0.66</v>
      </c>
      <c r="Q460" s="39">
        <v>0.66</v>
      </c>
      <c r="R460" s="38">
        <v>0.3</v>
      </c>
      <c r="S460" s="40">
        <v>9</v>
      </c>
      <c r="T460" s="39">
        <v>0.66</v>
      </c>
      <c r="U460" s="39">
        <v>0.7</v>
      </c>
      <c r="V460" s="39">
        <v>0.78</v>
      </c>
      <c r="W460" s="38">
        <v>0.87649999999999995</v>
      </c>
      <c r="X460" s="39">
        <v>7.78</v>
      </c>
      <c r="Y460" s="41">
        <v>-32312.1967952784</v>
      </c>
      <c r="Z460" s="39">
        <v>-912</v>
      </c>
      <c r="AA460" s="39">
        <v>-0.43714135708178797</v>
      </c>
    </row>
    <row r="461" spans="1:27" s="22" customFormat="1" x14ac:dyDescent="0.25">
      <c r="A461" s="7" t="str">
        <f t="shared" si="7"/>
        <v>3529Providence Milwaukie Hospital482555077900, OCCUPATIONAL THERAPY</v>
      </c>
      <c r="B461" s="7"/>
      <c r="C461" s="29" t="s">
        <v>1249</v>
      </c>
      <c r="D461" s="29" t="s">
        <v>1249</v>
      </c>
      <c r="E461" s="29" t="s">
        <v>1249</v>
      </c>
      <c r="F461" s="29">
        <v>3529</v>
      </c>
      <c r="G461" s="4" t="s">
        <v>1327</v>
      </c>
      <c r="H461" s="5">
        <v>4825</v>
      </c>
      <c r="I461" s="4" t="s">
        <v>128</v>
      </c>
      <c r="J461" s="4" t="s">
        <v>41</v>
      </c>
      <c r="K461" s="4" t="s">
        <v>1330</v>
      </c>
      <c r="L461" s="4" t="s">
        <v>79</v>
      </c>
      <c r="M461" s="39">
        <v>117.02</v>
      </c>
      <c r="N461" s="39">
        <v>193.11</v>
      </c>
      <c r="O461" s="38">
        <v>0.5</v>
      </c>
      <c r="P461" s="39">
        <v>27.93</v>
      </c>
      <c r="Q461" s="39">
        <v>21.72</v>
      </c>
      <c r="R461" s="38">
        <v>0</v>
      </c>
      <c r="S461" s="40">
        <v>9</v>
      </c>
      <c r="T461" s="39">
        <v>22.9</v>
      </c>
      <c r="U461" s="39">
        <v>23.65</v>
      </c>
      <c r="V461" s="39">
        <v>24.91</v>
      </c>
      <c r="W461" s="38">
        <v>0.92810000000000004</v>
      </c>
      <c r="X461" s="39">
        <v>2.17</v>
      </c>
      <c r="Y461" s="41">
        <v>-15670.3806701952</v>
      </c>
      <c r="Z461" s="39">
        <v>-395</v>
      </c>
      <c r="AA461" s="39">
        <v>-0.189333287311269</v>
      </c>
    </row>
    <row r="462" spans="1:27" s="22" customFormat="1" x14ac:dyDescent="0.25">
      <c r="A462" s="7" t="str">
        <f t="shared" si="7"/>
        <v>3529Providence Milwaukie Hospital101155060100, ICU</v>
      </c>
      <c r="B462" s="7"/>
      <c r="C462" s="29" t="s">
        <v>1249</v>
      </c>
      <c r="D462" s="29" t="s">
        <v>1249</v>
      </c>
      <c r="E462" s="29" t="s">
        <v>1249</v>
      </c>
      <c r="F462" s="29">
        <v>3529</v>
      </c>
      <c r="G462" s="4" t="s">
        <v>1327</v>
      </c>
      <c r="H462" s="5">
        <v>1011</v>
      </c>
      <c r="I462" s="4" t="s">
        <v>1205</v>
      </c>
      <c r="J462" s="4" t="s">
        <v>23</v>
      </c>
      <c r="K462" s="4" t="s">
        <v>1329</v>
      </c>
      <c r="L462" s="4" t="s">
        <v>74</v>
      </c>
      <c r="M462" s="39">
        <v>835.87</v>
      </c>
      <c r="N462" s="39">
        <v>862.83</v>
      </c>
      <c r="O462" s="38">
        <v>0.5</v>
      </c>
      <c r="P462" s="39">
        <v>25.52</v>
      </c>
      <c r="Q462" s="39">
        <v>24.18</v>
      </c>
      <c r="R462" s="38">
        <v>0.5</v>
      </c>
      <c r="S462" s="40">
        <v>9</v>
      </c>
      <c r="T462" s="39">
        <v>20.149999999999999</v>
      </c>
      <c r="U462" s="39">
        <v>20.39</v>
      </c>
      <c r="V462" s="39">
        <v>24.18</v>
      </c>
      <c r="W462" s="38">
        <v>0.90949999999999998</v>
      </c>
      <c r="X462" s="39">
        <v>11.03</v>
      </c>
      <c r="Y462" s="41">
        <v>206368.705272461</v>
      </c>
      <c r="Z462" s="39">
        <v>3662</v>
      </c>
      <c r="AA462" s="39">
        <v>1.75555525685877</v>
      </c>
    </row>
    <row r="463" spans="1:27" s="22" customFormat="1" x14ac:dyDescent="0.25">
      <c r="A463" s="7" t="str">
        <f t="shared" si="7"/>
        <v>3529Providence Milwaukie Hospital422055075910, 55075600, EKG &amp; ECHO</v>
      </c>
      <c r="B463" s="7"/>
      <c r="C463" s="29" t="s">
        <v>1249</v>
      </c>
      <c r="D463" s="29" t="s">
        <v>1249</v>
      </c>
      <c r="E463" s="29" t="s">
        <v>1249</v>
      </c>
      <c r="F463" s="29">
        <v>3529</v>
      </c>
      <c r="G463" s="4" t="s">
        <v>1327</v>
      </c>
      <c r="H463" s="5">
        <v>4220</v>
      </c>
      <c r="I463" s="4" t="s">
        <v>98</v>
      </c>
      <c r="J463" s="4" t="s">
        <v>60</v>
      </c>
      <c r="K463" s="4" t="s">
        <v>1334</v>
      </c>
      <c r="L463" s="4" t="s">
        <v>99</v>
      </c>
      <c r="M463" s="39">
        <v>11420.43</v>
      </c>
      <c r="N463" s="39">
        <v>26106.33</v>
      </c>
      <c r="O463" s="38">
        <v>0.66669999999999996</v>
      </c>
      <c r="P463" s="39">
        <v>0.41</v>
      </c>
      <c r="Q463" s="39">
        <v>0.18</v>
      </c>
      <c r="R463" s="38">
        <v>0.1111</v>
      </c>
      <c r="S463" s="40">
        <v>10</v>
      </c>
      <c r="T463" s="39">
        <v>0.27</v>
      </c>
      <c r="U463" s="39">
        <v>0.31</v>
      </c>
      <c r="V463" s="39">
        <v>0.39</v>
      </c>
      <c r="W463" s="38">
        <v>0.90569999999999995</v>
      </c>
      <c r="X463" s="39">
        <v>2.48</v>
      </c>
      <c r="Y463" s="41">
        <v>-152533.00554943</v>
      </c>
      <c r="Z463" s="39">
        <v>-3763</v>
      </c>
      <c r="AA463" s="39">
        <v>-1.80421550283502</v>
      </c>
    </row>
    <row r="464" spans="1:27" s="22" customFormat="1" x14ac:dyDescent="0.25">
      <c r="A464" s="7" t="str">
        <f t="shared" si="7"/>
        <v>3529Providence Milwaukie Hospital489955004899, REHAB ADMIN AND SUPPORT (U,N)</v>
      </c>
      <c r="B464" s="7"/>
      <c r="C464" s="29" t="s">
        <v>1249</v>
      </c>
      <c r="D464" s="29" t="s">
        <v>1249</v>
      </c>
      <c r="E464" s="29" t="s">
        <v>1249</v>
      </c>
      <c r="F464" s="29">
        <v>3529</v>
      </c>
      <c r="G464" s="4" t="s">
        <v>1327</v>
      </c>
      <c r="H464" s="5">
        <v>4899</v>
      </c>
      <c r="I464" s="79" t="s">
        <v>40</v>
      </c>
      <c r="J464" s="79" t="s">
        <v>41</v>
      </c>
      <c r="K464" s="79" t="s">
        <v>1332</v>
      </c>
      <c r="L464" s="79" t="s">
        <v>43</v>
      </c>
      <c r="M464" s="80">
        <v>1372.29</v>
      </c>
      <c r="N464" s="80">
        <v>1750.69</v>
      </c>
      <c r="O464" s="81">
        <v>0.65620000000000001</v>
      </c>
      <c r="P464" s="80">
        <v>8.09</v>
      </c>
      <c r="Q464" s="80">
        <v>5.94</v>
      </c>
      <c r="R464" s="82"/>
      <c r="S464" s="83">
        <v>10</v>
      </c>
      <c r="T464" s="80">
        <v>2.0099999999999998</v>
      </c>
      <c r="U464" s="80">
        <v>3.13</v>
      </c>
      <c r="V464" s="80">
        <v>3.41</v>
      </c>
      <c r="W464" s="81">
        <v>0.86860000000000004</v>
      </c>
      <c r="X464" s="80">
        <v>7.25</v>
      </c>
      <c r="Y464" s="78">
        <f>+Z464*28.17</f>
        <v>159544.77758807281</v>
      </c>
      <c r="Z464" s="75">
        <f>((Q464-U464)*N464)/W464</f>
        <v>5663.6413769283918</v>
      </c>
      <c r="AA464" s="75">
        <f>Z464/2085.7</f>
        <v>2.7154630948498788</v>
      </c>
    </row>
    <row r="465" spans="1:27" s="22" customFormat="1" x14ac:dyDescent="0.25">
      <c r="A465" s="7" t="str">
        <f t="shared" si="7"/>
        <v>3529Providence Milwaukie Hospital303055074300, SHORT STAY SURGICAL UNIT</v>
      </c>
      <c r="B465" s="7"/>
      <c r="C465" s="29" t="s">
        <v>1249</v>
      </c>
      <c r="D465" s="29" t="s">
        <v>1249</v>
      </c>
      <c r="E465" s="29" t="s">
        <v>1249</v>
      </c>
      <c r="F465" s="148">
        <v>3529</v>
      </c>
      <c r="G465" s="43" t="s">
        <v>1327</v>
      </c>
      <c r="H465" s="42">
        <v>3030</v>
      </c>
      <c r="I465" s="43" t="s">
        <v>80</v>
      </c>
      <c r="J465" s="43" t="s">
        <v>47</v>
      </c>
      <c r="K465" s="43" t="s">
        <v>1333</v>
      </c>
      <c r="L465" s="43" t="s">
        <v>81</v>
      </c>
      <c r="M465" s="46">
        <v>6525.45</v>
      </c>
      <c r="N465" s="46">
        <v>4759.7</v>
      </c>
      <c r="O465" s="71"/>
      <c r="P465" s="46">
        <v>2.58</v>
      </c>
      <c r="Q465" s="46">
        <f>16349.2/N465</f>
        <v>3.4349223690568738</v>
      </c>
      <c r="R465" s="45">
        <v>0.7843</v>
      </c>
      <c r="S465" s="47">
        <v>10</v>
      </c>
      <c r="T465" s="46">
        <v>3.53</v>
      </c>
      <c r="U465" s="46">
        <v>3.66</v>
      </c>
      <c r="V465" s="46">
        <v>3.93</v>
      </c>
      <c r="W465" s="45">
        <v>0.78369999999999995</v>
      </c>
      <c r="X465" s="46">
        <v>10.029999999999999</v>
      </c>
      <c r="Y465" s="48">
        <f>+Z465*48.31</f>
        <v>-66038.789868572072</v>
      </c>
      <c r="Z465" s="46">
        <f>((Q465-U465)*N465)/W465</f>
        <v>-1366.9797116243442</v>
      </c>
      <c r="AA465" s="46">
        <f>Z465/2085.7</f>
        <v>-0.65540572068099168</v>
      </c>
    </row>
    <row r="466" spans="1:27" s="22" customFormat="1" x14ac:dyDescent="0.25">
      <c r="A466" s="7" t="str">
        <f t="shared" si="7"/>
        <v>3529Providence Milwaukie Hospital335055075000 55075400 89009 CLIN AND BLOOD COMBO</v>
      </c>
      <c r="B466" s="7"/>
      <c r="C466" s="29" t="s">
        <v>1249</v>
      </c>
      <c r="D466" s="29" t="s">
        <v>1249</v>
      </c>
      <c r="E466" s="29" t="s">
        <v>1249</v>
      </c>
      <c r="F466" s="29">
        <v>3529</v>
      </c>
      <c r="G466" s="4" t="s">
        <v>1327</v>
      </c>
      <c r="H466" s="5">
        <v>3350</v>
      </c>
      <c r="I466" s="4" t="s">
        <v>93</v>
      </c>
      <c r="J466" s="4" t="s">
        <v>53</v>
      </c>
      <c r="K466" s="4" t="s">
        <v>1335</v>
      </c>
      <c r="L466" s="4" t="s">
        <v>94</v>
      </c>
      <c r="M466" s="39">
        <v>2594.09</v>
      </c>
      <c r="N466" s="39">
        <v>2544.98</v>
      </c>
      <c r="O466" s="38">
        <v>0.7</v>
      </c>
      <c r="P466" s="39">
        <v>9.68</v>
      </c>
      <c r="Q466" s="39">
        <v>10.77</v>
      </c>
      <c r="R466" s="7"/>
      <c r="S466" s="40">
        <v>11</v>
      </c>
      <c r="T466" s="39">
        <v>17.100000000000001</v>
      </c>
      <c r="U466" s="39">
        <v>17.79</v>
      </c>
      <c r="V466" s="39">
        <v>18.510000000000002</v>
      </c>
      <c r="W466" s="38">
        <v>0.90310000000000001</v>
      </c>
      <c r="X466" s="39">
        <v>14.59</v>
      </c>
      <c r="Y466" s="41">
        <v>-532602.92239057005</v>
      </c>
      <c r="Z466" s="39">
        <v>-19703</v>
      </c>
      <c r="AA466" s="39">
        <v>-9.4465779774807004</v>
      </c>
    </row>
    <row r="467" spans="1:27" s="22" customFormat="1" x14ac:dyDescent="0.25">
      <c r="A467" s="7" t="str">
        <f t="shared" si="7"/>
        <v>3529Providence Milwaukie Hospital511255083400, PT_NON PT FOOD SVC</v>
      </c>
      <c r="B467" s="7"/>
      <c r="C467" s="29" t="s">
        <v>1249</v>
      </c>
      <c r="D467" s="29" t="s">
        <v>1249</v>
      </c>
      <c r="E467" s="29" t="s">
        <v>1249</v>
      </c>
      <c r="F467" s="29">
        <v>3529</v>
      </c>
      <c r="G467" s="4" t="s">
        <v>1327</v>
      </c>
      <c r="H467" s="5">
        <v>5112</v>
      </c>
      <c r="I467" s="4" t="s">
        <v>281</v>
      </c>
      <c r="J467" s="4" t="s">
        <v>65</v>
      </c>
      <c r="K467" s="4" t="s">
        <v>1336</v>
      </c>
      <c r="L467" s="4" t="s">
        <v>282</v>
      </c>
      <c r="M467" s="39">
        <v>209097.75</v>
      </c>
      <c r="N467" s="39">
        <v>205155.82</v>
      </c>
      <c r="O467" s="38">
        <v>0.45450000000000002</v>
      </c>
      <c r="P467" s="39">
        <v>0.15</v>
      </c>
      <c r="Q467" s="39">
        <v>0.16</v>
      </c>
      <c r="R467" s="38">
        <v>0.45450000000000002</v>
      </c>
      <c r="S467" s="40">
        <v>12</v>
      </c>
      <c r="T467" s="39">
        <v>0.13</v>
      </c>
      <c r="U467" s="39">
        <v>0.15</v>
      </c>
      <c r="V467" s="39">
        <v>0.16</v>
      </c>
      <c r="W467" s="38">
        <v>0.89980000000000004</v>
      </c>
      <c r="X467" s="39">
        <v>17.64</v>
      </c>
      <c r="Y467" s="41">
        <v>46654.479648525899</v>
      </c>
      <c r="Z467" s="39">
        <v>2592</v>
      </c>
      <c r="AA467" s="39">
        <v>1.2425139189380301</v>
      </c>
    </row>
    <row r="468" spans="1:27" s="22" customFormat="1" x14ac:dyDescent="0.25">
      <c r="A468" s="7" t="str">
        <f t="shared" si="7"/>
        <v>3529Providence Milwaukie Hospital521155084400, ENVIRONMENTAL SERVICES</v>
      </c>
      <c r="B468" s="7"/>
      <c r="C468" s="29" t="s">
        <v>1249</v>
      </c>
      <c r="D468" s="29" t="s">
        <v>1249</v>
      </c>
      <c r="E468" s="29" t="s">
        <v>1249</v>
      </c>
      <c r="F468" s="29">
        <v>3529</v>
      </c>
      <c r="G468" s="4" t="s">
        <v>1327</v>
      </c>
      <c r="H468" s="5">
        <v>5211</v>
      </c>
      <c r="I468" s="4" t="s">
        <v>50</v>
      </c>
      <c r="J468" s="4" t="s">
        <v>50</v>
      </c>
      <c r="K468" s="4" t="s">
        <v>1337</v>
      </c>
      <c r="L468" s="4" t="s">
        <v>51</v>
      </c>
      <c r="M468" s="39">
        <v>132.49</v>
      </c>
      <c r="N468" s="39">
        <v>139.91</v>
      </c>
      <c r="O468" s="38">
        <v>0.75</v>
      </c>
      <c r="P468" s="39">
        <v>191.58</v>
      </c>
      <c r="Q468" s="39">
        <v>180.18</v>
      </c>
      <c r="R468" s="38">
        <v>0.66669999999999996</v>
      </c>
      <c r="S468" s="40">
        <v>13</v>
      </c>
      <c r="T468" s="39">
        <v>148.4</v>
      </c>
      <c r="U468" s="39">
        <v>152.08000000000001</v>
      </c>
      <c r="V468" s="39">
        <v>177.1</v>
      </c>
      <c r="W468" s="38">
        <v>0.90159999999999996</v>
      </c>
      <c r="X468" s="39">
        <v>13.44</v>
      </c>
      <c r="Y468" s="41">
        <v>71831.886001815903</v>
      </c>
      <c r="Z468" s="39">
        <v>4432</v>
      </c>
      <c r="AA468" s="39">
        <v>2.1249854625482598</v>
      </c>
    </row>
    <row r="469" spans="1:27" s="22" customFormat="1" x14ac:dyDescent="0.25">
      <c r="A469" s="7" t="str">
        <f t="shared" si="7"/>
        <v>3529Providence Milwaukie Hospital441055077100, PHARMACY</v>
      </c>
      <c r="B469" s="7"/>
      <c r="C469" s="29" t="s">
        <v>1249</v>
      </c>
      <c r="D469" s="29" t="s">
        <v>1249</v>
      </c>
      <c r="E469" s="29" t="s">
        <v>1249</v>
      </c>
      <c r="F469" s="29">
        <v>3529</v>
      </c>
      <c r="G469" s="4" t="s">
        <v>1327</v>
      </c>
      <c r="H469" s="5">
        <v>4410</v>
      </c>
      <c r="I469" s="4" t="s">
        <v>37</v>
      </c>
      <c r="J469" s="4" t="s">
        <v>37</v>
      </c>
      <c r="K469" s="4" t="s">
        <v>1338</v>
      </c>
      <c r="L469" s="4" t="s">
        <v>100</v>
      </c>
      <c r="M469" s="39">
        <v>7982.13</v>
      </c>
      <c r="N469" s="39">
        <v>8076.54</v>
      </c>
      <c r="O469" s="38">
        <v>0.61539999999999995</v>
      </c>
      <c r="P469" s="39">
        <v>1.88</v>
      </c>
      <c r="Q469" s="39">
        <v>1.67</v>
      </c>
      <c r="R469" s="38">
        <v>0.53849999999999998</v>
      </c>
      <c r="S469" s="40">
        <v>14</v>
      </c>
      <c r="T469" s="39">
        <v>1.38</v>
      </c>
      <c r="U469" s="39">
        <v>1.53</v>
      </c>
      <c r="V469" s="39">
        <v>1.62</v>
      </c>
      <c r="W469" s="38">
        <v>0.91830000000000001</v>
      </c>
      <c r="X469" s="39">
        <v>7.07</v>
      </c>
      <c r="Y469" s="41">
        <v>62974.136485659597</v>
      </c>
      <c r="Z469" s="39">
        <v>1289</v>
      </c>
      <c r="AA469" s="39">
        <v>0.61820805955809499</v>
      </c>
    </row>
    <row r="470" spans="1:27" s="22" customFormat="1" x14ac:dyDescent="0.25">
      <c r="A470" s="7" t="str">
        <f t="shared" si="7"/>
        <v>3529Providence Milwaukie Hospital500155084600 MAINTENANCE</v>
      </c>
      <c r="B470" s="7"/>
      <c r="C470" s="29" t="s">
        <v>1249</v>
      </c>
      <c r="D470" s="29" t="s">
        <v>1249</v>
      </c>
      <c r="E470" s="29" t="s">
        <v>1249</v>
      </c>
      <c r="F470" s="29">
        <v>3529</v>
      </c>
      <c r="G470" s="4" t="s">
        <v>1327</v>
      </c>
      <c r="H470" s="5">
        <v>5001</v>
      </c>
      <c r="I470" s="4" t="s">
        <v>141</v>
      </c>
      <c r="J470" s="4" t="s">
        <v>62</v>
      </c>
      <c r="K470" s="4" t="s">
        <v>1340</v>
      </c>
      <c r="L470" s="4" t="s">
        <v>63</v>
      </c>
      <c r="M470" s="39">
        <v>255.87</v>
      </c>
      <c r="N470" s="39">
        <v>280.87</v>
      </c>
      <c r="O470" s="38">
        <v>0.64290000000000003</v>
      </c>
      <c r="P470" s="39">
        <v>40.94</v>
      </c>
      <c r="Q470" s="39">
        <v>38.39</v>
      </c>
      <c r="R470" s="38">
        <v>0.23080000000000001</v>
      </c>
      <c r="S470" s="40">
        <v>15</v>
      </c>
      <c r="T470" s="39">
        <v>38.42</v>
      </c>
      <c r="U470" s="39">
        <v>38.57</v>
      </c>
      <c r="V470" s="39">
        <v>44.46</v>
      </c>
      <c r="W470" s="38">
        <v>0.90449999999999997</v>
      </c>
      <c r="X470" s="39">
        <v>5.73</v>
      </c>
      <c r="Y470" s="41">
        <v>-724.05170007601305</v>
      </c>
      <c r="Z470" s="39">
        <v>-26</v>
      </c>
      <c r="AA470" s="39">
        <v>-1.24150708741793E-2</v>
      </c>
    </row>
    <row r="471" spans="1:27" s="22" customFormat="1" x14ac:dyDescent="0.25">
      <c r="A471" s="7" t="str">
        <f t="shared" si="7"/>
        <v>3529Providence Milwaukie Hospital449055004490, PHARMACY SUPPORT SVCS (U,N)</v>
      </c>
      <c r="B471" s="7"/>
      <c r="C471" s="29" t="s">
        <v>1249</v>
      </c>
      <c r="D471" s="29" t="s">
        <v>1249</v>
      </c>
      <c r="E471" s="29" t="s">
        <v>1249</v>
      </c>
      <c r="F471" s="29">
        <v>3529</v>
      </c>
      <c r="G471" s="4" t="s">
        <v>1327</v>
      </c>
      <c r="H471" s="5">
        <v>4490</v>
      </c>
      <c r="I471" s="4" t="s">
        <v>36</v>
      </c>
      <c r="J471" s="4" t="s">
        <v>37</v>
      </c>
      <c r="K471" s="4" t="s">
        <v>1339</v>
      </c>
      <c r="L471" s="4" t="s">
        <v>39</v>
      </c>
      <c r="M471" s="39">
        <v>13045.15</v>
      </c>
      <c r="N471" s="39">
        <v>13730.59</v>
      </c>
      <c r="O471" s="38">
        <v>0.57769999999999999</v>
      </c>
      <c r="P471" s="39">
        <v>0.13</v>
      </c>
      <c r="Q471" s="39">
        <v>0.26</v>
      </c>
      <c r="R471" s="38">
        <v>0.63780000000000003</v>
      </c>
      <c r="S471" s="40">
        <v>15</v>
      </c>
      <c r="T471" s="39">
        <v>0.19</v>
      </c>
      <c r="U471" s="39">
        <v>0.2</v>
      </c>
      <c r="V471" s="39">
        <v>0.22</v>
      </c>
      <c r="W471" s="38">
        <v>0.85609999999999997</v>
      </c>
      <c r="X471" s="39">
        <v>2.02</v>
      </c>
      <c r="Y471" s="41">
        <v>49604.157854700803</v>
      </c>
      <c r="Z471" s="39">
        <v>1005</v>
      </c>
      <c r="AA471" s="39">
        <v>0.48204773286202401</v>
      </c>
    </row>
    <row r="472" spans="1:27" s="22" customFormat="1" x14ac:dyDescent="0.25">
      <c r="A472" s="7" t="str">
        <f t="shared" si="7"/>
        <v>3529Providence Milwaukie Hospital481555077700, PHYSICAL THERAPY</v>
      </c>
      <c r="B472" s="7"/>
      <c r="C472" s="29" t="s">
        <v>1249</v>
      </c>
      <c r="D472" s="29" t="s">
        <v>1249</v>
      </c>
      <c r="E472" s="29" t="s">
        <v>1249</v>
      </c>
      <c r="F472" s="29">
        <v>3529</v>
      </c>
      <c r="G472" s="4" t="s">
        <v>1327</v>
      </c>
      <c r="H472" s="74">
        <v>4815</v>
      </c>
      <c r="I472" s="73" t="s">
        <v>280</v>
      </c>
      <c r="J472" s="73" t="s">
        <v>41</v>
      </c>
      <c r="K472" s="73" t="s">
        <v>1343</v>
      </c>
      <c r="L472" s="73" t="s">
        <v>79</v>
      </c>
      <c r="M472" s="75">
        <v>730.89</v>
      </c>
      <c r="N472" s="75">
        <v>917.25</v>
      </c>
      <c r="O472" s="76">
        <v>0.66669999999999996</v>
      </c>
      <c r="P472" s="75">
        <v>24.71</v>
      </c>
      <c r="Q472" s="75">
        <f>18714.98/N472</f>
        <v>20.403357863177977</v>
      </c>
      <c r="R472" s="76">
        <v>0</v>
      </c>
      <c r="S472" s="77">
        <v>16</v>
      </c>
      <c r="T472" s="75">
        <v>22.55</v>
      </c>
      <c r="U472" s="75">
        <v>23.5</v>
      </c>
      <c r="V472" s="75">
        <v>24.76</v>
      </c>
      <c r="W472" s="76">
        <v>0.90559999999999996</v>
      </c>
      <c r="X472" s="75">
        <v>9.9</v>
      </c>
      <c r="Y472" s="78">
        <f>+Z472*34.56</f>
        <v>-108396.69964664314</v>
      </c>
      <c r="Z472" s="75">
        <f>((Q472-U472)*N472)/W472</f>
        <v>-3136.4785777385168</v>
      </c>
      <c r="AA472" s="75">
        <f>Z472/2085.7</f>
        <v>-1.503801398925309</v>
      </c>
    </row>
    <row r="473" spans="1:27" s="22" customFormat="1" x14ac:dyDescent="0.25">
      <c r="A473" s="7" t="str">
        <f t="shared" si="7"/>
        <v>3529Providence Milwaukie Hospital591055084200, SECURITY</v>
      </c>
      <c r="B473" s="7"/>
      <c r="C473" s="29" t="s">
        <v>1249</v>
      </c>
      <c r="D473" s="29" t="s">
        <v>1249</v>
      </c>
      <c r="E473" s="29" t="s">
        <v>1249</v>
      </c>
      <c r="F473" s="29">
        <v>3529</v>
      </c>
      <c r="G473" s="4" t="s">
        <v>1327</v>
      </c>
      <c r="H473" s="5">
        <v>5910</v>
      </c>
      <c r="I473" s="4" t="s">
        <v>139</v>
      </c>
      <c r="J473" s="4" t="s">
        <v>136</v>
      </c>
      <c r="K473" s="4" t="s">
        <v>1342</v>
      </c>
      <c r="L473" s="4" t="s">
        <v>140</v>
      </c>
      <c r="M473" s="39">
        <v>838.58</v>
      </c>
      <c r="N473" s="39">
        <v>838.58</v>
      </c>
      <c r="O473" s="38">
        <v>0.4667</v>
      </c>
      <c r="P473" s="39">
        <v>10.94</v>
      </c>
      <c r="Q473" s="39">
        <v>10.94</v>
      </c>
      <c r="R473" s="38">
        <v>0.33329999999999999</v>
      </c>
      <c r="S473" s="40">
        <v>16</v>
      </c>
      <c r="T473" s="39">
        <v>8.67</v>
      </c>
      <c r="U473" s="39">
        <v>11.69</v>
      </c>
      <c r="V473" s="39">
        <v>17.68</v>
      </c>
      <c r="W473" s="38">
        <v>0.86619999999999997</v>
      </c>
      <c r="X473" s="39">
        <v>5.09</v>
      </c>
      <c r="Y473" s="41">
        <v>-16061.4747530894</v>
      </c>
      <c r="Z473" s="39">
        <v>-701</v>
      </c>
      <c r="AA473" s="39">
        <v>-0.33611496364835203</v>
      </c>
    </row>
    <row r="474" spans="1:27" s="22" customFormat="1" x14ac:dyDescent="0.25">
      <c r="A474" s="7" t="str">
        <f t="shared" si="7"/>
        <v>3529Providence Milwaukie Hospital481255078090, CLACKAMAS REHAB</v>
      </c>
      <c r="B474" s="7"/>
      <c r="C474" s="29" t="s">
        <v>1249</v>
      </c>
      <c r="D474" s="29" t="s">
        <v>1249</v>
      </c>
      <c r="E474" s="29" t="s">
        <v>1249</v>
      </c>
      <c r="F474" s="29">
        <v>3529</v>
      </c>
      <c r="G474" s="4" t="s">
        <v>1327</v>
      </c>
      <c r="H474" s="5">
        <v>4812</v>
      </c>
      <c r="I474" s="4" t="s">
        <v>78</v>
      </c>
      <c r="J474" s="4" t="s">
        <v>41</v>
      </c>
      <c r="K474" s="73" t="s">
        <v>1341</v>
      </c>
      <c r="L474" s="73" t="s">
        <v>79</v>
      </c>
      <c r="M474" s="75">
        <v>263.01</v>
      </c>
      <c r="N474" s="75">
        <v>311.88</v>
      </c>
      <c r="O474" s="76">
        <v>0.5333</v>
      </c>
      <c r="P474" s="75">
        <v>29.58</v>
      </c>
      <c r="Q474" s="75">
        <f>8662.26/N474</f>
        <v>27.774336283185843</v>
      </c>
      <c r="R474" s="76">
        <v>0.26669999999999999</v>
      </c>
      <c r="S474" s="77">
        <v>16</v>
      </c>
      <c r="T474" s="75">
        <v>22.72</v>
      </c>
      <c r="U474" s="75">
        <v>23.61</v>
      </c>
      <c r="V474" s="75">
        <v>24.44</v>
      </c>
      <c r="W474" s="76">
        <v>0.80800000000000005</v>
      </c>
      <c r="X474" s="75">
        <v>4.22</v>
      </c>
      <c r="Y474" s="78">
        <f>+Z474*34.38</f>
        <v>55262.156702970329</v>
      </c>
      <c r="Z474" s="75">
        <f>((Q474-U474)*N474)/W474</f>
        <v>1607.3925742574265</v>
      </c>
      <c r="AA474" s="75">
        <f>Z474/2085.7</f>
        <v>0.77067295117103451</v>
      </c>
    </row>
    <row r="475" spans="1:27" s="22" customFormat="1" x14ac:dyDescent="0.25">
      <c r="A475" s="7" t="str">
        <f t="shared" si="7"/>
        <v>3529Providence Milwaukie Hospital307055083800, STERILE PROCESSING</v>
      </c>
      <c r="B475" s="7"/>
      <c r="C475" s="29" t="s">
        <v>1249</v>
      </c>
      <c r="D475" s="29" t="s">
        <v>1249</v>
      </c>
      <c r="E475" s="29" t="s">
        <v>1249</v>
      </c>
      <c r="F475" s="29">
        <v>3529</v>
      </c>
      <c r="G475" s="4" t="s">
        <v>1327</v>
      </c>
      <c r="H475" s="5">
        <v>3070</v>
      </c>
      <c r="I475" s="4" t="s">
        <v>91</v>
      </c>
      <c r="J475" s="4" t="s">
        <v>47</v>
      </c>
      <c r="K475" s="4" t="s">
        <v>1344</v>
      </c>
      <c r="L475" s="4" t="s">
        <v>92</v>
      </c>
      <c r="M475" s="39">
        <v>450.9</v>
      </c>
      <c r="N475" s="39">
        <v>429.84</v>
      </c>
      <c r="O475" s="38">
        <v>0.4375</v>
      </c>
      <c r="P475" s="39">
        <v>17.32</v>
      </c>
      <c r="Q475" s="39">
        <v>17.03</v>
      </c>
      <c r="R475" s="38">
        <v>0.26669999999999999</v>
      </c>
      <c r="S475" s="40">
        <v>17</v>
      </c>
      <c r="T475" s="39">
        <v>16.93</v>
      </c>
      <c r="U475" s="39">
        <v>18.059999999999999</v>
      </c>
      <c r="V475" s="39">
        <v>22.37</v>
      </c>
      <c r="W475" s="38">
        <v>0.90390000000000004</v>
      </c>
      <c r="X475" s="39">
        <v>3.89</v>
      </c>
      <c r="Y475" s="41">
        <v>-10316.809824612301</v>
      </c>
      <c r="Z475" s="39">
        <v>-475</v>
      </c>
      <c r="AA475" s="39">
        <v>-0.22767765837258699</v>
      </c>
    </row>
    <row r="476" spans="1:27" s="22" customFormat="1" x14ac:dyDescent="0.25">
      <c r="A476" s="7" t="str">
        <f t="shared" si="7"/>
        <v>3529Providence Milwaukie Hospital342055076800, CTT SCANNER</v>
      </c>
      <c r="B476" s="7"/>
      <c r="C476" s="29" t="s">
        <v>1249</v>
      </c>
      <c r="D476" s="29" t="s">
        <v>1249</v>
      </c>
      <c r="E476" s="29" t="s">
        <v>1249</v>
      </c>
      <c r="F476" s="29">
        <v>3529</v>
      </c>
      <c r="G476" s="4" t="s">
        <v>1327</v>
      </c>
      <c r="H476" s="5">
        <v>3420</v>
      </c>
      <c r="I476" s="4" t="s">
        <v>123</v>
      </c>
      <c r="J476" s="4" t="s">
        <v>57</v>
      </c>
      <c r="K476" s="4" t="s">
        <v>1345</v>
      </c>
      <c r="L476" s="4" t="s">
        <v>99</v>
      </c>
      <c r="M476" s="39">
        <v>26948.03</v>
      </c>
      <c r="N476" s="39">
        <v>29725.46</v>
      </c>
      <c r="O476" s="38">
        <v>0.61109999999999998</v>
      </c>
      <c r="P476" s="39">
        <v>0.25</v>
      </c>
      <c r="Q476" s="39">
        <v>0.19</v>
      </c>
      <c r="R476" s="38">
        <v>0.1176</v>
      </c>
      <c r="S476" s="40">
        <v>19</v>
      </c>
      <c r="T476" s="39">
        <v>0.27</v>
      </c>
      <c r="U476" s="39">
        <v>0.28000000000000003</v>
      </c>
      <c r="V476" s="39">
        <v>0.31</v>
      </c>
      <c r="W476" s="38">
        <v>0.95469999999999999</v>
      </c>
      <c r="X476" s="39">
        <v>2.87</v>
      </c>
      <c r="Y476" s="41">
        <v>-121524.956587917</v>
      </c>
      <c r="Z476" s="39">
        <v>-2732</v>
      </c>
      <c r="AA476" s="39">
        <v>-1.30991886261723</v>
      </c>
    </row>
    <row r="477" spans="1:27" s="22" customFormat="1" x14ac:dyDescent="0.25">
      <c r="A477" s="7" t="str">
        <f t="shared" si="7"/>
        <v>3529Providence Milwaukie Hospital481255078099, HAPPY VALLEY REHAB (U)</v>
      </c>
      <c r="B477" s="7"/>
      <c r="C477" s="29" t="s">
        <v>1249</v>
      </c>
      <c r="D477" s="29" t="s">
        <v>1249</v>
      </c>
      <c r="E477" s="29" t="s">
        <v>1249</v>
      </c>
      <c r="F477" s="29">
        <v>3529</v>
      </c>
      <c r="G477" s="4" t="s">
        <v>1327</v>
      </c>
      <c r="H477" s="5">
        <v>4812</v>
      </c>
      <c r="I477" s="4" t="s">
        <v>78</v>
      </c>
      <c r="J477" s="4" t="s">
        <v>41</v>
      </c>
      <c r="K477" s="73" t="s">
        <v>1347</v>
      </c>
      <c r="L477" s="73" t="s">
        <v>79</v>
      </c>
      <c r="M477" s="75">
        <v>178.74</v>
      </c>
      <c r="N477" s="75">
        <v>245.24</v>
      </c>
      <c r="O477" s="76">
        <v>0.51439999999999997</v>
      </c>
      <c r="P477" s="75">
        <v>24.67</v>
      </c>
      <c r="Q477" s="75">
        <f>5176.5/N477</f>
        <v>21.107894307617027</v>
      </c>
      <c r="R477" s="84"/>
      <c r="S477" s="77">
        <v>21</v>
      </c>
      <c r="T477" s="75">
        <v>20.23</v>
      </c>
      <c r="U477" s="75">
        <v>21.57</v>
      </c>
      <c r="V477" s="75">
        <v>22.47</v>
      </c>
      <c r="W477" s="76">
        <v>0.93520000000000003</v>
      </c>
      <c r="X477" s="75">
        <v>2.1</v>
      </c>
      <c r="Y477" s="78">
        <f>+Z477*33.05</f>
        <v>-4004.9729897348298</v>
      </c>
      <c r="Z477" s="75">
        <f>((Q477-U477)*N477)/W477</f>
        <v>-121.17921300256673</v>
      </c>
      <c r="AA477" s="75">
        <f>Z477/2085.7</f>
        <v>-5.8100020617810201E-2</v>
      </c>
    </row>
    <row r="478" spans="1:27" s="22" customFormat="1" x14ac:dyDescent="0.25">
      <c r="A478" s="7" t="str">
        <f t="shared" si="7"/>
        <v>3529Providence Milwaukie Hospital349955076395, DIAGNOSTIC IMAGING ADM SUPPORT</v>
      </c>
      <c r="B478" s="7"/>
      <c r="C478" s="29" t="s">
        <v>1249</v>
      </c>
      <c r="D478" s="29" t="s">
        <v>1249</v>
      </c>
      <c r="E478" s="29" t="s">
        <v>1249</v>
      </c>
      <c r="F478" s="29">
        <v>3529</v>
      </c>
      <c r="G478" s="4" t="s">
        <v>1327</v>
      </c>
      <c r="H478" s="5">
        <v>3499</v>
      </c>
      <c r="I478" s="4" t="s">
        <v>56</v>
      </c>
      <c r="J478" s="4" t="s">
        <v>57</v>
      </c>
      <c r="K478" s="4" t="s">
        <v>1346</v>
      </c>
      <c r="L478" s="4" t="s">
        <v>58</v>
      </c>
      <c r="M478" s="39">
        <v>97690.17</v>
      </c>
      <c r="N478" s="39">
        <v>108755.6</v>
      </c>
      <c r="O478" s="38">
        <v>0.65</v>
      </c>
      <c r="P478" s="39">
        <v>0.08</v>
      </c>
      <c r="Q478" s="39">
        <v>0.09</v>
      </c>
      <c r="R478" s="38">
        <v>0.78949999999999998</v>
      </c>
      <c r="S478" s="40">
        <v>21</v>
      </c>
      <c r="T478" s="39">
        <v>0.05</v>
      </c>
      <c r="U478" s="39">
        <v>0.05</v>
      </c>
      <c r="V478" s="39">
        <v>0.08</v>
      </c>
      <c r="W478" s="38">
        <v>0.91320000000000001</v>
      </c>
      <c r="X478" s="39">
        <v>5.25</v>
      </c>
      <c r="Y478" s="41">
        <v>158078.25468221499</v>
      </c>
      <c r="Z478" s="39">
        <v>4995</v>
      </c>
      <c r="AA478" s="39">
        <v>2.3950146168774902</v>
      </c>
    </row>
    <row r="479" spans="1:27" s="22" customFormat="1" x14ac:dyDescent="0.25">
      <c r="A479" s="7" t="str">
        <f t="shared" si="7"/>
        <v>3529Providence Milwaukie Hospital301155074200, SURGICAL SERVICES</v>
      </c>
      <c r="B479" s="7"/>
      <c r="C479" s="29" t="s">
        <v>1249</v>
      </c>
      <c r="D479" s="29" t="s">
        <v>1249</v>
      </c>
      <c r="E479" s="29" t="s">
        <v>1249</v>
      </c>
      <c r="F479" s="148">
        <v>3529</v>
      </c>
      <c r="G479" s="43" t="s">
        <v>1327</v>
      </c>
      <c r="H479" s="42">
        <v>3011</v>
      </c>
      <c r="I479" s="43" t="s">
        <v>87</v>
      </c>
      <c r="J479" s="43" t="s">
        <v>47</v>
      </c>
      <c r="K479" s="43" t="s">
        <v>1348</v>
      </c>
      <c r="L479" s="43" t="s">
        <v>88</v>
      </c>
      <c r="M479" s="46">
        <v>2278.1999999999998</v>
      </c>
      <c r="N479" s="46">
        <v>2090.15</v>
      </c>
      <c r="O479" s="45">
        <v>0.43480000000000002</v>
      </c>
      <c r="P479" s="46">
        <v>10.79</v>
      </c>
      <c r="Q479" s="46">
        <v>11.79</v>
      </c>
      <c r="R479" s="45">
        <v>0.40910000000000002</v>
      </c>
      <c r="S479" s="47">
        <v>24</v>
      </c>
      <c r="T479" s="46">
        <v>11.07</v>
      </c>
      <c r="U479" s="46">
        <v>11.63</v>
      </c>
      <c r="V479" s="46">
        <v>12.23</v>
      </c>
      <c r="W479" s="45">
        <v>0.87250000000000005</v>
      </c>
      <c r="X479" s="46">
        <v>13.58</v>
      </c>
      <c r="Y479" s="48">
        <f>+Z479*42.06</f>
        <v>16121.344916905282</v>
      </c>
      <c r="Z479" s="46">
        <f>((Q479-U479)*N479)/W479</f>
        <v>383.29398280801905</v>
      </c>
      <c r="AA479" s="46">
        <f>Z479/2085.7</f>
        <v>0.18377234636238149</v>
      </c>
    </row>
    <row r="480" spans="1:27" s="22" customFormat="1" x14ac:dyDescent="0.25">
      <c r="A480" s="7" t="str">
        <f t="shared" si="7"/>
        <v>3529Providence Milwaukie Hospital345055076700, ULTRASOUND</v>
      </c>
      <c r="B480" s="7"/>
      <c r="C480" s="29" t="s">
        <v>1249</v>
      </c>
      <c r="D480" s="29" t="s">
        <v>1249</v>
      </c>
      <c r="E480" s="29" t="s">
        <v>1249</v>
      </c>
      <c r="F480" s="29">
        <v>3529</v>
      </c>
      <c r="G480" s="4" t="s">
        <v>1327</v>
      </c>
      <c r="H480" s="5">
        <v>3450</v>
      </c>
      <c r="I480" s="4" t="s">
        <v>122</v>
      </c>
      <c r="J480" s="4" t="s">
        <v>57</v>
      </c>
      <c r="K480" s="4" t="s">
        <v>1349</v>
      </c>
      <c r="L480" s="4" t="s">
        <v>99</v>
      </c>
      <c r="M480" s="39">
        <v>17022.189999999999</v>
      </c>
      <c r="N480" s="39">
        <v>19166.73</v>
      </c>
      <c r="O480" s="38">
        <v>0.72</v>
      </c>
      <c r="P480" s="39">
        <v>0.42</v>
      </c>
      <c r="Q480" s="39">
        <v>0.44</v>
      </c>
      <c r="R480" s="38">
        <v>0.25</v>
      </c>
      <c r="S480" s="40">
        <v>26</v>
      </c>
      <c r="T480" s="39">
        <v>0.44</v>
      </c>
      <c r="U480" s="39">
        <v>0.46</v>
      </c>
      <c r="V480" s="39">
        <v>0.49</v>
      </c>
      <c r="W480" s="38">
        <v>0.95569999999999999</v>
      </c>
      <c r="X480" s="39">
        <v>4.28</v>
      </c>
      <c r="Y480" s="41">
        <v>-14339.9870630531</v>
      </c>
      <c r="Z480" s="39">
        <v>-299</v>
      </c>
      <c r="AA480" s="39">
        <v>-0.14315776008599701</v>
      </c>
    </row>
    <row r="481" spans="1:27" s="22" customFormat="1" x14ac:dyDescent="0.25">
      <c r="A481" s="7" t="str">
        <f t="shared" si="7"/>
        <v>3529Providence Milwaukie Hospital343055076600, MRI</v>
      </c>
      <c r="B481" s="7"/>
      <c r="C481" s="29" t="s">
        <v>1249</v>
      </c>
      <c r="D481" s="29" t="s">
        <v>1249</v>
      </c>
      <c r="E481" s="29" t="s">
        <v>1249</v>
      </c>
      <c r="F481" s="29">
        <v>3529</v>
      </c>
      <c r="G481" s="4" t="s">
        <v>1327</v>
      </c>
      <c r="H481" s="5">
        <v>3430</v>
      </c>
      <c r="I481" s="4" t="s">
        <v>121</v>
      </c>
      <c r="J481" s="4" t="s">
        <v>57</v>
      </c>
      <c r="K481" s="4" t="s">
        <v>1350</v>
      </c>
      <c r="L481" s="4" t="s">
        <v>99</v>
      </c>
      <c r="M481" s="39">
        <v>18259.54</v>
      </c>
      <c r="N481" s="39">
        <v>19563.71</v>
      </c>
      <c r="O481" s="38">
        <v>0.42309999999999998</v>
      </c>
      <c r="P481" s="39">
        <v>0.27</v>
      </c>
      <c r="Q481" s="39">
        <v>0.28000000000000003</v>
      </c>
      <c r="R481" s="38">
        <v>8.6999999999999994E-2</v>
      </c>
      <c r="S481" s="40">
        <v>27</v>
      </c>
      <c r="T481" s="39">
        <v>0.28999999999999998</v>
      </c>
      <c r="U481" s="39">
        <v>0.28999999999999998</v>
      </c>
      <c r="V481" s="39">
        <v>0.3</v>
      </c>
      <c r="W481" s="38">
        <v>0.88419999999999999</v>
      </c>
      <c r="X481" s="39">
        <v>2.95</v>
      </c>
      <c r="Y481" s="41">
        <v>-10897.813239569699</v>
      </c>
      <c r="Z481" s="39">
        <v>-264</v>
      </c>
      <c r="AA481" s="39">
        <v>-0.126428759828631</v>
      </c>
    </row>
    <row r="482" spans="1:27" s="22" customFormat="1" x14ac:dyDescent="0.25">
      <c r="A482" s="7" t="str">
        <f t="shared" si="7"/>
        <v>3529Providence Milwaukie Hospital344055076390, MAMMOGRAPHY</v>
      </c>
      <c r="B482" s="7"/>
      <c r="C482" s="29" t="s">
        <v>1249</v>
      </c>
      <c r="D482" s="29" t="s">
        <v>1249</v>
      </c>
      <c r="E482" s="29" t="s">
        <v>1249</v>
      </c>
      <c r="F482" s="29">
        <v>3529</v>
      </c>
      <c r="G482" s="4" t="s">
        <v>1327</v>
      </c>
      <c r="H482" s="5">
        <v>3440</v>
      </c>
      <c r="I482" s="4" t="s">
        <v>119</v>
      </c>
      <c r="J482" s="4" t="s">
        <v>57</v>
      </c>
      <c r="K482" s="4" t="s">
        <v>1351</v>
      </c>
      <c r="L482" s="4" t="s">
        <v>99</v>
      </c>
      <c r="M482" s="39">
        <v>9051.5</v>
      </c>
      <c r="N482" s="39">
        <v>14186.39</v>
      </c>
      <c r="O482" s="38">
        <v>0.73329999999999995</v>
      </c>
      <c r="P482" s="39">
        <v>0.57999999999999996</v>
      </c>
      <c r="Q482" s="39">
        <v>0.36</v>
      </c>
      <c r="R482" s="38">
        <v>0</v>
      </c>
      <c r="S482" s="40">
        <v>31</v>
      </c>
      <c r="T482" s="39">
        <v>0.54</v>
      </c>
      <c r="U482" s="39">
        <v>0.56999999999999995</v>
      </c>
      <c r="V482" s="39">
        <v>0.6</v>
      </c>
      <c r="W482" s="38">
        <v>0.94369999999999998</v>
      </c>
      <c r="X482" s="39">
        <v>2.62</v>
      </c>
      <c r="Y482" s="41">
        <v>-118932.404502486</v>
      </c>
      <c r="Z482" s="39">
        <v>-3104</v>
      </c>
      <c r="AA482" s="39">
        <v>-1.48828869454422</v>
      </c>
    </row>
    <row r="483" spans="1:27" s="22" customFormat="1" x14ac:dyDescent="0.25">
      <c r="A483" s="7" t="str">
        <f t="shared" si="7"/>
        <v>3529Providence Milwaukie Hospital432055078740, SLEEP LAB</v>
      </c>
      <c r="B483" s="7"/>
      <c r="C483" s="29" t="s">
        <v>1249</v>
      </c>
      <c r="D483" s="29" t="s">
        <v>1249</v>
      </c>
      <c r="E483" s="29" t="s">
        <v>1249</v>
      </c>
      <c r="F483" s="29">
        <v>3529</v>
      </c>
      <c r="G483" s="4" t="s">
        <v>1327</v>
      </c>
      <c r="H483" s="5">
        <v>4320</v>
      </c>
      <c r="I483" s="4" t="s">
        <v>166</v>
      </c>
      <c r="J483" s="4" t="s">
        <v>116</v>
      </c>
      <c r="K483" s="4" t="s">
        <v>1352</v>
      </c>
      <c r="L483" s="4" t="s">
        <v>99</v>
      </c>
      <c r="M483" s="39">
        <v>5665.25</v>
      </c>
      <c r="N483" s="39">
        <v>5989.47</v>
      </c>
      <c r="O483" s="38">
        <v>0.36359999999999998</v>
      </c>
      <c r="P483" s="39">
        <v>0.85</v>
      </c>
      <c r="Q483" s="39">
        <v>0.8</v>
      </c>
      <c r="R483" s="38">
        <v>0.21210000000000001</v>
      </c>
      <c r="S483" s="40">
        <v>34</v>
      </c>
      <c r="T483" s="39">
        <v>0.9</v>
      </c>
      <c r="U483" s="39">
        <v>0.95</v>
      </c>
      <c r="V483" s="39">
        <v>1.01</v>
      </c>
      <c r="W483" s="38">
        <v>0.85909999999999997</v>
      </c>
      <c r="X483" s="39">
        <v>2.67</v>
      </c>
      <c r="Y483" s="41">
        <v>-34317.796959296298</v>
      </c>
      <c r="Z483" s="39">
        <v>-1054</v>
      </c>
      <c r="AA483" s="39">
        <v>-0.50553160203653202</v>
      </c>
    </row>
    <row r="484" spans="1:27" s="22" customFormat="1" x14ac:dyDescent="0.25">
      <c r="A484" s="7" t="str">
        <f t="shared" si="7"/>
        <v>3529Providence Milwaukie Hospital309955003099, SURG SVCS ADMIN (U,N)</v>
      </c>
      <c r="B484" s="7"/>
      <c r="C484" s="29" t="s">
        <v>1249</v>
      </c>
      <c r="D484" s="29" t="s">
        <v>1249</v>
      </c>
      <c r="E484" s="29" t="s">
        <v>1249</v>
      </c>
      <c r="F484" s="29">
        <v>3529</v>
      </c>
      <c r="G484" s="4" t="s">
        <v>1327</v>
      </c>
      <c r="H484" s="5">
        <v>3099</v>
      </c>
      <c r="I484" s="4" t="s">
        <v>46</v>
      </c>
      <c r="J484" s="4" t="s">
        <v>47</v>
      </c>
      <c r="K484" s="4" t="s">
        <v>1353</v>
      </c>
      <c r="L484" s="4" t="s">
        <v>49</v>
      </c>
      <c r="M484" s="39">
        <v>2803</v>
      </c>
      <c r="N484" s="39">
        <v>3551</v>
      </c>
      <c r="O484" s="38">
        <v>0.51790000000000003</v>
      </c>
      <c r="P484" s="39">
        <v>2.3199999999999998</v>
      </c>
      <c r="Q484" s="39">
        <v>2.0499999999999998</v>
      </c>
      <c r="R484" s="38">
        <v>0.65400000000000003</v>
      </c>
      <c r="S484" s="40">
        <v>35</v>
      </c>
      <c r="T484" s="39">
        <v>1.22</v>
      </c>
      <c r="U484" s="39">
        <v>1.29</v>
      </c>
      <c r="V484" s="39">
        <v>1.57</v>
      </c>
      <c r="W484" s="38">
        <v>0.81850000000000001</v>
      </c>
      <c r="X484" s="39">
        <v>4.28</v>
      </c>
      <c r="Y484" s="41">
        <v>138937.225920995</v>
      </c>
      <c r="Z484" s="39">
        <v>3330</v>
      </c>
      <c r="AA484" s="39">
        <v>1.5966961256874701</v>
      </c>
    </row>
    <row r="485" spans="1:27" s="22" customFormat="1" x14ac:dyDescent="0.25">
      <c r="A485" s="7" t="str">
        <f t="shared" si="7"/>
        <v>3529Providence Milwaukie Hospital302055074270, PACU</v>
      </c>
      <c r="B485" s="7"/>
      <c r="C485" s="29" t="s">
        <v>1249</v>
      </c>
      <c r="D485" s="29" t="s">
        <v>1249</v>
      </c>
      <c r="E485" s="29" t="s">
        <v>1249</v>
      </c>
      <c r="F485" s="29">
        <v>3529</v>
      </c>
      <c r="G485" s="4" t="s">
        <v>1327</v>
      </c>
      <c r="H485" s="5">
        <v>3020</v>
      </c>
      <c r="I485" s="4" t="s">
        <v>89</v>
      </c>
      <c r="J485" s="4" t="s">
        <v>47</v>
      </c>
      <c r="K485" s="4" t="s">
        <v>1355</v>
      </c>
      <c r="L485" s="4" t="s">
        <v>90</v>
      </c>
      <c r="M485" s="39">
        <v>1651.2</v>
      </c>
      <c r="N485" s="39">
        <v>3253.49</v>
      </c>
      <c r="O485" s="38">
        <v>0.47620000000000001</v>
      </c>
      <c r="P485" s="39">
        <v>4.43</v>
      </c>
      <c r="Q485" s="39">
        <v>2.14</v>
      </c>
      <c r="R485" s="38">
        <v>2.3800000000000002E-2</v>
      </c>
      <c r="S485" s="40">
        <v>43</v>
      </c>
      <c r="T485" s="39">
        <v>3.62</v>
      </c>
      <c r="U485" s="39">
        <v>3.79</v>
      </c>
      <c r="V485" s="39">
        <v>4.07</v>
      </c>
      <c r="W485" s="38">
        <v>0.82310000000000005</v>
      </c>
      <c r="X485" s="39">
        <v>4.07</v>
      </c>
      <c r="Y485" s="41">
        <v>-423651.55913746799</v>
      </c>
      <c r="Z485" s="39">
        <v>-6492</v>
      </c>
      <c r="AA485" s="39">
        <v>-3.11264237465894</v>
      </c>
    </row>
    <row r="486" spans="1:27" s="22" customFormat="1" x14ac:dyDescent="0.25">
      <c r="A486" s="7" t="str">
        <f t="shared" si="7"/>
        <v>3529Providence Milwaukie Hospital201055070100, 55070101 EMERGENCY SERVICES</v>
      </c>
      <c r="B486" s="7"/>
      <c r="C486" s="29" t="s">
        <v>1249</v>
      </c>
      <c r="D486" s="29" t="s">
        <v>1249</v>
      </c>
      <c r="E486" s="29" t="s">
        <v>1249</v>
      </c>
      <c r="F486" s="29">
        <v>3529</v>
      </c>
      <c r="G486" s="4" t="s">
        <v>1327</v>
      </c>
      <c r="H486" s="5">
        <v>2010</v>
      </c>
      <c r="I486" s="4" t="s">
        <v>75</v>
      </c>
      <c r="J486" s="4" t="s">
        <v>76</v>
      </c>
      <c r="K486" s="4" t="s">
        <v>1354</v>
      </c>
      <c r="L486" s="4" t="s">
        <v>77</v>
      </c>
      <c r="M486" s="39">
        <v>33912</v>
      </c>
      <c r="N486" s="39">
        <v>34410</v>
      </c>
      <c r="O486" s="38">
        <v>0.47620000000000001</v>
      </c>
      <c r="P486" s="39">
        <v>2.2400000000000002</v>
      </c>
      <c r="Q486" s="39">
        <v>2.38</v>
      </c>
      <c r="R486" s="38">
        <v>0.31709999999999999</v>
      </c>
      <c r="S486" s="40">
        <v>43</v>
      </c>
      <c r="T486" s="39">
        <v>2.2999999999999998</v>
      </c>
      <c r="U486" s="39">
        <v>2.42</v>
      </c>
      <c r="V486" s="39">
        <v>2.54</v>
      </c>
      <c r="W486" s="38">
        <v>0.90049999999999997</v>
      </c>
      <c r="X486" s="39">
        <v>43.75</v>
      </c>
      <c r="Y486" s="41">
        <v>-57132.347325196999</v>
      </c>
      <c r="Z486" s="39">
        <v>-1224</v>
      </c>
      <c r="AA486" s="39">
        <v>-0.58681383478629101</v>
      </c>
    </row>
    <row r="487" spans="1:27" s="22" customFormat="1" x14ac:dyDescent="0.25">
      <c r="A487" s="7" t="str">
        <f t="shared" si="7"/>
        <v>3529Providence Milwaukie Hospital121055061700, MEDICAL_SURGICAL</v>
      </c>
      <c r="B487" s="7"/>
      <c r="C487" s="29" t="s">
        <v>1249</v>
      </c>
      <c r="D487" s="29" t="s">
        <v>1249</v>
      </c>
      <c r="E487" s="29" t="s">
        <v>1249</v>
      </c>
      <c r="F487" s="29">
        <v>3529</v>
      </c>
      <c r="G487" s="4" t="s">
        <v>1327</v>
      </c>
      <c r="H487" s="5">
        <v>1210</v>
      </c>
      <c r="I487" s="4" t="s">
        <v>147</v>
      </c>
      <c r="J487" s="4" t="s">
        <v>23</v>
      </c>
      <c r="K487" s="4" t="s">
        <v>1356</v>
      </c>
      <c r="L487" s="4" t="s">
        <v>74</v>
      </c>
      <c r="M487" s="39">
        <v>8366.5</v>
      </c>
      <c r="N487" s="39">
        <v>8878.42</v>
      </c>
      <c r="O487" s="38">
        <v>0.51819999999999999</v>
      </c>
      <c r="P487" s="39">
        <v>10.6</v>
      </c>
      <c r="Q487" s="39">
        <v>10.39</v>
      </c>
      <c r="R487" s="38">
        <v>0.6</v>
      </c>
      <c r="S487" s="40">
        <v>111</v>
      </c>
      <c r="T487" s="39">
        <v>9.61</v>
      </c>
      <c r="U487" s="39">
        <v>9.92</v>
      </c>
      <c r="V487" s="39">
        <v>10.17</v>
      </c>
      <c r="W487" s="38">
        <v>0.89870000000000005</v>
      </c>
      <c r="X487" s="39">
        <v>49.35</v>
      </c>
      <c r="Y487" s="41">
        <v>208602.630138173</v>
      </c>
      <c r="Z487" s="39">
        <v>4928</v>
      </c>
      <c r="AA487" s="39">
        <v>2.3626691711908498</v>
      </c>
    </row>
    <row r="488" spans="1:27" s="22" customFormat="1" x14ac:dyDescent="0.25">
      <c r="A488" s="7" t="str">
        <f t="shared" si="7"/>
        <v>3850Providence Mount Carmel Hospital101037060100, INTENSIVE CARE UNIT</v>
      </c>
      <c r="B488" s="7"/>
      <c r="C488" s="29" t="s">
        <v>297</v>
      </c>
      <c r="D488" s="29" t="s">
        <v>349</v>
      </c>
      <c r="E488" s="29" t="s">
        <v>186</v>
      </c>
      <c r="F488" s="29">
        <v>3850</v>
      </c>
      <c r="G488" s="4" t="s">
        <v>350</v>
      </c>
      <c r="H488" s="5">
        <v>1010</v>
      </c>
      <c r="I488" s="4" t="s">
        <v>287</v>
      </c>
      <c r="J488" s="4" t="s">
        <v>23</v>
      </c>
      <c r="K488" s="4" t="s">
        <v>354</v>
      </c>
      <c r="L488" s="4" t="s">
        <v>74</v>
      </c>
      <c r="M488" s="6">
        <v>476</v>
      </c>
      <c r="N488" s="6">
        <v>513</v>
      </c>
      <c r="O488" s="19">
        <v>0.28570000000000001</v>
      </c>
      <c r="P488" s="6">
        <v>19.32</v>
      </c>
      <c r="Q488" s="6">
        <v>18.43</v>
      </c>
      <c r="R488" s="19">
        <v>0.1429</v>
      </c>
      <c r="S488" s="20">
        <v>8</v>
      </c>
      <c r="T488" s="6">
        <v>20.05</v>
      </c>
      <c r="U488" s="6">
        <v>22.57</v>
      </c>
      <c r="V488" s="6">
        <v>26.8</v>
      </c>
      <c r="W488" s="19">
        <v>0.90329999999999999</v>
      </c>
      <c r="X488" s="6">
        <v>5.03</v>
      </c>
      <c r="Y488" s="21">
        <v>-112764.39324709401</v>
      </c>
      <c r="Z488" s="6">
        <v>-2327</v>
      </c>
      <c r="AA488" s="6">
        <v>-1.1156110800011001</v>
      </c>
    </row>
    <row r="489" spans="1:27" s="22" customFormat="1" x14ac:dyDescent="0.25">
      <c r="A489" s="7" t="str">
        <f t="shared" si="7"/>
        <v>3850Providence Mount Carmel Hospital301137074200, SURGICAL SERVICES</v>
      </c>
      <c r="B489" s="7"/>
      <c r="C489" s="29" t="s">
        <v>297</v>
      </c>
      <c r="D489" s="29" t="s">
        <v>349</v>
      </c>
      <c r="E489" s="29" t="s">
        <v>186</v>
      </c>
      <c r="F489" s="29">
        <v>3850</v>
      </c>
      <c r="G489" s="4" t="s">
        <v>350</v>
      </c>
      <c r="H489" s="5">
        <v>3011</v>
      </c>
      <c r="I489" s="4" t="s">
        <v>87</v>
      </c>
      <c r="J489" s="4" t="s">
        <v>47</v>
      </c>
      <c r="K489" s="4" t="s">
        <v>357</v>
      </c>
      <c r="L489" s="4" t="s">
        <v>88</v>
      </c>
      <c r="M489" s="6">
        <v>881.7</v>
      </c>
      <c r="N489" s="6">
        <v>749.58</v>
      </c>
      <c r="O489" s="19">
        <v>0.25</v>
      </c>
      <c r="P489" s="6">
        <v>20.78</v>
      </c>
      <c r="Q489" s="6">
        <v>16.41</v>
      </c>
      <c r="R489" s="19">
        <v>0.25</v>
      </c>
      <c r="S489" s="20">
        <v>9</v>
      </c>
      <c r="T489" s="6">
        <v>16.41</v>
      </c>
      <c r="U489" s="6">
        <v>17.48</v>
      </c>
      <c r="V489" s="6">
        <v>20.85</v>
      </c>
      <c r="W489" s="19">
        <v>0.86639999999999995</v>
      </c>
      <c r="X489" s="6">
        <v>6.82</v>
      </c>
      <c r="Y489" s="21">
        <v>-36015.586421817898</v>
      </c>
      <c r="Z489" s="6">
        <v>-899</v>
      </c>
      <c r="AA489" s="6">
        <v>-0.43085355667540598</v>
      </c>
    </row>
    <row r="490" spans="1:27" s="22" customFormat="1" x14ac:dyDescent="0.25">
      <c r="A490" s="7" t="str">
        <f t="shared" si="7"/>
        <v>3850Providence Mount Carmel Hospital127037074000, LABOR AND DELIVERY</v>
      </c>
      <c r="B490" s="7"/>
      <c r="C490" s="29" t="s">
        <v>297</v>
      </c>
      <c r="D490" s="29" t="s">
        <v>349</v>
      </c>
      <c r="E490" s="29" t="s">
        <v>186</v>
      </c>
      <c r="F490" s="29">
        <v>3850</v>
      </c>
      <c r="G490" s="4" t="s">
        <v>350</v>
      </c>
      <c r="H490" s="5">
        <v>1270</v>
      </c>
      <c r="I490" s="4" t="s">
        <v>199</v>
      </c>
      <c r="J490" s="4" t="s">
        <v>23</v>
      </c>
      <c r="K490" s="4" t="s">
        <v>356</v>
      </c>
      <c r="L490" s="4" t="s">
        <v>86</v>
      </c>
      <c r="M490" s="6">
        <v>269</v>
      </c>
      <c r="N490" s="6">
        <v>228</v>
      </c>
      <c r="O490" s="19">
        <v>0.2727</v>
      </c>
      <c r="P490" s="6">
        <v>39.29</v>
      </c>
      <c r="Q490" s="6">
        <v>50.66</v>
      </c>
      <c r="R490" s="7"/>
      <c r="S490" s="20">
        <v>12</v>
      </c>
      <c r="T490" s="6">
        <v>77.55</v>
      </c>
      <c r="U490" s="6">
        <v>81.89</v>
      </c>
      <c r="V490" s="6">
        <v>85.64</v>
      </c>
      <c r="W490" s="19">
        <v>0.90600000000000003</v>
      </c>
      <c r="X490" s="6">
        <v>6.13</v>
      </c>
      <c r="Y490" s="21">
        <v>-366878.74149633199</v>
      </c>
      <c r="Z490" s="6">
        <v>-7823</v>
      </c>
      <c r="AA490" s="6">
        <v>-3.7506537230659598</v>
      </c>
    </row>
    <row r="491" spans="1:27" s="22" customFormat="1" x14ac:dyDescent="0.25">
      <c r="A491" s="7" t="str">
        <f t="shared" si="7"/>
        <v>3850Providence Mount Carmel Hospital5608Centralized Sheduling (U,N)</v>
      </c>
      <c r="B491" s="7"/>
      <c r="C491" s="29" t="s">
        <v>297</v>
      </c>
      <c r="D491" s="29" t="s">
        <v>349</v>
      </c>
      <c r="E491" s="29" t="s">
        <v>186</v>
      </c>
      <c r="F491" s="29">
        <v>3850</v>
      </c>
      <c r="G491" s="4" t="s">
        <v>350</v>
      </c>
      <c r="H491" s="5">
        <v>5608</v>
      </c>
      <c r="I491" s="4" t="s">
        <v>257</v>
      </c>
      <c r="J491" s="4" t="s">
        <v>12</v>
      </c>
      <c r="K491" s="4" t="s">
        <v>353</v>
      </c>
      <c r="L491" s="4" t="s">
        <v>18</v>
      </c>
      <c r="M491" s="6">
        <v>5166.1899999999996</v>
      </c>
      <c r="N491" s="6">
        <v>5142.01</v>
      </c>
      <c r="O491" s="7"/>
      <c r="P491" s="6">
        <v>1.1499999999999999</v>
      </c>
      <c r="Q491" s="6">
        <v>1.27</v>
      </c>
      <c r="R491" s="19">
        <v>0.66090000000000004</v>
      </c>
      <c r="S491" s="20">
        <v>12</v>
      </c>
      <c r="T491" s="6">
        <v>0.57999999999999996</v>
      </c>
      <c r="U491" s="6">
        <v>0.81</v>
      </c>
      <c r="V491" s="6">
        <v>1.2</v>
      </c>
      <c r="W491" s="19">
        <v>0.89239999999999997</v>
      </c>
      <c r="X491" s="6">
        <v>3.52</v>
      </c>
      <c r="Y491" s="21">
        <v>70567.487707884793</v>
      </c>
      <c r="Z491" s="6">
        <v>2674</v>
      </c>
      <c r="AA491" s="6">
        <v>1.2822759317266801</v>
      </c>
    </row>
    <row r="492" spans="1:27" s="22" customFormat="1" x14ac:dyDescent="0.25">
      <c r="A492" s="7" t="str">
        <f t="shared" si="7"/>
        <v>3850Providence Mount Carmel Hospital201037070100, 70101 EMERGENCY SERVICES</v>
      </c>
      <c r="B492" s="7"/>
      <c r="C492" s="29" t="s">
        <v>297</v>
      </c>
      <c r="D492" s="29" t="s">
        <v>349</v>
      </c>
      <c r="E492" s="29" t="s">
        <v>186</v>
      </c>
      <c r="F492" s="29">
        <v>3850</v>
      </c>
      <c r="G492" s="4" t="s">
        <v>350</v>
      </c>
      <c r="H492" s="5">
        <v>2010</v>
      </c>
      <c r="I492" s="4" t="s">
        <v>75</v>
      </c>
      <c r="J492" s="4" t="s">
        <v>76</v>
      </c>
      <c r="K492" s="4" t="s">
        <v>355</v>
      </c>
      <c r="L492" s="4" t="s">
        <v>77</v>
      </c>
      <c r="M492" s="6">
        <v>9378</v>
      </c>
      <c r="N492" s="6">
        <v>10194</v>
      </c>
      <c r="O492" s="19">
        <v>0.18179999999999999</v>
      </c>
      <c r="P492" s="6">
        <v>3.12</v>
      </c>
      <c r="Q492" s="6">
        <v>2.87</v>
      </c>
      <c r="R492" s="19">
        <v>0.23080000000000001</v>
      </c>
      <c r="S492" s="20">
        <v>12</v>
      </c>
      <c r="T492" s="6">
        <v>2.91</v>
      </c>
      <c r="U492" s="6">
        <v>3.03</v>
      </c>
      <c r="V492" s="6">
        <v>3.31</v>
      </c>
      <c r="W492" s="19">
        <v>0.88560000000000005</v>
      </c>
      <c r="X492" s="6">
        <v>15.91</v>
      </c>
      <c r="Y492" s="21">
        <v>-60151.811607260599</v>
      </c>
      <c r="Z492" s="6">
        <v>-1694</v>
      </c>
      <c r="AA492" s="6">
        <v>-0.81236924219939899</v>
      </c>
    </row>
    <row r="493" spans="1:27" s="22" customFormat="1" x14ac:dyDescent="0.25">
      <c r="A493" s="7" t="str">
        <f t="shared" si="7"/>
        <v>3850Providence Mount Carmel Hospital4899Rehabilitation Services Administration (U,N)</v>
      </c>
      <c r="B493" s="7"/>
      <c r="C493" s="29" t="s">
        <v>297</v>
      </c>
      <c r="D493" s="29" t="s">
        <v>349</v>
      </c>
      <c r="E493" s="29" t="s">
        <v>186</v>
      </c>
      <c r="F493" s="29">
        <v>3850</v>
      </c>
      <c r="G493" s="4" t="s">
        <v>350</v>
      </c>
      <c r="H493" s="5">
        <v>4899</v>
      </c>
      <c r="I493" s="4" t="s">
        <v>40</v>
      </c>
      <c r="J493" s="4" t="s">
        <v>41</v>
      </c>
      <c r="K493" s="4" t="s">
        <v>42</v>
      </c>
      <c r="L493" s="4" t="s">
        <v>43</v>
      </c>
      <c r="M493" s="7"/>
      <c r="N493" s="6">
        <v>549.53</v>
      </c>
      <c r="O493" s="19">
        <v>0.2984</v>
      </c>
      <c r="P493" s="7"/>
      <c r="Q493" s="6">
        <v>10.79</v>
      </c>
      <c r="R493" s="19">
        <v>0.93779999999999997</v>
      </c>
      <c r="S493" s="20">
        <v>13</v>
      </c>
      <c r="T493" s="6">
        <v>1.46</v>
      </c>
      <c r="U493" s="6">
        <v>5.43</v>
      </c>
      <c r="V493" s="6">
        <v>5.86</v>
      </c>
      <c r="W493" s="19">
        <v>0.89749999999999996</v>
      </c>
      <c r="X493" s="6">
        <v>3.18</v>
      </c>
      <c r="Y493" s="21">
        <v>83743.882842671606</v>
      </c>
      <c r="Z493" s="6">
        <v>3308</v>
      </c>
      <c r="AA493" s="6">
        <v>1.58593899591902</v>
      </c>
    </row>
    <row r="494" spans="1:27" s="22" customFormat="1" x14ac:dyDescent="0.25">
      <c r="A494" s="7" t="str">
        <f t="shared" si="7"/>
        <v>3850Providence Mount Carmel Hospital511237083400, DIETARY</v>
      </c>
      <c r="B494" s="7"/>
      <c r="C494" s="29" t="s">
        <v>297</v>
      </c>
      <c r="D494" s="29" t="s">
        <v>349</v>
      </c>
      <c r="E494" s="29" t="s">
        <v>186</v>
      </c>
      <c r="F494" s="29">
        <v>3850</v>
      </c>
      <c r="G494" s="4" t="s">
        <v>350</v>
      </c>
      <c r="H494" s="5">
        <v>5112</v>
      </c>
      <c r="I494" s="4" t="s">
        <v>281</v>
      </c>
      <c r="J494" s="4" t="s">
        <v>65</v>
      </c>
      <c r="K494" s="4" t="s">
        <v>362</v>
      </c>
      <c r="L494" s="4" t="s">
        <v>282</v>
      </c>
      <c r="M494" s="6">
        <v>65941.820000000007</v>
      </c>
      <c r="N494" s="6">
        <v>65344.959999999999</v>
      </c>
      <c r="O494" s="19">
        <v>0.41670000000000001</v>
      </c>
      <c r="P494" s="6">
        <v>0.22</v>
      </c>
      <c r="Q494" s="6">
        <v>0.22</v>
      </c>
      <c r="R494" s="19">
        <v>0.41670000000000001</v>
      </c>
      <c r="S494" s="20">
        <v>13</v>
      </c>
      <c r="T494" s="6">
        <v>0.2</v>
      </c>
      <c r="U494" s="6">
        <v>0.21</v>
      </c>
      <c r="V494" s="6">
        <v>0.22</v>
      </c>
      <c r="W494" s="19">
        <v>0.89290000000000003</v>
      </c>
      <c r="X494" s="6">
        <v>7.68</v>
      </c>
      <c r="Y494" s="21">
        <v>11288.985686663</v>
      </c>
      <c r="Z494" s="6">
        <v>650</v>
      </c>
      <c r="AA494" s="6">
        <v>0.31154005420320602</v>
      </c>
    </row>
    <row r="495" spans="1:27" s="22" customFormat="1" x14ac:dyDescent="0.25">
      <c r="A495" s="7" t="str">
        <f t="shared" si="7"/>
        <v>3850Providence Mount Carmel Hospital441037077100, PHARMACY</v>
      </c>
      <c r="B495" s="7"/>
      <c r="C495" s="29" t="s">
        <v>297</v>
      </c>
      <c r="D495" s="29" t="s">
        <v>349</v>
      </c>
      <c r="E495" s="29" t="s">
        <v>186</v>
      </c>
      <c r="F495" s="29">
        <v>3850</v>
      </c>
      <c r="G495" s="4" t="s">
        <v>350</v>
      </c>
      <c r="H495" s="5">
        <v>4410</v>
      </c>
      <c r="I495" s="4" t="s">
        <v>37</v>
      </c>
      <c r="J495" s="4" t="s">
        <v>37</v>
      </c>
      <c r="K495" s="4" t="s">
        <v>360</v>
      </c>
      <c r="L495" s="4" t="s">
        <v>100</v>
      </c>
      <c r="M495" s="6">
        <v>3131.38</v>
      </c>
      <c r="N495" s="6">
        <v>3496.68</v>
      </c>
      <c r="O495" s="19">
        <v>0.5625</v>
      </c>
      <c r="P495" s="6">
        <v>3.93</v>
      </c>
      <c r="Q495" s="6">
        <v>3.77</v>
      </c>
      <c r="R495" s="19">
        <v>1</v>
      </c>
      <c r="S495" s="20">
        <v>17</v>
      </c>
      <c r="T495" s="6">
        <v>1.86</v>
      </c>
      <c r="U495" s="6">
        <v>1.93</v>
      </c>
      <c r="V495" s="6">
        <v>2.08</v>
      </c>
      <c r="W495" s="19">
        <v>0.8982</v>
      </c>
      <c r="X495" s="6">
        <v>7.06</v>
      </c>
      <c r="Y495" s="21">
        <v>341736.30469430401</v>
      </c>
      <c r="Z495" s="6">
        <v>7212</v>
      </c>
      <c r="AA495" s="6">
        <v>3.4576300878114301</v>
      </c>
    </row>
    <row r="496" spans="1:27" s="22" customFormat="1" x14ac:dyDescent="0.25">
      <c r="A496" s="7" t="str">
        <f t="shared" si="7"/>
        <v>3850Providence Mount Carmel Hospital463037077610, ENDOSCOPY</v>
      </c>
      <c r="B496" s="7"/>
      <c r="C496" s="29" t="s">
        <v>297</v>
      </c>
      <c r="D496" s="29" t="s">
        <v>349</v>
      </c>
      <c r="E496" s="29" t="s">
        <v>186</v>
      </c>
      <c r="F496" s="29">
        <v>3850</v>
      </c>
      <c r="G496" s="4" t="s">
        <v>350</v>
      </c>
      <c r="H496" s="5">
        <v>4630</v>
      </c>
      <c r="I496" s="4" t="s">
        <v>104</v>
      </c>
      <c r="J496" s="4" t="s">
        <v>83</v>
      </c>
      <c r="K496" s="4" t="s">
        <v>361</v>
      </c>
      <c r="L496" s="4" t="s">
        <v>99</v>
      </c>
      <c r="M496" s="6">
        <v>13783.28</v>
      </c>
      <c r="N496" s="6">
        <v>1329.42</v>
      </c>
      <c r="O496" s="19">
        <v>0.77780000000000005</v>
      </c>
      <c r="P496" s="6">
        <v>0.43</v>
      </c>
      <c r="Q496" s="6">
        <v>4.66</v>
      </c>
      <c r="R496" s="19">
        <v>7.4099999999999999E-2</v>
      </c>
      <c r="S496" s="20">
        <v>28</v>
      </c>
      <c r="T496" s="6">
        <v>14.82</v>
      </c>
      <c r="U496" s="6">
        <v>19.09</v>
      </c>
      <c r="V496" s="6">
        <v>30.19</v>
      </c>
      <c r="W496" s="19">
        <v>0.88890000000000002</v>
      </c>
      <c r="X496" s="6">
        <v>3.35</v>
      </c>
      <c r="Y496" s="21">
        <v>-810917.50242358004</v>
      </c>
      <c r="Z496" s="6">
        <v>-21564</v>
      </c>
      <c r="AA496" s="6">
        <v>-10.3387373028276</v>
      </c>
    </row>
    <row r="497" spans="1:27" s="22" customFormat="1" x14ac:dyDescent="0.25">
      <c r="A497" s="7" t="str">
        <f t="shared" si="7"/>
        <v>3850Providence Mount Carmel Hospital341137076300, DIAGNOSTIC IMAGING</v>
      </c>
      <c r="B497" s="7"/>
      <c r="C497" s="29" t="s">
        <v>297</v>
      </c>
      <c r="D497" s="29" t="s">
        <v>349</v>
      </c>
      <c r="E497" s="29" t="s">
        <v>186</v>
      </c>
      <c r="F497" s="29">
        <v>3850</v>
      </c>
      <c r="G497" s="4" t="s">
        <v>350</v>
      </c>
      <c r="H497" s="5">
        <v>3411</v>
      </c>
      <c r="I497" s="4" t="s">
        <v>117</v>
      </c>
      <c r="J497" s="4" t="s">
        <v>57</v>
      </c>
      <c r="K497" s="4" t="s">
        <v>359</v>
      </c>
      <c r="L497" s="4" t="s">
        <v>99</v>
      </c>
      <c r="M497" s="6">
        <v>34709.040000000001</v>
      </c>
      <c r="N497" s="6">
        <v>37016</v>
      </c>
      <c r="O497" s="19">
        <v>0.89290000000000003</v>
      </c>
      <c r="P497" s="6">
        <v>0.59</v>
      </c>
      <c r="Q497" s="6">
        <v>0.56000000000000005</v>
      </c>
      <c r="R497" s="19">
        <v>0.1429</v>
      </c>
      <c r="S497" s="20">
        <v>29</v>
      </c>
      <c r="T497" s="6">
        <v>0.6</v>
      </c>
      <c r="U497" s="6">
        <v>0.66</v>
      </c>
      <c r="V497" s="6">
        <v>0.71</v>
      </c>
      <c r="W497" s="19">
        <v>0.88249999999999995</v>
      </c>
      <c r="X497" s="6">
        <v>11.34</v>
      </c>
      <c r="Y497" s="21">
        <v>-138533.273391861</v>
      </c>
      <c r="Z497" s="6">
        <v>-4032</v>
      </c>
      <c r="AA497" s="6">
        <v>-1.93293192100912</v>
      </c>
    </row>
    <row r="498" spans="1:27" s="22" customFormat="1" x14ac:dyDescent="0.25">
      <c r="A498" s="7" t="str">
        <f t="shared" si="7"/>
        <v>3850Providence Mount Carmel Hospital335037075000, 75400 CLINICAL LABORATORY SERVICES</v>
      </c>
      <c r="B498" s="7"/>
      <c r="C498" s="29" t="s">
        <v>297</v>
      </c>
      <c r="D498" s="29" t="s">
        <v>349</v>
      </c>
      <c r="E498" s="29" t="s">
        <v>186</v>
      </c>
      <c r="F498" s="29">
        <v>3850</v>
      </c>
      <c r="G498" s="4" t="s">
        <v>350</v>
      </c>
      <c r="H498" s="5">
        <v>3350</v>
      </c>
      <c r="I498" s="4" t="s">
        <v>93</v>
      </c>
      <c r="J498" s="4" t="s">
        <v>53</v>
      </c>
      <c r="K498" s="4" t="s">
        <v>358</v>
      </c>
      <c r="L498" s="4" t="s">
        <v>94</v>
      </c>
      <c r="M498" s="6">
        <v>1200.3399999999999</v>
      </c>
      <c r="N498" s="6">
        <v>1265.8</v>
      </c>
      <c r="O498" s="19">
        <v>0.52939999999999998</v>
      </c>
      <c r="P498" s="6">
        <v>30.61</v>
      </c>
      <c r="Q498" s="6">
        <v>29.29</v>
      </c>
      <c r="R498" s="19">
        <v>0.91180000000000005</v>
      </c>
      <c r="S498" s="20">
        <v>35</v>
      </c>
      <c r="T498" s="6">
        <v>17.14</v>
      </c>
      <c r="U498" s="6">
        <v>17.829999999999998</v>
      </c>
      <c r="V498" s="6">
        <v>20.14</v>
      </c>
      <c r="W498" s="19">
        <v>0.90100000000000002</v>
      </c>
      <c r="X498" s="6">
        <v>19.78</v>
      </c>
      <c r="Y498" s="21">
        <v>388727.44645598799</v>
      </c>
      <c r="Z498" s="6">
        <v>16206</v>
      </c>
      <c r="AA498" s="6">
        <v>7.7700886311241399</v>
      </c>
    </row>
    <row r="499" spans="1:27" s="22" customFormat="1" x14ac:dyDescent="0.25">
      <c r="A499" s="7" t="str">
        <f t="shared" si="7"/>
        <v>3850Providence Mount Carmel Hospital449004490, Pharmacy Administration and Support (U,N)</v>
      </c>
      <c r="B499" s="7"/>
      <c r="C499" s="29" t="s">
        <v>297</v>
      </c>
      <c r="D499" s="29" t="s">
        <v>349</v>
      </c>
      <c r="E499" s="29" t="s">
        <v>186</v>
      </c>
      <c r="F499" s="29">
        <v>3850</v>
      </c>
      <c r="G499" s="4" t="s">
        <v>350</v>
      </c>
      <c r="H499" s="5">
        <v>4490</v>
      </c>
      <c r="I499" s="4" t="s">
        <v>36</v>
      </c>
      <c r="J499" s="4" t="s">
        <v>37</v>
      </c>
      <c r="K499" s="4" t="s">
        <v>352</v>
      </c>
      <c r="L499" s="4" t="s">
        <v>39</v>
      </c>
      <c r="M499" s="6">
        <v>5214.6499999999996</v>
      </c>
      <c r="N499" s="6">
        <v>5544.01</v>
      </c>
      <c r="O499" s="7"/>
      <c r="P499" s="6">
        <v>0.72</v>
      </c>
      <c r="Q499" s="6">
        <v>0.71</v>
      </c>
      <c r="R499" s="7"/>
      <c r="S499" s="20">
        <v>75</v>
      </c>
      <c r="T499" s="6">
        <v>0.18</v>
      </c>
      <c r="U499" s="6">
        <v>0.21</v>
      </c>
      <c r="V499" s="6">
        <v>0.28000000000000003</v>
      </c>
      <c r="W499" s="19">
        <v>0.89590000000000003</v>
      </c>
      <c r="X499" s="6">
        <v>2.12</v>
      </c>
      <c r="Y499" s="21">
        <v>161426.85372037801</v>
      </c>
      <c r="Z499" s="6">
        <v>3122</v>
      </c>
      <c r="AA499" s="6">
        <v>1.4969370572326399</v>
      </c>
    </row>
    <row r="500" spans="1:27" s="22" customFormat="1" x14ac:dyDescent="0.25">
      <c r="A500" s="7" t="str">
        <f t="shared" si="7"/>
        <v>3530Providence Newberg Hospital560857005608, CENTRALIZED SCHEDULING (U,N)</v>
      </c>
      <c r="B500" s="7"/>
      <c r="C500" s="29" t="s">
        <v>1249</v>
      </c>
      <c r="D500" s="29" t="s">
        <v>1249</v>
      </c>
      <c r="E500" s="29" t="s">
        <v>1249</v>
      </c>
      <c r="F500" s="29">
        <v>3530</v>
      </c>
      <c r="G500" s="4" t="s">
        <v>1357</v>
      </c>
      <c r="H500" s="5">
        <v>5608</v>
      </c>
      <c r="I500" s="4" t="s">
        <v>257</v>
      </c>
      <c r="J500" s="4" t="s">
        <v>12</v>
      </c>
      <c r="K500" s="4" t="s">
        <v>1384</v>
      </c>
      <c r="L500" s="4" t="s">
        <v>18</v>
      </c>
      <c r="M500" s="39">
        <v>9379.48</v>
      </c>
      <c r="N500" s="39">
        <v>10633.37</v>
      </c>
      <c r="O500" s="38">
        <v>0.37890000000000001</v>
      </c>
      <c r="P500" s="39">
        <v>0.79</v>
      </c>
      <c r="Q500" s="39">
        <v>0.72</v>
      </c>
      <c r="R500" s="38">
        <v>0.2422</v>
      </c>
      <c r="S500" s="40">
        <v>8</v>
      </c>
      <c r="T500" s="39">
        <v>0.74</v>
      </c>
      <c r="U500" s="39">
        <v>0.98</v>
      </c>
      <c r="V500" s="39">
        <v>1.2</v>
      </c>
      <c r="W500" s="38">
        <v>0.79259999999999997</v>
      </c>
      <c r="X500" s="39">
        <v>4.67</v>
      </c>
      <c r="Y500" s="41">
        <v>-80263.807225006196</v>
      </c>
      <c r="Z500" s="39">
        <v>-3407</v>
      </c>
      <c r="AA500" s="39">
        <v>-1.63363549702466</v>
      </c>
    </row>
    <row r="501" spans="1:27" s="22" customFormat="1" x14ac:dyDescent="0.25">
      <c r="A501" s="7" t="str">
        <f t="shared" si="7"/>
        <v>3530Providence Newberg Hospital127057074000, MATERNITY SERVICES</v>
      </c>
      <c r="B501" s="7"/>
      <c r="C501" s="29" t="s">
        <v>1249</v>
      </c>
      <c r="D501" s="29" t="s">
        <v>1249</v>
      </c>
      <c r="E501" s="29" t="s">
        <v>1249</v>
      </c>
      <c r="F501" s="29">
        <v>3530</v>
      </c>
      <c r="G501" s="4" t="s">
        <v>1357</v>
      </c>
      <c r="H501" s="5">
        <v>1270</v>
      </c>
      <c r="I501" s="4" t="s">
        <v>199</v>
      </c>
      <c r="J501" s="4" t="s">
        <v>23</v>
      </c>
      <c r="K501" s="4" t="s">
        <v>1361</v>
      </c>
      <c r="L501" s="4" t="s">
        <v>86</v>
      </c>
      <c r="M501" s="39">
        <v>589</v>
      </c>
      <c r="N501" s="39">
        <v>541</v>
      </c>
      <c r="O501" s="38">
        <v>0.25</v>
      </c>
      <c r="P501" s="39">
        <v>72.81</v>
      </c>
      <c r="Q501" s="39">
        <v>83.51</v>
      </c>
      <c r="R501" s="38">
        <v>0.55559999999999998</v>
      </c>
      <c r="S501" s="40">
        <v>9</v>
      </c>
      <c r="T501" s="39">
        <v>75.150000000000006</v>
      </c>
      <c r="U501" s="39">
        <v>75.62</v>
      </c>
      <c r="V501" s="39">
        <v>80.81</v>
      </c>
      <c r="W501" s="38">
        <v>0.86809999999999998</v>
      </c>
      <c r="X501" s="39">
        <v>25.02</v>
      </c>
      <c r="Y501" s="41">
        <v>233332.12397704</v>
      </c>
      <c r="Z501" s="39">
        <v>5058</v>
      </c>
      <c r="AA501" s="39">
        <v>2.4250002546951102</v>
      </c>
    </row>
    <row r="502" spans="1:27" s="22" customFormat="1" x14ac:dyDescent="0.25">
      <c r="A502" s="7" t="str">
        <f t="shared" si="7"/>
        <v>3530Providence Newberg Hospital511257083400, PT_NON PT FOOD SVC</v>
      </c>
      <c r="B502" s="7"/>
      <c r="C502" s="29" t="s">
        <v>1249</v>
      </c>
      <c r="D502" s="29" t="s">
        <v>1249</v>
      </c>
      <c r="E502" s="29" t="s">
        <v>1249</v>
      </c>
      <c r="F502" s="29">
        <v>3530</v>
      </c>
      <c r="G502" s="4" t="s">
        <v>1357</v>
      </c>
      <c r="H502" s="5">
        <v>5112</v>
      </c>
      <c r="I502" s="4" t="s">
        <v>281</v>
      </c>
      <c r="J502" s="4" t="s">
        <v>65</v>
      </c>
      <c r="K502" s="4" t="s">
        <v>1387</v>
      </c>
      <c r="L502" s="4" t="s">
        <v>282</v>
      </c>
      <c r="M502" s="39">
        <v>272905.53999999998</v>
      </c>
      <c r="N502" s="39">
        <v>278308.37</v>
      </c>
      <c r="O502" s="38">
        <v>0.75</v>
      </c>
      <c r="P502" s="39">
        <v>0.13</v>
      </c>
      <c r="Q502" s="39">
        <v>0.13</v>
      </c>
      <c r="R502" s="38">
        <v>0.25</v>
      </c>
      <c r="S502" s="40">
        <v>9</v>
      </c>
      <c r="T502" s="39">
        <v>0.13</v>
      </c>
      <c r="U502" s="39">
        <v>0.16</v>
      </c>
      <c r="V502" s="39">
        <v>0.18</v>
      </c>
      <c r="W502" s="38">
        <v>0.90229999999999999</v>
      </c>
      <c r="X502" s="39">
        <v>19.5</v>
      </c>
      <c r="Y502" s="41">
        <v>-149594.05720800001</v>
      </c>
      <c r="Z502" s="39">
        <v>-8680</v>
      </c>
      <c r="AA502" s="39">
        <v>-4.1615642356095304</v>
      </c>
    </row>
    <row r="503" spans="1:27" s="22" customFormat="1" x14ac:dyDescent="0.25">
      <c r="A503" s="7" t="str">
        <f t="shared" si="7"/>
        <v>3530Providence Newberg Hospital423057075700, CARDIOVASCULAR LAB</v>
      </c>
      <c r="B503" s="7"/>
      <c r="C503" s="29" t="s">
        <v>1249</v>
      </c>
      <c r="D503" s="29" t="s">
        <v>1249</v>
      </c>
      <c r="E503" s="29" t="s">
        <v>1249</v>
      </c>
      <c r="F503" s="29">
        <v>3530</v>
      </c>
      <c r="G503" s="4" t="s">
        <v>1357</v>
      </c>
      <c r="H503" s="5">
        <v>4230</v>
      </c>
      <c r="I503" s="4" t="s">
        <v>96</v>
      </c>
      <c r="J503" s="4" t="s">
        <v>60</v>
      </c>
      <c r="K503" s="4" t="s">
        <v>1386</v>
      </c>
      <c r="L503" s="4" t="s">
        <v>97</v>
      </c>
      <c r="M503" s="39">
        <v>18168</v>
      </c>
      <c r="N503" s="39">
        <v>19197</v>
      </c>
      <c r="O503" s="38">
        <v>0.77780000000000005</v>
      </c>
      <c r="P503" s="39">
        <v>0.35</v>
      </c>
      <c r="Q503" s="39">
        <v>0.28999999999999998</v>
      </c>
      <c r="R503" s="38">
        <v>0.1</v>
      </c>
      <c r="S503" s="40">
        <v>10</v>
      </c>
      <c r="T503" s="39">
        <v>0.33</v>
      </c>
      <c r="U503" s="39">
        <v>0.64</v>
      </c>
      <c r="V503" s="39">
        <v>1.24</v>
      </c>
      <c r="W503" s="38">
        <v>0.83899999999999997</v>
      </c>
      <c r="X503" s="39">
        <v>3.18</v>
      </c>
      <c r="Y503" s="41">
        <v>-351739.540113836</v>
      </c>
      <c r="Z503" s="39">
        <v>-8011</v>
      </c>
      <c r="AA503" s="39">
        <v>-3.84100911576606</v>
      </c>
    </row>
    <row r="504" spans="1:27" s="22" customFormat="1" x14ac:dyDescent="0.25">
      <c r="A504" s="7" t="str">
        <f t="shared" si="7"/>
        <v>3530Providence Newberg Hospital489957004899, REHAB ADMIN AND SUPPORT (U,N)</v>
      </c>
      <c r="B504" s="7"/>
      <c r="C504" s="29" t="s">
        <v>1249</v>
      </c>
      <c r="D504" s="29" t="s">
        <v>1249</v>
      </c>
      <c r="E504" s="29" t="s">
        <v>1249</v>
      </c>
      <c r="F504" s="29">
        <v>3530</v>
      </c>
      <c r="G504" s="4" t="s">
        <v>1357</v>
      </c>
      <c r="H504" s="5">
        <v>4899</v>
      </c>
      <c r="I504" s="4" t="s">
        <v>40</v>
      </c>
      <c r="J504" s="4" t="s">
        <v>41</v>
      </c>
      <c r="K504" s="4" t="s">
        <v>1359</v>
      </c>
      <c r="L504" s="4" t="s">
        <v>43</v>
      </c>
      <c r="M504" s="39">
        <v>1420.17</v>
      </c>
      <c r="N504" s="39">
        <v>1687.45</v>
      </c>
      <c r="O504" s="38">
        <v>0.56289999999999996</v>
      </c>
      <c r="P504" s="39">
        <v>6.67</v>
      </c>
      <c r="Q504" s="39">
        <v>6.77</v>
      </c>
      <c r="R504" s="38">
        <v>0.97109999999999996</v>
      </c>
      <c r="S504" s="40">
        <v>10</v>
      </c>
      <c r="T504" s="39">
        <v>2.0099999999999998</v>
      </c>
      <c r="U504" s="39">
        <v>3.13</v>
      </c>
      <c r="V504" s="39">
        <v>3.41</v>
      </c>
      <c r="W504" s="38">
        <v>0.89729999999999999</v>
      </c>
      <c r="X504" s="39">
        <v>6.12</v>
      </c>
      <c r="Y504" s="41">
        <v>203989.312708515</v>
      </c>
      <c r="Z504" s="39">
        <v>6878</v>
      </c>
      <c r="AA504" s="39">
        <v>3.29781329263183</v>
      </c>
    </row>
    <row r="505" spans="1:27" s="22" customFormat="1" x14ac:dyDescent="0.25">
      <c r="A505" s="7" t="str">
        <f t="shared" si="7"/>
        <v>3530Providence Newberg Hospital302057074270, PACU</v>
      </c>
      <c r="B505" s="7"/>
      <c r="C505" s="29" t="s">
        <v>1249</v>
      </c>
      <c r="D505" s="29" t="s">
        <v>1249</v>
      </c>
      <c r="E505" s="29" t="s">
        <v>1249</v>
      </c>
      <c r="F505" s="29">
        <v>3530</v>
      </c>
      <c r="G505" s="4" t="s">
        <v>1357</v>
      </c>
      <c r="H505" s="5">
        <v>3020</v>
      </c>
      <c r="I505" s="4" t="s">
        <v>89</v>
      </c>
      <c r="J505" s="4" t="s">
        <v>47</v>
      </c>
      <c r="K505" s="4" t="s">
        <v>1385</v>
      </c>
      <c r="L505" s="4" t="s">
        <v>90</v>
      </c>
      <c r="M505" s="39">
        <v>1399.2</v>
      </c>
      <c r="N505" s="39">
        <v>3849.94</v>
      </c>
      <c r="O505" s="38">
        <v>0.6</v>
      </c>
      <c r="P505" s="39">
        <v>4.8</v>
      </c>
      <c r="Q505" s="39">
        <v>1.94</v>
      </c>
      <c r="R505" s="38">
        <v>0.1</v>
      </c>
      <c r="S505" s="40">
        <v>11</v>
      </c>
      <c r="T505" s="39">
        <v>3.11</v>
      </c>
      <c r="U505" s="39">
        <v>3.19</v>
      </c>
      <c r="V505" s="39">
        <v>3.97</v>
      </c>
      <c r="W505" s="38">
        <v>0.90100000000000002</v>
      </c>
      <c r="X505" s="39">
        <v>3.99</v>
      </c>
      <c r="Y505" s="41">
        <v>-267152.37193851499</v>
      </c>
      <c r="Z505" s="39">
        <v>-5309</v>
      </c>
      <c r="AA505" s="39">
        <v>-2.54533737505492</v>
      </c>
    </row>
    <row r="506" spans="1:27" s="22" customFormat="1" x14ac:dyDescent="0.25">
      <c r="A506" s="7" t="str">
        <f t="shared" si="7"/>
        <v>3530Providence Newberg Hospital591057084200, SECURITY</v>
      </c>
      <c r="B506" s="7"/>
      <c r="C506" s="29" t="s">
        <v>1249</v>
      </c>
      <c r="D506" s="29" t="s">
        <v>1249</v>
      </c>
      <c r="E506" s="29" t="s">
        <v>1249</v>
      </c>
      <c r="F506" s="29">
        <v>3530</v>
      </c>
      <c r="G506" s="4" t="s">
        <v>1357</v>
      </c>
      <c r="H506" s="5">
        <v>5910</v>
      </c>
      <c r="I506" s="4" t="s">
        <v>139</v>
      </c>
      <c r="J506" s="4" t="s">
        <v>136</v>
      </c>
      <c r="K506" s="4" t="s">
        <v>1379</v>
      </c>
      <c r="L506" s="4" t="s">
        <v>140</v>
      </c>
      <c r="M506" s="39">
        <v>767.74</v>
      </c>
      <c r="N506" s="39">
        <v>1620.43</v>
      </c>
      <c r="O506" s="38">
        <v>0.83330000000000004</v>
      </c>
      <c r="P506" s="39">
        <v>12.73</v>
      </c>
      <c r="Q506" s="39">
        <v>6.12</v>
      </c>
      <c r="R506" s="38">
        <v>0.25</v>
      </c>
      <c r="S506" s="40">
        <v>13</v>
      </c>
      <c r="T506" s="39">
        <v>6.12</v>
      </c>
      <c r="U506" s="39">
        <v>6.99</v>
      </c>
      <c r="V506" s="39">
        <v>10.94</v>
      </c>
      <c r="W506" s="38">
        <v>0.90580000000000005</v>
      </c>
      <c r="X506" s="39">
        <v>5.27</v>
      </c>
      <c r="Y506" s="41">
        <v>-43086.061324727903</v>
      </c>
      <c r="Z506" s="39">
        <v>-1513</v>
      </c>
      <c r="AA506" s="39">
        <v>-0.72547081439750505</v>
      </c>
    </row>
    <row r="507" spans="1:27" s="22" customFormat="1" x14ac:dyDescent="0.25">
      <c r="A507" s="7" t="str">
        <f t="shared" si="7"/>
        <v>3530Providence Newberg Hospital584057083600, CS MANAGEMENT</v>
      </c>
      <c r="B507" s="7"/>
      <c r="C507" s="29" t="s">
        <v>1249</v>
      </c>
      <c r="D507" s="29" t="s">
        <v>1249</v>
      </c>
      <c r="E507" s="29" t="s">
        <v>1249</v>
      </c>
      <c r="F507" s="29">
        <v>3530</v>
      </c>
      <c r="G507" s="4" t="s">
        <v>1357</v>
      </c>
      <c r="H507" s="5">
        <v>5840</v>
      </c>
      <c r="I507" s="4" t="s">
        <v>1091</v>
      </c>
      <c r="J507" s="4" t="s">
        <v>26</v>
      </c>
      <c r="K507" s="4" t="s">
        <v>1378</v>
      </c>
      <c r="L507" s="4" t="s">
        <v>1093</v>
      </c>
      <c r="M507" s="7"/>
      <c r="N507" s="39">
        <v>16096</v>
      </c>
      <c r="O507" s="38">
        <v>0.83330000000000004</v>
      </c>
      <c r="P507" s="7"/>
      <c r="Q507" s="39">
        <v>0.28999999999999998</v>
      </c>
      <c r="R507" s="38">
        <v>0.16669999999999999</v>
      </c>
      <c r="S507" s="40">
        <v>13</v>
      </c>
      <c r="T507" s="39">
        <v>0.33</v>
      </c>
      <c r="U507" s="39">
        <v>0.36</v>
      </c>
      <c r="V507" s="39">
        <v>1.1599999999999999</v>
      </c>
      <c r="W507" s="38">
        <v>0.89880000000000004</v>
      </c>
      <c r="X507" s="39">
        <v>2.5299999999999998</v>
      </c>
      <c r="Y507" s="41">
        <v>-44737.618031170903</v>
      </c>
      <c r="Z507" s="39">
        <v>-1170</v>
      </c>
      <c r="AA507" s="39">
        <v>-0.56104664844395002</v>
      </c>
    </row>
    <row r="508" spans="1:27" s="22" customFormat="1" x14ac:dyDescent="0.25">
      <c r="A508" s="7" t="str">
        <f t="shared" si="7"/>
        <v>3530Providence Newberg Hospital121057061700, MEDICAL_SURGICAL</v>
      </c>
      <c r="B508" s="7"/>
      <c r="C508" s="29" t="s">
        <v>1249</v>
      </c>
      <c r="D508" s="29" t="s">
        <v>1249</v>
      </c>
      <c r="E508" s="29" t="s">
        <v>1249</v>
      </c>
      <c r="F508" s="29">
        <v>3530</v>
      </c>
      <c r="G508" s="4" t="s">
        <v>1357</v>
      </c>
      <c r="H508" s="5">
        <v>1210</v>
      </c>
      <c r="I508" s="4" t="s">
        <v>147</v>
      </c>
      <c r="J508" s="4" t="s">
        <v>23</v>
      </c>
      <c r="K508" s="4" t="s">
        <v>1376</v>
      </c>
      <c r="L508" s="4" t="s">
        <v>74</v>
      </c>
      <c r="M508" s="39">
        <v>6808.04</v>
      </c>
      <c r="N508" s="39">
        <v>7091</v>
      </c>
      <c r="O508" s="38">
        <v>0.3846</v>
      </c>
      <c r="P508" s="39">
        <v>10.48</v>
      </c>
      <c r="Q508" s="39">
        <v>10.79</v>
      </c>
      <c r="R508" s="38">
        <v>0.33329999999999999</v>
      </c>
      <c r="S508" s="40">
        <v>14</v>
      </c>
      <c r="T508" s="39">
        <v>9.56</v>
      </c>
      <c r="U508" s="39">
        <v>10.86</v>
      </c>
      <c r="V508" s="39">
        <v>11.25</v>
      </c>
      <c r="W508" s="38">
        <v>0.89870000000000005</v>
      </c>
      <c r="X508" s="39">
        <v>40.93</v>
      </c>
      <c r="Y508" s="41">
        <v>-12609.6283403948</v>
      </c>
      <c r="Z508" s="39">
        <v>-321</v>
      </c>
      <c r="AA508" s="39">
        <v>-0.15381148737966299</v>
      </c>
    </row>
    <row r="509" spans="1:27" s="22" customFormat="1" x14ac:dyDescent="0.25">
      <c r="A509" s="7" t="str">
        <f t="shared" si="7"/>
        <v>3530Providence Newberg Hospital349957076395, DIAGNOSTIC IMAGING ADM SUPPORT</v>
      </c>
      <c r="B509" s="7"/>
      <c r="C509" s="29" t="s">
        <v>1249</v>
      </c>
      <c r="D509" s="29" t="s">
        <v>1249</v>
      </c>
      <c r="E509" s="29" t="s">
        <v>1249</v>
      </c>
      <c r="F509" s="29">
        <v>3530</v>
      </c>
      <c r="G509" s="4" t="s">
        <v>1357</v>
      </c>
      <c r="H509" s="5">
        <v>3499</v>
      </c>
      <c r="I509" s="4" t="s">
        <v>56</v>
      </c>
      <c r="J509" s="4" t="s">
        <v>57</v>
      </c>
      <c r="K509" s="4" t="s">
        <v>1375</v>
      </c>
      <c r="L509" s="4" t="s">
        <v>58</v>
      </c>
      <c r="M509" s="39">
        <v>87627.23</v>
      </c>
      <c r="N509" s="39">
        <v>94696.33</v>
      </c>
      <c r="O509" s="38">
        <v>0.42859999999999998</v>
      </c>
      <c r="P509" s="39">
        <v>0.08</v>
      </c>
      <c r="Q509" s="39">
        <v>7.0000000000000007E-2</v>
      </c>
      <c r="R509" s="38">
        <v>0.3846</v>
      </c>
      <c r="S509" s="40">
        <v>15</v>
      </c>
      <c r="T509" s="39">
        <v>0.06</v>
      </c>
      <c r="U509" s="39">
        <v>7.0000000000000007E-2</v>
      </c>
      <c r="V509" s="39">
        <v>0.08</v>
      </c>
      <c r="W509" s="38">
        <v>0.92379999999999995</v>
      </c>
      <c r="X509" s="39">
        <v>3.34</v>
      </c>
      <c r="Y509" s="41">
        <v>-6035.8320018813201</v>
      </c>
      <c r="Z509" s="39">
        <v>-209</v>
      </c>
      <c r="AA509" s="39">
        <v>-0.100340190949447</v>
      </c>
    </row>
    <row r="510" spans="1:27" s="22" customFormat="1" x14ac:dyDescent="0.25">
      <c r="A510" s="7" t="str">
        <f t="shared" si="7"/>
        <v>3530Providence Newberg Hospital101157060100, ICU</v>
      </c>
      <c r="B510" s="7"/>
      <c r="C510" s="29" t="s">
        <v>1249</v>
      </c>
      <c r="D510" s="29" t="s">
        <v>1249</v>
      </c>
      <c r="E510" s="29" t="s">
        <v>1249</v>
      </c>
      <c r="F510" s="29">
        <v>3530</v>
      </c>
      <c r="G510" s="4" t="s">
        <v>1357</v>
      </c>
      <c r="H510" s="5">
        <v>1011</v>
      </c>
      <c r="I510" s="4" t="s">
        <v>1205</v>
      </c>
      <c r="J510" s="4" t="s">
        <v>23</v>
      </c>
      <c r="K510" s="4" t="s">
        <v>1371</v>
      </c>
      <c r="L510" s="4" t="s">
        <v>74</v>
      </c>
      <c r="M510" s="39">
        <v>1193.83</v>
      </c>
      <c r="N510" s="39">
        <v>1209</v>
      </c>
      <c r="O510" s="38">
        <v>0.42859999999999998</v>
      </c>
      <c r="P510" s="39">
        <v>19.63</v>
      </c>
      <c r="Q510" s="39">
        <v>20.149999999999999</v>
      </c>
      <c r="R510" s="38">
        <v>0.35709999999999997</v>
      </c>
      <c r="S510" s="40">
        <v>15</v>
      </c>
      <c r="T510" s="39">
        <v>19.32</v>
      </c>
      <c r="U510" s="39">
        <v>20.07</v>
      </c>
      <c r="V510" s="39">
        <v>24.18</v>
      </c>
      <c r="W510" s="38">
        <v>0.93140000000000001</v>
      </c>
      <c r="X510" s="39">
        <v>12.57</v>
      </c>
      <c r="Y510" s="41">
        <v>7982.8088624913498</v>
      </c>
      <c r="Z510" s="39">
        <v>165</v>
      </c>
      <c r="AA510" s="39">
        <v>7.9333910313270195E-2</v>
      </c>
    </row>
    <row r="511" spans="1:27" s="22" customFormat="1" x14ac:dyDescent="0.25">
      <c r="A511" s="7" t="str">
        <f t="shared" si="7"/>
        <v>3530Providence Newberg Hospital191057087200, NURSING SERVICE ADMIN</v>
      </c>
      <c r="B511" s="7"/>
      <c r="C511" s="29" t="s">
        <v>1249</v>
      </c>
      <c r="D511" s="29" t="s">
        <v>1249</v>
      </c>
      <c r="E511" s="29" t="s">
        <v>1249</v>
      </c>
      <c r="F511" s="29">
        <v>3530</v>
      </c>
      <c r="G511" s="4" t="s">
        <v>1357</v>
      </c>
      <c r="H511" s="5">
        <v>1910</v>
      </c>
      <c r="I511" s="4" t="s">
        <v>34</v>
      </c>
      <c r="J511" s="4" t="s">
        <v>23</v>
      </c>
      <c r="K511" s="4" t="s">
        <v>1381</v>
      </c>
      <c r="L511" s="4" t="s">
        <v>35</v>
      </c>
      <c r="M511" s="39">
        <v>137</v>
      </c>
      <c r="N511" s="39">
        <v>129</v>
      </c>
      <c r="O511" s="38">
        <v>0.64290000000000003</v>
      </c>
      <c r="P511" s="39" t="s">
        <v>1382</v>
      </c>
      <c r="Q511" s="39">
        <v>108.66</v>
      </c>
      <c r="R511" s="38">
        <v>0.5</v>
      </c>
      <c r="S511" s="40">
        <v>15</v>
      </c>
      <c r="T511" s="39">
        <v>89.36</v>
      </c>
      <c r="U511" s="39">
        <v>99.93</v>
      </c>
      <c r="V511" s="39">
        <v>108.66</v>
      </c>
      <c r="W511" s="38">
        <v>0.86870000000000003</v>
      </c>
      <c r="X511" s="39">
        <v>7.76</v>
      </c>
      <c r="Y511" s="41">
        <f>Z511*53.17</f>
        <v>68928.811902843241</v>
      </c>
      <c r="Z511" s="39">
        <f>SUM((Q511-U511)*N511)/W511</f>
        <v>1296.3854034764574</v>
      </c>
      <c r="AA511" s="39">
        <f>+Z511/2085.7</f>
        <v>0.62155890275516978</v>
      </c>
    </row>
    <row r="512" spans="1:27" s="22" customFormat="1" x14ac:dyDescent="0.25">
      <c r="A512" s="7" t="str">
        <f t="shared" si="7"/>
        <v>3530Providence Newberg Hospital441057077100, PHARMACY</v>
      </c>
      <c r="B512" s="7"/>
      <c r="C512" s="29" t="s">
        <v>1249</v>
      </c>
      <c r="D512" s="29" t="s">
        <v>1249</v>
      </c>
      <c r="E512" s="29" t="s">
        <v>1249</v>
      </c>
      <c r="F512" s="29">
        <v>3530</v>
      </c>
      <c r="G512" s="4" t="s">
        <v>1357</v>
      </c>
      <c r="H512" s="5">
        <v>4410</v>
      </c>
      <c r="I512" s="4" t="s">
        <v>37</v>
      </c>
      <c r="J512" s="4" t="s">
        <v>37</v>
      </c>
      <c r="K512" s="4" t="s">
        <v>1366</v>
      </c>
      <c r="L512" s="4" t="s">
        <v>100</v>
      </c>
      <c r="M512" s="39">
        <v>6985.31</v>
      </c>
      <c r="N512" s="39">
        <v>7516.83</v>
      </c>
      <c r="O512" s="38">
        <v>0.64290000000000003</v>
      </c>
      <c r="P512" s="39">
        <v>1.75</v>
      </c>
      <c r="Q512" s="39">
        <v>1.91</v>
      </c>
      <c r="R512" s="38">
        <v>0.64290000000000003</v>
      </c>
      <c r="S512" s="40">
        <v>15</v>
      </c>
      <c r="T512" s="39">
        <v>1.56</v>
      </c>
      <c r="U512" s="39">
        <v>1.66</v>
      </c>
      <c r="V512" s="39">
        <v>1.73</v>
      </c>
      <c r="W512" s="38">
        <v>0.88590000000000002</v>
      </c>
      <c r="X512" s="39">
        <v>7.81</v>
      </c>
      <c r="Y512" s="41">
        <v>100439.32029850699</v>
      </c>
      <c r="Z512" s="39">
        <v>2204</v>
      </c>
      <c r="AA512" s="39">
        <v>1.0568519080983001</v>
      </c>
    </row>
    <row r="513" spans="1:27" s="22" customFormat="1" x14ac:dyDescent="0.25">
      <c r="A513" s="7" t="str">
        <f t="shared" si="7"/>
        <v>3530Providence Newberg Hospital521157084400, ENVIRONMENTAL SERVICES</v>
      </c>
      <c r="B513" s="7"/>
      <c r="C513" s="29" t="s">
        <v>1249</v>
      </c>
      <c r="D513" s="29" t="s">
        <v>1249</v>
      </c>
      <c r="E513" s="29" t="s">
        <v>1249</v>
      </c>
      <c r="F513" s="29">
        <v>3530</v>
      </c>
      <c r="G513" s="4" t="s">
        <v>1357</v>
      </c>
      <c r="H513" s="5">
        <v>5211</v>
      </c>
      <c r="I513" s="4" t="s">
        <v>50</v>
      </c>
      <c r="J513" s="4" t="s">
        <v>50</v>
      </c>
      <c r="K513" s="4" t="s">
        <v>1358</v>
      </c>
      <c r="L513" s="4" t="s">
        <v>51</v>
      </c>
      <c r="M513" s="39">
        <v>118.32</v>
      </c>
      <c r="N513" s="39">
        <v>119.47</v>
      </c>
      <c r="O513" s="38">
        <v>0.5333</v>
      </c>
      <c r="P513" s="39">
        <v>253.8</v>
      </c>
      <c r="Q513" s="39">
        <v>225.67</v>
      </c>
      <c r="R513" s="38">
        <v>1</v>
      </c>
      <c r="S513" s="40">
        <v>16</v>
      </c>
      <c r="T513" s="39">
        <v>149.34</v>
      </c>
      <c r="U513" s="39">
        <v>159.97</v>
      </c>
      <c r="V513" s="39">
        <v>177.2</v>
      </c>
      <c r="W513" s="38">
        <v>0.88180000000000003</v>
      </c>
      <c r="X513" s="39">
        <v>14.68</v>
      </c>
      <c r="Y513" s="41">
        <f>Z513*17.29</f>
        <v>153903.72523247896</v>
      </c>
      <c r="Z513" s="39">
        <f>SUM((Q513-U513)*N513)/W513</f>
        <v>8901.3143569970489</v>
      </c>
      <c r="AA513" s="39">
        <f>+Z513/2085.7</f>
        <v>4.2677826902224911</v>
      </c>
    </row>
    <row r="514" spans="1:27" s="22" customFormat="1" x14ac:dyDescent="0.25">
      <c r="A514" s="7" t="str">
        <f t="shared" si="7"/>
        <v>3530Providence Newberg Hospital303057074300, SHORT STAY SURGICAL UNIT</v>
      </c>
      <c r="B514" s="7"/>
      <c r="C514" s="29" t="s">
        <v>1249</v>
      </c>
      <c r="D514" s="29" t="s">
        <v>1249</v>
      </c>
      <c r="E514" s="29" t="s">
        <v>1249</v>
      </c>
      <c r="F514" s="29">
        <v>3530</v>
      </c>
      <c r="G514" s="4" t="s">
        <v>1357</v>
      </c>
      <c r="H514" s="5">
        <v>3030</v>
      </c>
      <c r="I514" s="4" t="s">
        <v>80</v>
      </c>
      <c r="J514" s="4" t="s">
        <v>47</v>
      </c>
      <c r="K514" s="4" t="s">
        <v>1362</v>
      </c>
      <c r="L514" s="4" t="s">
        <v>81</v>
      </c>
      <c r="M514" s="39">
        <v>4826.7</v>
      </c>
      <c r="N514" s="39">
        <f>509530/100</f>
        <v>5095.3</v>
      </c>
      <c r="O514" s="38">
        <v>0.4667</v>
      </c>
      <c r="P514" s="39">
        <v>4.93</v>
      </c>
      <c r="Q514" s="39">
        <f>22922/N514</f>
        <v>4.498655623810178</v>
      </c>
      <c r="R514" s="38">
        <v>0.64290000000000003</v>
      </c>
      <c r="S514" s="40">
        <v>16</v>
      </c>
      <c r="T514" s="39">
        <v>3.56</v>
      </c>
      <c r="U514" s="39">
        <v>3.99</v>
      </c>
      <c r="V514" s="39">
        <v>4.24</v>
      </c>
      <c r="W514" s="38">
        <v>0.873</v>
      </c>
      <c r="X514" s="39">
        <v>12.62</v>
      </c>
      <c r="Y514" s="41">
        <f>Z514*42.55</f>
        <v>126321.9818442153</v>
      </c>
      <c r="Z514" s="39">
        <f>SUM((Q514-U514)*N514)/W514</f>
        <v>2968.7892325314997</v>
      </c>
      <c r="AA514" s="39">
        <f>+Z514/2085.7</f>
        <v>1.4234018471167953</v>
      </c>
    </row>
    <row r="515" spans="1:27" s="22" customFormat="1" x14ac:dyDescent="0.25">
      <c r="A515" s="7" t="str">
        <f t="shared" ref="A515:A578" si="8">F515&amp;G515&amp;H515&amp;K515</f>
        <v>3530Providence Newberg Hospital449057004490, PHARMACY SUPPORT SVCS (U,N)</v>
      </c>
      <c r="B515" s="7"/>
      <c r="C515" s="29" t="s">
        <v>1249</v>
      </c>
      <c r="D515" s="29" t="s">
        <v>1249</v>
      </c>
      <c r="E515" s="29" t="s">
        <v>1249</v>
      </c>
      <c r="F515" s="29">
        <v>3530</v>
      </c>
      <c r="G515" s="4" t="s">
        <v>1357</v>
      </c>
      <c r="H515" s="5">
        <v>4490</v>
      </c>
      <c r="I515" s="4" t="s">
        <v>36</v>
      </c>
      <c r="J515" s="4" t="s">
        <v>37</v>
      </c>
      <c r="K515" s="4" t="s">
        <v>1364</v>
      </c>
      <c r="L515" s="4" t="s">
        <v>39</v>
      </c>
      <c r="M515" s="39">
        <v>12058.25</v>
      </c>
      <c r="N515" s="39">
        <v>12875.95</v>
      </c>
      <c r="O515" s="38">
        <v>0.50680000000000003</v>
      </c>
      <c r="P515" s="39">
        <v>0.39</v>
      </c>
      <c r="Q515" s="39">
        <v>0.4</v>
      </c>
      <c r="R515" s="38">
        <v>0.7651</v>
      </c>
      <c r="S515" s="40">
        <v>18</v>
      </c>
      <c r="T515" s="39">
        <v>0.17</v>
      </c>
      <c r="U515" s="39">
        <v>0.19</v>
      </c>
      <c r="V515" s="39">
        <v>0.21</v>
      </c>
      <c r="W515" s="38">
        <v>0.87809999999999999</v>
      </c>
      <c r="X515" s="39">
        <v>2.82</v>
      </c>
      <c r="Y515" s="41">
        <v>155508.60698380999</v>
      </c>
      <c r="Z515" s="39">
        <v>3096</v>
      </c>
      <c r="AA515" s="39">
        <v>1.4842134562468801</v>
      </c>
    </row>
    <row r="516" spans="1:27" s="22" customFormat="1" x14ac:dyDescent="0.25">
      <c r="A516" s="7" t="str">
        <f t="shared" si="8"/>
        <v>3530Providence Newberg Hospital344057076390, MAMMOGRAPHY</v>
      </c>
      <c r="B516" s="7"/>
      <c r="C516" s="29" t="s">
        <v>1249</v>
      </c>
      <c r="D516" s="29" t="s">
        <v>1249</v>
      </c>
      <c r="E516" s="29" t="s">
        <v>1249</v>
      </c>
      <c r="F516" s="29">
        <v>3530</v>
      </c>
      <c r="G516" s="4" t="s">
        <v>1357</v>
      </c>
      <c r="H516" s="5">
        <v>3440</v>
      </c>
      <c r="I516" s="4" t="s">
        <v>119</v>
      </c>
      <c r="J516" s="4" t="s">
        <v>57</v>
      </c>
      <c r="K516" s="4" t="s">
        <v>1373</v>
      </c>
      <c r="L516" s="4" t="s">
        <v>99</v>
      </c>
      <c r="M516" s="39">
        <v>6146.44</v>
      </c>
      <c r="N516" s="39">
        <v>7795.66</v>
      </c>
      <c r="O516" s="38">
        <v>0.61109999999999998</v>
      </c>
      <c r="P516" s="39">
        <v>0.65</v>
      </c>
      <c r="Q516" s="39">
        <v>0.52</v>
      </c>
      <c r="R516" s="38">
        <v>0.35289999999999999</v>
      </c>
      <c r="S516" s="40">
        <v>19</v>
      </c>
      <c r="T516" s="39">
        <v>0.5</v>
      </c>
      <c r="U516" s="39">
        <v>0.52</v>
      </c>
      <c r="V516" s="39">
        <v>0.59</v>
      </c>
      <c r="W516" s="38">
        <v>0.88900000000000001</v>
      </c>
      <c r="X516" s="39">
        <v>2.1800000000000002</v>
      </c>
      <c r="Y516" s="41">
        <v>-471.35777126638902</v>
      </c>
      <c r="Z516" s="39">
        <v>-13</v>
      </c>
      <c r="AA516" s="39">
        <v>-6.2641384718791198E-3</v>
      </c>
    </row>
    <row r="517" spans="1:27" s="22" customFormat="1" x14ac:dyDescent="0.25">
      <c r="A517" s="7" t="str">
        <f t="shared" si="8"/>
        <v>3530Providence Newberg Hospital487057078091, REHAB SERVICES</v>
      </c>
      <c r="B517" s="7"/>
      <c r="C517" s="29" t="s">
        <v>1249</v>
      </c>
      <c r="D517" s="29" t="s">
        <v>1249</v>
      </c>
      <c r="E517" s="29" t="s">
        <v>1249</v>
      </c>
      <c r="F517" s="29">
        <v>3530</v>
      </c>
      <c r="G517" s="4" t="s">
        <v>1357</v>
      </c>
      <c r="H517" s="5">
        <v>4870</v>
      </c>
      <c r="I517" s="4" t="s">
        <v>283</v>
      </c>
      <c r="J517" s="4" t="s">
        <v>41</v>
      </c>
      <c r="K517" s="4" t="s">
        <v>1370</v>
      </c>
      <c r="L517" s="4" t="s">
        <v>79</v>
      </c>
      <c r="M517" s="39">
        <v>1064.24</v>
      </c>
      <c r="N517" s="39">
        <v>1225.6300000000001</v>
      </c>
      <c r="O517" s="38">
        <v>0.55559999999999998</v>
      </c>
      <c r="P517" s="39">
        <v>26.22</v>
      </c>
      <c r="Q517" s="39">
        <v>26.44</v>
      </c>
      <c r="R517" s="38">
        <v>0.58819999999999995</v>
      </c>
      <c r="S517" s="40">
        <v>19</v>
      </c>
      <c r="T517" s="39">
        <v>24.82</v>
      </c>
      <c r="U517" s="39">
        <v>25.55</v>
      </c>
      <c r="V517" s="39">
        <v>26.23</v>
      </c>
      <c r="W517" s="38">
        <v>0.90429999999999999</v>
      </c>
      <c r="X517" s="39">
        <v>17.23</v>
      </c>
      <c r="Y517" s="41">
        <v>45654.192944963797</v>
      </c>
      <c r="Z517" s="39">
        <v>1308</v>
      </c>
      <c r="AA517" s="39">
        <v>0.62702495178790896</v>
      </c>
    </row>
    <row r="518" spans="1:27" s="22" customFormat="1" x14ac:dyDescent="0.25">
      <c r="A518" s="7" t="str">
        <f t="shared" si="8"/>
        <v>3530Providence Newberg Hospital335057075000 57075400 57075098 57089008 57089009, CLIN AND BLOOD COMBO</v>
      </c>
      <c r="B518" s="7"/>
      <c r="C518" s="29" t="s">
        <v>1249</v>
      </c>
      <c r="D518" s="29" t="s">
        <v>1249</v>
      </c>
      <c r="E518" s="29" t="s">
        <v>1249</v>
      </c>
      <c r="F518" s="29">
        <v>3530</v>
      </c>
      <c r="G518" s="4" t="s">
        <v>1357</v>
      </c>
      <c r="H518" s="5">
        <v>3350</v>
      </c>
      <c r="I518" s="4" t="s">
        <v>93</v>
      </c>
      <c r="J518" s="4" t="s">
        <v>53</v>
      </c>
      <c r="K518" s="4" t="s">
        <v>1388</v>
      </c>
      <c r="L518" s="4" t="s">
        <v>94</v>
      </c>
      <c r="M518" s="39">
        <v>2685.18</v>
      </c>
      <c r="N518" s="39">
        <v>3063.17</v>
      </c>
      <c r="O518" s="38">
        <v>0.65</v>
      </c>
      <c r="P518" s="39">
        <v>9.94</v>
      </c>
      <c r="Q518" s="39">
        <v>9.18</v>
      </c>
      <c r="R518" s="38">
        <v>0</v>
      </c>
      <c r="S518" s="40">
        <v>21</v>
      </c>
      <c r="T518" s="39">
        <v>14.64</v>
      </c>
      <c r="U518" s="39">
        <v>15.13</v>
      </c>
      <c r="V518" s="39">
        <v>16.89</v>
      </c>
      <c r="W518" s="38">
        <v>0.90200000000000002</v>
      </c>
      <c r="X518" s="39">
        <v>14.98</v>
      </c>
      <c r="Y518" s="41">
        <v>-561309.81310444302</v>
      </c>
      <c r="Z518" s="39">
        <v>-20137</v>
      </c>
      <c r="AA518" s="39">
        <v>-9.6549479674017196</v>
      </c>
    </row>
    <row r="519" spans="1:27" s="22" customFormat="1" x14ac:dyDescent="0.25">
      <c r="A519" s="7" t="str">
        <f t="shared" si="8"/>
        <v>3530Providence Newberg Hospital342057076800, CTT SCANNER</v>
      </c>
      <c r="B519" s="7"/>
      <c r="C519" s="29" t="s">
        <v>1249</v>
      </c>
      <c r="D519" s="29" t="s">
        <v>1249</v>
      </c>
      <c r="E519" s="29" t="s">
        <v>1249</v>
      </c>
      <c r="F519" s="29">
        <v>3530</v>
      </c>
      <c r="G519" s="4" t="s">
        <v>1357</v>
      </c>
      <c r="H519" s="5">
        <v>3420</v>
      </c>
      <c r="I519" s="4" t="s">
        <v>123</v>
      </c>
      <c r="J519" s="4" t="s">
        <v>57</v>
      </c>
      <c r="K519" s="4" t="s">
        <v>1367</v>
      </c>
      <c r="L519" s="4" t="s">
        <v>99</v>
      </c>
      <c r="M519" s="39">
        <v>24737.53</v>
      </c>
      <c r="N519" s="39">
        <v>25951.05</v>
      </c>
      <c r="O519" s="38">
        <v>0.69569999999999999</v>
      </c>
      <c r="P519" s="39">
        <v>0.21</v>
      </c>
      <c r="Q519" s="39">
        <v>0.27</v>
      </c>
      <c r="R519" s="38">
        <v>0.59089999999999998</v>
      </c>
      <c r="S519" s="40">
        <v>24</v>
      </c>
      <c r="T519" s="39">
        <v>0.2</v>
      </c>
      <c r="U519" s="39">
        <v>0.22</v>
      </c>
      <c r="V519" s="39">
        <v>0.26</v>
      </c>
      <c r="W519" s="38">
        <v>0.87329999999999997</v>
      </c>
      <c r="X519" s="39">
        <v>3.85</v>
      </c>
      <c r="Y519" s="41">
        <v>63585.2656892593</v>
      </c>
      <c r="Z519" s="39">
        <v>1492</v>
      </c>
      <c r="AA519" s="39">
        <v>0.71554301726498704</v>
      </c>
    </row>
    <row r="520" spans="1:27" x14ac:dyDescent="0.25">
      <c r="A520" s="7" t="str">
        <f t="shared" si="8"/>
        <v>3530Providence Newberg Hospital500157084600, MAINTENANCE</v>
      </c>
      <c r="B520" s="7"/>
      <c r="C520" s="29" t="s">
        <v>1249</v>
      </c>
      <c r="D520" s="29" t="s">
        <v>1249</v>
      </c>
      <c r="E520" s="29" t="s">
        <v>1249</v>
      </c>
      <c r="F520" s="29">
        <v>3530</v>
      </c>
      <c r="G520" s="4" t="s">
        <v>1357</v>
      </c>
      <c r="H520" s="5">
        <v>5001</v>
      </c>
      <c r="I520" s="4" t="s">
        <v>141</v>
      </c>
      <c r="J520" s="4" t="s">
        <v>62</v>
      </c>
      <c r="K520" s="4" t="s">
        <v>1372</v>
      </c>
      <c r="L520" s="4" t="s">
        <v>63</v>
      </c>
      <c r="M520" s="39">
        <v>294.01</v>
      </c>
      <c r="N520" s="39">
        <v>294.32</v>
      </c>
      <c r="O520" s="38">
        <v>0.42309999999999998</v>
      </c>
      <c r="P520" s="39">
        <v>28.16</v>
      </c>
      <c r="Q520" s="39">
        <v>42.98</v>
      </c>
      <c r="R520" s="38">
        <v>0.3478</v>
      </c>
      <c r="S520" s="40">
        <v>27</v>
      </c>
      <c r="T520" s="39">
        <v>41.03</v>
      </c>
      <c r="U520" s="39">
        <v>43.13</v>
      </c>
      <c r="V520" s="39">
        <v>48.64</v>
      </c>
      <c r="W520" s="38">
        <v>0.90380000000000005</v>
      </c>
      <c r="X520" s="39">
        <v>6.73</v>
      </c>
      <c r="Y520" s="41">
        <v>-225.47065095895701</v>
      </c>
      <c r="Z520" s="39">
        <v>-8</v>
      </c>
      <c r="AA520" s="39">
        <v>-4.0301240760189901E-3</v>
      </c>
    </row>
    <row r="521" spans="1:27" x14ac:dyDescent="0.25">
      <c r="A521" s="7" t="str">
        <f t="shared" si="8"/>
        <v>3530Providence Newberg Hospital307057083800, STERILE PROCESSING</v>
      </c>
      <c r="B521" s="7"/>
      <c r="C521" s="29" t="s">
        <v>1249</v>
      </c>
      <c r="D521" s="29" t="s">
        <v>1249</v>
      </c>
      <c r="E521" s="29" t="s">
        <v>1249</v>
      </c>
      <c r="F521" s="29">
        <v>3530</v>
      </c>
      <c r="G521" s="4" t="s">
        <v>1357</v>
      </c>
      <c r="H521" s="5">
        <v>3070</v>
      </c>
      <c r="I521" s="4" t="s">
        <v>91</v>
      </c>
      <c r="J521" s="4" t="s">
        <v>47</v>
      </c>
      <c r="K521" s="4" t="s">
        <v>1374</v>
      </c>
      <c r="L521" s="4" t="s">
        <v>92</v>
      </c>
      <c r="M521" s="39">
        <v>324.3</v>
      </c>
      <c r="N521" s="39">
        <v>357.58</v>
      </c>
      <c r="O521" s="38">
        <v>0.74070000000000003</v>
      </c>
      <c r="P521" s="39">
        <v>18.649999999999999</v>
      </c>
      <c r="Q521" s="39">
        <v>16.79</v>
      </c>
      <c r="R521" s="38">
        <v>0.32</v>
      </c>
      <c r="S521" s="40">
        <v>28</v>
      </c>
      <c r="T521" s="39">
        <v>16.57</v>
      </c>
      <c r="U521" s="39">
        <v>17.14</v>
      </c>
      <c r="V521" s="39">
        <v>20.61</v>
      </c>
      <c r="W521" s="38">
        <v>0.9133</v>
      </c>
      <c r="X521" s="39">
        <v>3.16</v>
      </c>
      <c r="Y521" s="41">
        <v>-3025.9683727728502</v>
      </c>
      <c r="Z521" s="39">
        <v>-120</v>
      </c>
      <c r="AA521" s="39">
        <v>-5.7501357743708202E-2</v>
      </c>
    </row>
    <row r="522" spans="1:27" x14ac:dyDescent="0.25">
      <c r="A522" s="7" t="str">
        <f t="shared" si="8"/>
        <v>3530Providence Newberg Hospital301157074200, SURGICAL SERVICES</v>
      </c>
      <c r="B522" s="7"/>
      <c r="C522" s="29" t="s">
        <v>1249</v>
      </c>
      <c r="D522" s="29" t="s">
        <v>1249</v>
      </c>
      <c r="E522" s="29" t="s">
        <v>1249</v>
      </c>
      <c r="F522" s="29">
        <v>3530</v>
      </c>
      <c r="G522" s="4" t="s">
        <v>1357</v>
      </c>
      <c r="H522" s="5">
        <v>3011</v>
      </c>
      <c r="I522" s="4" t="s">
        <v>87</v>
      </c>
      <c r="J522" s="4" t="s">
        <v>47</v>
      </c>
      <c r="K522" s="4" t="s">
        <v>1368</v>
      </c>
      <c r="L522" s="4" t="s">
        <v>88</v>
      </c>
      <c r="M522" s="39">
        <v>2322.6</v>
      </c>
      <c r="N522" s="39">
        <v>2198.06</v>
      </c>
      <c r="O522" s="38">
        <v>0.59260000000000002</v>
      </c>
      <c r="P522" s="39">
        <v>10.16</v>
      </c>
      <c r="Q522" s="39">
        <v>12.23</v>
      </c>
      <c r="R522" s="38">
        <v>0.46150000000000002</v>
      </c>
      <c r="S522" s="40">
        <v>28</v>
      </c>
      <c r="T522" s="39">
        <v>11.07</v>
      </c>
      <c r="U522" s="39">
        <v>11.69</v>
      </c>
      <c r="V522" s="39">
        <v>12.4</v>
      </c>
      <c r="W522" s="38">
        <v>0.88090000000000002</v>
      </c>
      <c r="X522" s="39">
        <v>14.67</v>
      </c>
      <c r="Y522" s="41">
        <v>53086.679785279302</v>
      </c>
      <c r="Z522" s="39">
        <v>1428</v>
      </c>
      <c r="AA522" s="39">
        <v>0.68457710779117997</v>
      </c>
    </row>
    <row r="523" spans="1:27" x14ac:dyDescent="0.25">
      <c r="A523" s="7" t="str">
        <f t="shared" si="8"/>
        <v>3530Providence Newberg Hospital481257078095, SHERWOOD REHAB</v>
      </c>
      <c r="B523" s="7"/>
      <c r="C523" s="29" t="s">
        <v>1249</v>
      </c>
      <c r="D523" s="29" t="s">
        <v>1249</v>
      </c>
      <c r="E523" s="29" t="s">
        <v>1249</v>
      </c>
      <c r="F523" s="29">
        <v>3530</v>
      </c>
      <c r="G523" s="4" t="s">
        <v>1357</v>
      </c>
      <c r="H523" s="5">
        <v>4812</v>
      </c>
      <c r="I523" s="4" t="s">
        <v>78</v>
      </c>
      <c r="J523" s="4" t="s">
        <v>41</v>
      </c>
      <c r="K523" s="4" t="s">
        <v>1377</v>
      </c>
      <c r="L523" s="4" t="s">
        <v>79</v>
      </c>
      <c r="M523" s="39">
        <v>355.94</v>
      </c>
      <c r="N523" s="39">
        <v>461.82</v>
      </c>
      <c r="O523" s="38">
        <v>0.53569999999999995</v>
      </c>
      <c r="P523" s="39">
        <v>22.81</v>
      </c>
      <c r="Q523" s="39">
        <v>19.73</v>
      </c>
      <c r="R523" s="38">
        <v>0.1852</v>
      </c>
      <c r="S523" s="40">
        <v>29</v>
      </c>
      <c r="T523" s="39">
        <v>20.53</v>
      </c>
      <c r="U523" s="39">
        <v>21.52</v>
      </c>
      <c r="V523" s="39">
        <v>22.68</v>
      </c>
      <c r="W523" s="38">
        <v>0.91979999999999995</v>
      </c>
      <c r="X523" s="39">
        <v>4.76</v>
      </c>
      <c r="Y523" s="41">
        <v>-31806.6662805411</v>
      </c>
      <c r="Z523" s="39">
        <v>-877</v>
      </c>
      <c r="AA523" s="39">
        <v>-0.42047709152696</v>
      </c>
    </row>
    <row r="524" spans="1:27" x14ac:dyDescent="0.25">
      <c r="A524" s="7" t="str">
        <f t="shared" si="8"/>
        <v>3530Providence Newberg Hospital343057076600, MRI</v>
      </c>
      <c r="B524" s="7"/>
      <c r="C524" s="29" t="s">
        <v>1249</v>
      </c>
      <c r="D524" s="29" t="s">
        <v>1249</v>
      </c>
      <c r="E524" s="29" t="s">
        <v>1249</v>
      </c>
      <c r="F524" s="29">
        <v>3530</v>
      </c>
      <c r="G524" s="4" t="s">
        <v>1357</v>
      </c>
      <c r="H524" s="5">
        <v>3430</v>
      </c>
      <c r="I524" s="4" t="s">
        <v>121</v>
      </c>
      <c r="J524" s="4" t="s">
        <v>57</v>
      </c>
      <c r="K524" s="4" t="s">
        <v>1369</v>
      </c>
      <c r="L524" s="4" t="s">
        <v>99</v>
      </c>
      <c r="M524" s="39">
        <v>15787.82</v>
      </c>
      <c r="N524" s="39">
        <v>16848.25</v>
      </c>
      <c r="O524" s="38">
        <v>0.63329999999999997</v>
      </c>
      <c r="P524" s="39">
        <v>0.34</v>
      </c>
      <c r="Q524" s="39">
        <v>0.36</v>
      </c>
      <c r="R524" s="38">
        <v>0.76670000000000005</v>
      </c>
      <c r="S524" s="40">
        <v>31</v>
      </c>
      <c r="T524" s="39">
        <v>0.28000000000000003</v>
      </c>
      <c r="U524" s="39">
        <v>0.28999999999999998</v>
      </c>
      <c r="V524" s="39">
        <v>0.31</v>
      </c>
      <c r="W524" s="38">
        <v>0.89970000000000006</v>
      </c>
      <c r="X524" s="39">
        <v>3.24</v>
      </c>
      <c r="Y524" s="41">
        <v>54481.88314279</v>
      </c>
      <c r="Z524" s="39">
        <v>1327</v>
      </c>
      <c r="AA524" s="39">
        <v>0.63622630971976102</v>
      </c>
    </row>
    <row r="525" spans="1:27" x14ac:dyDescent="0.25">
      <c r="A525" s="7" t="str">
        <f t="shared" si="8"/>
        <v>3530Providence Newberg Hospital432057078740, SLEEP LAB AND EEG</v>
      </c>
      <c r="B525" s="7"/>
      <c r="C525" s="29" t="s">
        <v>1249</v>
      </c>
      <c r="D525" s="29" t="s">
        <v>1249</v>
      </c>
      <c r="E525" s="29" t="s">
        <v>1249</v>
      </c>
      <c r="F525" s="29">
        <v>3530</v>
      </c>
      <c r="G525" s="4" t="s">
        <v>1357</v>
      </c>
      <c r="H525" s="5">
        <v>4320</v>
      </c>
      <c r="I525" s="4" t="s">
        <v>166</v>
      </c>
      <c r="J525" s="4" t="s">
        <v>116</v>
      </c>
      <c r="K525" s="4" t="s">
        <v>1380</v>
      </c>
      <c r="L525" s="4" t="s">
        <v>99</v>
      </c>
      <c r="M525" s="39">
        <v>7029.48</v>
      </c>
      <c r="N525" s="39">
        <v>7832.13</v>
      </c>
      <c r="O525" s="38">
        <v>0.6129</v>
      </c>
      <c r="P525" s="39">
        <v>0.86</v>
      </c>
      <c r="Q525" s="39">
        <v>0.73</v>
      </c>
      <c r="R525" s="38">
        <v>0.10340000000000001</v>
      </c>
      <c r="S525" s="40">
        <v>32</v>
      </c>
      <c r="T525" s="39">
        <v>0.9</v>
      </c>
      <c r="U525" s="39">
        <v>0.94</v>
      </c>
      <c r="V525" s="39">
        <v>0.96</v>
      </c>
      <c r="W525" s="38">
        <v>0.88580000000000003</v>
      </c>
      <c r="X525" s="39">
        <v>3.08</v>
      </c>
      <c r="Y525" s="41">
        <v>-54851.3696208478</v>
      </c>
      <c r="Z525" s="39">
        <v>-1887</v>
      </c>
      <c r="AA525" s="39">
        <v>-0.90492566001130204</v>
      </c>
    </row>
    <row r="526" spans="1:27" x14ac:dyDescent="0.25">
      <c r="A526" s="7" t="str">
        <f t="shared" si="8"/>
        <v>3530Providence Newberg Hospital345057076700, ULTRASOUND</v>
      </c>
      <c r="B526" s="7"/>
      <c r="C526" s="29" t="s">
        <v>1249</v>
      </c>
      <c r="D526" s="29" t="s">
        <v>1249</v>
      </c>
      <c r="E526" s="29" t="s">
        <v>1249</v>
      </c>
      <c r="F526" s="29">
        <v>3530</v>
      </c>
      <c r="G526" s="4" t="s">
        <v>1357</v>
      </c>
      <c r="H526" s="5">
        <v>3450</v>
      </c>
      <c r="I526" s="4" t="s">
        <v>122</v>
      </c>
      <c r="J526" s="4" t="s">
        <v>57</v>
      </c>
      <c r="K526" s="4" t="s">
        <v>1360</v>
      </c>
      <c r="L526" s="4" t="s">
        <v>99</v>
      </c>
      <c r="M526" s="39">
        <v>16659.3</v>
      </c>
      <c r="N526" s="39">
        <v>17337.05</v>
      </c>
      <c r="O526" s="38">
        <v>0.53129999999999999</v>
      </c>
      <c r="P526" s="39">
        <v>0.75</v>
      </c>
      <c r="Q526" s="39">
        <v>0.76</v>
      </c>
      <c r="R526" s="38">
        <v>1</v>
      </c>
      <c r="S526" s="40">
        <v>33</v>
      </c>
      <c r="T526" s="39">
        <v>0.43</v>
      </c>
      <c r="U526" s="39">
        <v>0.45</v>
      </c>
      <c r="V526" s="39">
        <v>0.48</v>
      </c>
      <c r="W526" s="38">
        <v>0.88639999999999997</v>
      </c>
      <c r="X526" s="39">
        <v>7.11</v>
      </c>
      <c r="Y526" s="41">
        <v>276396.82310222997</v>
      </c>
      <c r="Z526" s="39">
        <v>6028</v>
      </c>
      <c r="AA526" s="39">
        <v>2.8900614494713799</v>
      </c>
    </row>
    <row r="527" spans="1:27" x14ac:dyDescent="0.25">
      <c r="A527" s="7" t="str">
        <f t="shared" si="8"/>
        <v>3530Providence Newberg Hospital201057070100, 57070101 EMERGENCY SERVICES</v>
      </c>
      <c r="B527" s="7"/>
      <c r="C527" s="29" t="s">
        <v>1249</v>
      </c>
      <c r="D527" s="29" t="s">
        <v>1249</v>
      </c>
      <c r="E527" s="29" t="s">
        <v>1249</v>
      </c>
      <c r="F527" s="29">
        <v>3530</v>
      </c>
      <c r="G527" s="4" t="s">
        <v>1357</v>
      </c>
      <c r="H527" s="5">
        <v>2010</v>
      </c>
      <c r="I527" s="4" t="s">
        <v>75</v>
      </c>
      <c r="J527" s="4" t="s">
        <v>76</v>
      </c>
      <c r="K527" s="4" t="s">
        <v>1365</v>
      </c>
      <c r="L527" s="4" t="s">
        <v>77</v>
      </c>
      <c r="M527" s="39">
        <v>21318</v>
      </c>
      <c r="N527" s="39">
        <v>23298</v>
      </c>
      <c r="O527" s="38">
        <v>0.45450000000000002</v>
      </c>
      <c r="P527" s="39">
        <v>2.6</v>
      </c>
      <c r="Q527" s="39">
        <v>2.67</v>
      </c>
      <c r="R527" s="38">
        <v>0.42420000000000002</v>
      </c>
      <c r="S527" s="40">
        <v>34</v>
      </c>
      <c r="T527" s="39">
        <v>2.52</v>
      </c>
      <c r="U527" s="39">
        <v>2.58</v>
      </c>
      <c r="V527" s="39">
        <v>2.68</v>
      </c>
      <c r="W527" s="38">
        <v>0.88970000000000005</v>
      </c>
      <c r="X527" s="39">
        <v>32.82</v>
      </c>
      <c r="Y527" s="41">
        <f>Z527*42.9</f>
        <v>101105.51646622439</v>
      </c>
      <c r="Z527" s="39">
        <f>SUM((Q527-U527)*N527)/W527</f>
        <v>2356.7719455996362</v>
      </c>
      <c r="AA527" s="39">
        <f>+Z527/2085.7</f>
        <v>1.1299668914990826</v>
      </c>
    </row>
    <row r="528" spans="1:27" x14ac:dyDescent="0.25">
      <c r="A528" s="7" t="str">
        <f t="shared" si="8"/>
        <v>3530Providence Newberg Hospital341157076300, DIAGNOSTIC IMAGING</v>
      </c>
      <c r="B528" s="7"/>
      <c r="C528" s="29" t="s">
        <v>1249</v>
      </c>
      <c r="D528" s="29" t="s">
        <v>1249</v>
      </c>
      <c r="E528" s="29" t="s">
        <v>1249</v>
      </c>
      <c r="F528" s="29">
        <v>3530</v>
      </c>
      <c r="G528" s="4" t="s">
        <v>1357</v>
      </c>
      <c r="H528" s="5">
        <v>3411</v>
      </c>
      <c r="I528" s="4" t="s">
        <v>117</v>
      </c>
      <c r="J528" s="4" t="s">
        <v>57</v>
      </c>
      <c r="K528" s="4" t="s">
        <v>1363</v>
      </c>
      <c r="L528" s="4" t="s">
        <v>99</v>
      </c>
      <c r="M528" s="39">
        <v>18801.04</v>
      </c>
      <c r="N528" s="39">
        <v>21596.59</v>
      </c>
      <c r="O528" s="38">
        <v>0.62860000000000005</v>
      </c>
      <c r="P528" s="39">
        <v>0.91</v>
      </c>
      <c r="Q528" s="39">
        <v>0.8</v>
      </c>
      <c r="R528" s="38">
        <v>0.625</v>
      </c>
      <c r="S528" s="40">
        <v>36</v>
      </c>
      <c r="T528" s="39">
        <v>0.63</v>
      </c>
      <c r="U528" s="39">
        <v>0.65</v>
      </c>
      <c r="V528" s="39">
        <v>0.74</v>
      </c>
      <c r="W528" s="38">
        <v>0.89229999999999998</v>
      </c>
      <c r="X528" s="39">
        <v>9.34</v>
      </c>
      <c r="Y528" s="41">
        <v>133692.91936746199</v>
      </c>
      <c r="Z528" s="39">
        <v>3748</v>
      </c>
      <c r="AA528" s="39">
        <v>1.79714418571797</v>
      </c>
    </row>
    <row r="529" spans="1:27" x14ac:dyDescent="0.25">
      <c r="A529" s="7" t="str">
        <f t="shared" si="8"/>
        <v>3530Providence Newberg Hospital422057075910, 57075600 EKG &amp; ECHO</v>
      </c>
      <c r="B529" s="7"/>
      <c r="C529" s="29" t="s">
        <v>1249</v>
      </c>
      <c r="D529" s="29" t="s">
        <v>1249</v>
      </c>
      <c r="E529" s="29" t="s">
        <v>1249</v>
      </c>
      <c r="F529" s="29">
        <v>3530</v>
      </c>
      <c r="G529" s="4" t="s">
        <v>1357</v>
      </c>
      <c r="H529" s="5">
        <v>4220</v>
      </c>
      <c r="I529" s="4" t="s">
        <v>98</v>
      </c>
      <c r="J529" s="4" t="s">
        <v>60</v>
      </c>
      <c r="K529" s="4" t="s">
        <v>1383</v>
      </c>
      <c r="L529" s="4" t="s">
        <v>99</v>
      </c>
      <c r="M529" s="39">
        <v>17444.259999999998</v>
      </c>
      <c r="N529" s="39">
        <v>31644.65</v>
      </c>
      <c r="O529" s="38">
        <v>0.35189999999999999</v>
      </c>
      <c r="P529" s="39">
        <v>0.27</v>
      </c>
      <c r="Q529" s="39">
        <v>0.19</v>
      </c>
      <c r="R529" s="38">
        <v>0.1111</v>
      </c>
      <c r="S529" s="40">
        <v>55</v>
      </c>
      <c r="T529" s="39">
        <v>0.26</v>
      </c>
      <c r="U529" s="39">
        <v>0.28000000000000003</v>
      </c>
      <c r="V529" s="39">
        <v>0.33</v>
      </c>
      <c r="W529" s="38">
        <v>0.92779999999999996</v>
      </c>
      <c r="X529" s="39">
        <v>3.07</v>
      </c>
      <c r="Y529" s="41">
        <v>-138411.02354550801</v>
      </c>
      <c r="Z529" s="39">
        <v>-3147</v>
      </c>
      <c r="AA529" s="39">
        <v>-1.50880468611111</v>
      </c>
    </row>
    <row r="530" spans="1:27" x14ac:dyDescent="0.25">
      <c r="A530" s="7" t="str">
        <f t="shared" si="8"/>
        <v>3527Providence Portland Medical Center487252277701, NORTHEAST REHAB</v>
      </c>
      <c r="B530" s="7"/>
      <c r="C530" s="29" t="s">
        <v>1249</v>
      </c>
      <c r="D530" s="29" t="s">
        <v>1249</v>
      </c>
      <c r="E530" s="29" t="s">
        <v>1249</v>
      </c>
      <c r="F530" s="29">
        <v>3527</v>
      </c>
      <c r="G530" s="4" t="s">
        <v>1389</v>
      </c>
      <c r="H530" s="5">
        <v>4872</v>
      </c>
      <c r="I530" s="4" t="s">
        <v>197</v>
      </c>
      <c r="J530" s="4" t="s">
        <v>41</v>
      </c>
      <c r="K530" s="4" t="s">
        <v>1392</v>
      </c>
      <c r="L530" s="4" t="s">
        <v>79</v>
      </c>
      <c r="M530" s="39">
        <v>2217.73</v>
      </c>
      <c r="N530" s="39">
        <v>2707.69</v>
      </c>
      <c r="O530" s="38">
        <v>1</v>
      </c>
      <c r="P530" s="39">
        <v>23.21</v>
      </c>
      <c r="Q530" s="39">
        <v>21.78</v>
      </c>
      <c r="R530" s="38">
        <v>0</v>
      </c>
      <c r="S530" s="40">
        <v>8</v>
      </c>
      <c r="T530" s="39">
        <v>25.59</v>
      </c>
      <c r="U530" s="39">
        <v>27.13</v>
      </c>
      <c r="V530" s="39">
        <v>30.05</v>
      </c>
      <c r="W530" s="38">
        <v>0.88249999999999995</v>
      </c>
      <c r="X530" s="39">
        <v>32.119999999999997</v>
      </c>
      <c r="Y530" s="41">
        <v>-587916.08269453805</v>
      </c>
      <c r="Z530" s="39">
        <v>-16248</v>
      </c>
      <c r="AA530" s="39">
        <v>-7.7900415197457598</v>
      </c>
    </row>
    <row r="531" spans="1:27" x14ac:dyDescent="0.25">
      <c r="A531" s="7" t="str">
        <f t="shared" si="8"/>
        <v>3527Providence Portland Medical Center481152277700, PHYSICAL THERAPY</v>
      </c>
      <c r="B531" s="7"/>
      <c r="C531" s="29" t="s">
        <v>1249</v>
      </c>
      <c r="D531" s="29" t="s">
        <v>1249</v>
      </c>
      <c r="E531" s="29" t="s">
        <v>1249</v>
      </c>
      <c r="F531" s="29">
        <v>3527</v>
      </c>
      <c r="G531" s="4" t="s">
        <v>1389</v>
      </c>
      <c r="H531" s="5">
        <v>4811</v>
      </c>
      <c r="I531" s="4" t="s">
        <v>124</v>
      </c>
      <c r="J531" s="4" t="s">
        <v>41</v>
      </c>
      <c r="K531" s="4" t="s">
        <v>1391</v>
      </c>
      <c r="L531" s="4" t="s">
        <v>79</v>
      </c>
      <c r="M531" s="39">
        <v>1667.8</v>
      </c>
      <c r="N531" s="39">
        <v>2089.5700000000002</v>
      </c>
      <c r="O531" s="38">
        <v>0.71430000000000005</v>
      </c>
      <c r="P531" s="39">
        <v>22.53</v>
      </c>
      <c r="Q531" s="39">
        <v>20.67</v>
      </c>
      <c r="R531" s="38">
        <v>0.1429</v>
      </c>
      <c r="S531" s="40">
        <v>8</v>
      </c>
      <c r="T531" s="39">
        <v>21.68</v>
      </c>
      <c r="U531" s="39">
        <v>22.62</v>
      </c>
      <c r="V531" s="39">
        <v>23.98</v>
      </c>
      <c r="W531" s="38">
        <v>0.89449999999999996</v>
      </c>
      <c r="X531" s="39">
        <v>23.22</v>
      </c>
      <c r="Y531" s="41">
        <v>-147413.99254067001</v>
      </c>
      <c r="Z531" s="39">
        <v>-4411</v>
      </c>
      <c r="AA531" s="39">
        <v>-2.1147917637559299</v>
      </c>
    </row>
    <row r="532" spans="1:27" x14ac:dyDescent="0.25">
      <c r="A532" s="7" t="str">
        <f t="shared" si="8"/>
        <v>3527Providence Portland Medical Center123452261791, DIABETES RENAL UNIT - 5G</v>
      </c>
      <c r="B532" s="7"/>
      <c r="C532" s="29" t="s">
        <v>1249</v>
      </c>
      <c r="D532" s="29" t="s">
        <v>1249</v>
      </c>
      <c r="E532" s="29" t="s">
        <v>1249</v>
      </c>
      <c r="F532" s="29">
        <v>3527</v>
      </c>
      <c r="G532" s="4" t="s">
        <v>1389</v>
      </c>
      <c r="H532" s="5">
        <v>1234</v>
      </c>
      <c r="I532" s="4" t="s">
        <v>214</v>
      </c>
      <c r="J532" s="4" t="s">
        <v>23</v>
      </c>
      <c r="K532" s="4" t="s">
        <v>1390</v>
      </c>
      <c r="L532" s="4" t="s">
        <v>74</v>
      </c>
      <c r="M532" s="39">
        <v>8761.2000000000007</v>
      </c>
      <c r="N532" s="39">
        <v>9017</v>
      </c>
      <c r="O532" s="38">
        <v>1</v>
      </c>
      <c r="P532" s="39">
        <v>10.3</v>
      </c>
      <c r="Q532" s="39">
        <v>10.32</v>
      </c>
      <c r="R532" s="38">
        <v>0.42859999999999998</v>
      </c>
      <c r="S532" s="40">
        <v>8</v>
      </c>
      <c r="T532" s="39">
        <v>9.32</v>
      </c>
      <c r="U532" s="39">
        <v>9.9700000000000006</v>
      </c>
      <c r="V532" s="39">
        <v>10.35</v>
      </c>
      <c r="W532" s="38">
        <v>0.89880000000000004</v>
      </c>
      <c r="X532" s="39">
        <v>49.78</v>
      </c>
      <c r="Y532" s="41">
        <v>159860.42765261399</v>
      </c>
      <c r="Z532" s="39">
        <v>3804</v>
      </c>
      <c r="AA532" s="39">
        <v>1.82406939244387</v>
      </c>
    </row>
    <row r="533" spans="1:27" x14ac:dyDescent="0.25">
      <c r="A533" s="7" t="str">
        <f t="shared" si="8"/>
        <v>3527Providence Portland Medical Center302052274270, PACU</v>
      </c>
      <c r="B533" s="7"/>
      <c r="C533" s="29" t="s">
        <v>1249</v>
      </c>
      <c r="D533" s="29" t="s">
        <v>1249</v>
      </c>
      <c r="E533" s="29" t="s">
        <v>1249</v>
      </c>
      <c r="F533" s="29">
        <v>3527</v>
      </c>
      <c r="G533" s="4" t="s">
        <v>1389</v>
      </c>
      <c r="H533" s="5">
        <v>3020</v>
      </c>
      <c r="I533" s="4" t="s">
        <v>89</v>
      </c>
      <c r="J533" s="4" t="s">
        <v>47</v>
      </c>
      <c r="K533" s="4" t="s">
        <v>1399</v>
      </c>
      <c r="L533" s="4" t="s">
        <v>90</v>
      </c>
      <c r="M533" s="39">
        <v>11150.4</v>
      </c>
      <c r="N533" s="39">
        <v>18015</v>
      </c>
      <c r="O533" s="38">
        <v>0.5</v>
      </c>
      <c r="P533" s="39">
        <v>3.4</v>
      </c>
      <c r="Q533" s="39">
        <v>2.14</v>
      </c>
      <c r="R533" s="38">
        <v>0.125</v>
      </c>
      <c r="S533" s="40">
        <v>9</v>
      </c>
      <c r="T533" s="39">
        <v>2.4300000000000002</v>
      </c>
      <c r="U533" s="39">
        <v>2.72</v>
      </c>
      <c r="V533" s="39">
        <v>3.71</v>
      </c>
      <c r="W533" s="38">
        <v>0.85740000000000005</v>
      </c>
      <c r="X533" s="39">
        <v>21.59</v>
      </c>
      <c r="Y533" s="41">
        <v>-661127.53272481996</v>
      </c>
      <c r="Z533" s="39">
        <v>-12120</v>
      </c>
      <c r="AA533" s="39">
        <v>-5.8110906954696002</v>
      </c>
    </row>
    <row r="534" spans="1:27" x14ac:dyDescent="0.25">
      <c r="A534" s="7" t="str">
        <f t="shared" si="8"/>
        <v>3527Providence Portland Medical Center413052277200, RESPIRATORY THERAPY</v>
      </c>
      <c r="B534" s="7"/>
      <c r="C534" s="29" t="s">
        <v>1249</v>
      </c>
      <c r="D534" s="29" t="s">
        <v>1249</v>
      </c>
      <c r="E534" s="29" t="s">
        <v>1249</v>
      </c>
      <c r="F534" s="29">
        <v>3527</v>
      </c>
      <c r="G534" s="4" t="s">
        <v>1389</v>
      </c>
      <c r="H534" s="5">
        <v>4130</v>
      </c>
      <c r="I534" s="4" t="s">
        <v>184</v>
      </c>
      <c r="J534" s="4" t="s">
        <v>44</v>
      </c>
      <c r="K534" s="4" t="s">
        <v>1398</v>
      </c>
      <c r="L534" s="4" t="s">
        <v>45</v>
      </c>
      <c r="M534" s="39">
        <v>34303.57</v>
      </c>
      <c r="N534" s="39">
        <v>33312.06</v>
      </c>
      <c r="O534" s="38">
        <v>0.625</v>
      </c>
      <c r="P534" s="39">
        <v>1.43</v>
      </c>
      <c r="Q534" s="39">
        <v>1.57</v>
      </c>
      <c r="R534" s="38">
        <v>0.25</v>
      </c>
      <c r="S534" s="40">
        <v>9</v>
      </c>
      <c r="T534" s="39">
        <v>1.57</v>
      </c>
      <c r="U534" s="39">
        <v>1.87</v>
      </c>
      <c r="V534" s="39">
        <v>2.2400000000000002</v>
      </c>
      <c r="W534" s="38">
        <v>0.89900000000000002</v>
      </c>
      <c r="X534" s="39">
        <v>28.02</v>
      </c>
      <c r="Y534" s="41">
        <v>-364187.02653616999</v>
      </c>
      <c r="Z534" s="39">
        <v>-10851</v>
      </c>
      <c r="AA534" s="39">
        <v>-5.2024429044156397</v>
      </c>
    </row>
    <row r="535" spans="1:27" x14ac:dyDescent="0.25">
      <c r="A535" s="7" t="str">
        <f t="shared" si="8"/>
        <v>3527Providence Portland Medical Center111252260341, RESPIRATORY CARDIOLOGY - 2R</v>
      </c>
      <c r="B535" s="7"/>
      <c r="C535" s="29" t="s">
        <v>1249</v>
      </c>
      <c r="D535" s="29" t="s">
        <v>1249</v>
      </c>
      <c r="E535" s="29" t="s">
        <v>1249</v>
      </c>
      <c r="F535" s="29">
        <v>3527</v>
      </c>
      <c r="G535" s="4" t="s">
        <v>1389</v>
      </c>
      <c r="H535" s="5">
        <v>1112</v>
      </c>
      <c r="I535" s="4" t="s">
        <v>936</v>
      </c>
      <c r="J535" s="4" t="s">
        <v>23</v>
      </c>
      <c r="K535" s="4" t="s">
        <v>1397</v>
      </c>
      <c r="L535" s="4" t="s">
        <v>74</v>
      </c>
      <c r="M535" s="39">
        <v>7663.42</v>
      </c>
      <c r="N535" s="39">
        <v>8280</v>
      </c>
      <c r="O535" s="38">
        <v>0.625</v>
      </c>
      <c r="P535" s="39">
        <v>10.55</v>
      </c>
      <c r="Q535" s="39">
        <v>10.36</v>
      </c>
      <c r="R535" s="38">
        <v>0.125</v>
      </c>
      <c r="S535" s="40">
        <v>9</v>
      </c>
      <c r="T535" s="39">
        <v>10.85</v>
      </c>
      <c r="U535" s="39">
        <v>11.4</v>
      </c>
      <c r="V535" s="39">
        <v>12.08</v>
      </c>
      <c r="W535" s="38">
        <v>0.89359999999999995</v>
      </c>
      <c r="X535" s="39">
        <v>46.13</v>
      </c>
      <c r="Y535" s="41">
        <v>-412950.14988428197</v>
      </c>
      <c r="Z535" s="39">
        <v>-9418</v>
      </c>
      <c r="AA535" s="39">
        <v>-4.5154211435683802</v>
      </c>
    </row>
    <row r="536" spans="1:27" x14ac:dyDescent="0.25">
      <c r="A536" s="7" t="str">
        <f t="shared" si="8"/>
        <v>3527Providence Portland Medical Center509952205099, FACILITIES ADMIN AND SUPPORT (U,N)</v>
      </c>
      <c r="B536" s="7"/>
      <c r="C536" s="29" t="s">
        <v>1249</v>
      </c>
      <c r="D536" s="29" t="s">
        <v>1249</v>
      </c>
      <c r="E536" s="29" t="s">
        <v>1249</v>
      </c>
      <c r="F536" s="29">
        <v>3527</v>
      </c>
      <c r="G536" s="4" t="s">
        <v>1389</v>
      </c>
      <c r="H536" s="5">
        <v>5099</v>
      </c>
      <c r="I536" s="4" t="s">
        <v>61</v>
      </c>
      <c r="J536" s="4" t="s">
        <v>62</v>
      </c>
      <c r="K536" s="4" t="s">
        <v>1396</v>
      </c>
      <c r="L536" s="4" t="s">
        <v>63</v>
      </c>
      <c r="M536" s="39">
        <v>2199.7600000000002</v>
      </c>
      <c r="N536" s="39">
        <v>2199.7600000000002</v>
      </c>
      <c r="O536" s="38">
        <v>0.53759999999999997</v>
      </c>
      <c r="P536" s="39">
        <v>2.38</v>
      </c>
      <c r="Q536" s="39">
        <v>2.2400000000000002</v>
      </c>
      <c r="R536" s="38">
        <v>0.32600000000000001</v>
      </c>
      <c r="S536" s="40">
        <v>9</v>
      </c>
      <c r="T536" s="39">
        <v>1.79</v>
      </c>
      <c r="U536" s="39">
        <v>2.38</v>
      </c>
      <c r="V536" s="39">
        <v>3.28</v>
      </c>
      <c r="W536" s="38">
        <v>0.8659</v>
      </c>
      <c r="X536" s="39">
        <v>2.74</v>
      </c>
      <c r="Y536" s="41">
        <v>-10256.4179350537</v>
      </c>
      <c r="Z536" s="39">
        <v>-331</v>
      </c>
      <c r="AA536" s="39">
        <v>-0.15889627985680299</v>
      </c>
    </row>
    <row r="537" spans="1:27" x14ac:dyDescent="0.25">
      <c r="A537" s="7" t="str">
        <f t="shared" si="8"/>
        <v>3527Providence Portland Medical Center338052275200, 52275201 52275230 PATHOLOGY COMBO</v>
      </c>
      <c r="B537" s="7"/>
      <c r="C537" s="29" t="s">
        <v>1249</v>
      </c>
      <c r="D537" s="29" t="s">
        <v>1249</v>
      </c>
      <c r="E537" s="29" t="s">
        <v>1249</v>
      </c>
      <c r="F537" s="29">
        <v>3527</v>
      </c>
      <c r="G537" s="4" t="s">
        <v>1389</v>
      </c>
      <c r="H537" s="5">
        <v>3380</v>
      </c>
      <c r="I537" s="4" t="s">
        <v>95</v>
      </c>
      <c r="J537" s="4" t="s">
        <v>53</v>
      </c>
      <c r="K537" s="4" t="s">
        <v>1394</v>
      </c>
      <c r="L537" s="4" t="s">
        <v>94</v>
      </c>
      <c r="M537" s="39">
        <v>3295.91</v>
      </c>
      <c r="N537" s="39">
        <v>3429.19</v>
      </c>
      <c r="O537" s="38">
        <v>1</v>
      </c>
      <c r="P537" s="39">
        <v>22.82</v>
      </c>
      <c r="Q537" s="39">
        <v>25.55</v>
      </c>
      <c r="R537" s="38">
        <v>0.375</v>
      </c>
      <c r="S537" s="40">
        <v>9</v>
      </c>
      <c r="T537" s="39">
        <v>24.29</v>
      </c>
      <c r="U537" s="39">
        <v>25.3</v>
      </c>
      <c r="V537" s="39">
        <v>28.19</v>
      </c>
      <c r="W537" s="38">
        <v>0.88700000000000001</v>
      </c>
      <c r="X537" s="39">
        <v>47.49</v>
      </c>
      <c r="Y537" s="41">
        <v>35367.404153633499</v>
      </c>
      <c r="Z537" s="39">
        <v>1239</v>
      </c>
      <c r="AA537" s="39">
        <v>0.59391278258743796</v>
      </c>
    </row>
    <row r="538" spans="1:27" x14ac:dyDescent="0.25">
      <c r="A538" s="7" t="str">
        <f t="shared" si="8"/>
        <v>3527Providence Portland Medical Center181052277150, IV THERAPY</v>
      </c>
      <c r="B538" s="7"/>
      <c r="C538" s="29" t="s">
        <v>1249</v>
      </c>
      <c r="D538" s="29" t="s">
        <v>1249</v>
      </c>
      <c r="E538" s="29" t="s">
        <v>1249</v>
      </c>
      <c r="F538" s="29">
        <v>3527</v>
      </c>
      <c r="G538" s="4" t="s">
        <v>1389</v>
      </c>
      <c r="H538" s="5">
        <v>1810</v>
      </c>
      <c r="I538" s="4" t="s">
        <v>162</v>
      </c>
      <c r="J538" s="4" t="s">
        <v>23</v>
      </c>
      <c r="K538" s="4" t="s">
        <v>1393</v>
      </c>
      <c r="L538" s="4" t="s">
        <v>163</v>
      </c>
      <c r="M538" s="39">
        <v>1008.13</v>
      </c>
      <c r="N538" s="39">
        <v>14.69</v>
      </c>
      <c r="O538" s="38">
        <v>0.5</v>
      </c>
      <c r="P538" s="39">
        <v>30.1</v>
      </c>
      <c r="Q538" s="39">
        <v>1843.29</v>
      </c>
      <c r="R538" s="38">
        <v>0.88890000000000002</v>
      </c>
      <c r="S538" s="40">
        <v>9</v>
      </c>
      <c r="T538" s="39">
        <v>311.99</v>
      </c>
      <c r="U538" s="39">
        <v>356.44</v>
      </c>
      <c r="V538" s="39">
        <v>729.17</v>
      </c>
      <c r="W538" s="38">
        <v>0.8831</v>
      </c>
      <c r="X538" s="39">
        <v>14.74</v>
      </c>
      <c r="Y538" s="41">
        <v>1398467.3035598199</v>
      </c>
      <c r="Z538" s="39">
        <v>24814</v>
      </c>
      <c r="AA538" s="39">
        <v>11.897198703215301</v>
      </c>
    </row>
    <row r="539" spans="1:27" x14ac:dyDescent="0.25">
      <c r="A539" s="7" t="str">
        <f t="shared" si="8"/>
        <v>3527Providence Portland Medical Center201052287308, ER SVCS BEHAVIORAL HLTH</v>
      </c>
      <c r="B539" s="7"/>
      <c r="C539" s="29" t="s">
        <v>1249</v>
      </c>
      <c r="D539" s="29" t="s">
        <v>1249</v>
      </c>
      <c r="E539" s="29" t="s">
        <v>1249</v>
      </c>
      <c r="F539" s="89">
        <v>3527</v>
      </c>
      <c r="G539" s="43" t="s">
        <v>1389</v>
      </c>
      <c r="H539" s="42">
        <v>2010</v>
      </c>
      <c r="I539" s="43" t="s">
        <v>75</v>
      </c>
      <c r="J539" s="43" t="s">
        <v>76</v>
      </c>
      <c r="K539" s="43" t="s">
        <v>1395</v>
      </c>
      <c r="L539" s="43" t="s">
        <v>77</v>
      </c>
      <c r="M539" s="46">
        <v>4779</v>
      </c>
      <c r="N539" s="46">
        <v>5038</v>
      </c>
      <c r="O539" s="45">
        <v>0.625</v>
      </c>
      <c r="P539" s="46">
        <v>10.4</v>
      </c>
      <c r="Q539" s="46">
        <v>9.83</v>
      </c>
      <c r="R539" s="45">
        <v>1</v>
      </c>
      <c r="S539" s="47">
        <v>9</v>
      </c>
      <c r="T539" s="46">
        <v>3.08</v>
      </c>
      <c r="U539" s="46">
        <v>3.78</v>
      </c>
      <c r="V539" s="46">
        <v>4.6100000000000003</v>
      </c>
      <c r="W539" s="45">
        <v>0.90339999999999998</v>
      </c>
      <c r="X539" s="46">
        <v>26.36</v>
      </c>
      <c r="Y539" s="48">
        <v>0</v>
      </c>
      <c r="Z539" s="46">
        <v>0</v>
      </c>
      <c r="AA539" s="46">
        <v>0</v>
      </c>
    </row>
    <row r="540" spans="1:27" x14ac:dyDescent="0.25">
      <c r="A540" s="7" t="str">
        <f t="shared" si="8"/>
        <v>3527Providence Portland Medical Center422052275910, 52275600 EKG &amp; ECHO</v>
      </c>
      <c r="B540" s="7"/>
      <c r="C540" s="29" t="s">
        <v>1249</v>
      </c>
      <c r="D540" s="29" t="s">
        <v>1249</v>
      </c>
      <c r="E540" s="29" t="s">
        <v>1249</v>
      </c>
      <c r="F540" s="29">
        <v>3527</v>
      </c>
      <c r="G540" s="4" t="s">
        <v>1389</v>
      </c>
      <c r="H540" s="5">
        <v>4220</v>
      </c>
      <c r="I540" s="4" t="s">
        <v>98</v>
      </c>
      <c r="J540" s="4" t="s">
        <v>60</v>
      </c>
      <c r="K540" s="4" t="s">
        <v>1404</v>
      </c>
      <c r="L540" s="4" t="s">
        <v>99</v>
      </c>
      <c r="M540" s="39">
        <v>56422.78</v>
      </c>
      <c r="N540" s="39">
        <v>121725.48</v>
      </c>
      <c r="O540" s="38">
        <v>0.66669999999999996</v>
      </c>
      <c r="P540" s="39">
        <v>0.46</v>
      </c>
      <c r="Q540" s="39">
        <v>0.22</v>
      </c>
      <c r="R540" s="38">
        <v>0</v>
      </c>
      <c r="S540" s="40">
        <v>10</v>
      </c>
      <c r="T540" s="39">
        <v>0.28000000000000003</v>
      </c>
      <c r="U540" s="39">
        <v>0.3</v>
      </c>
      <c r="V540" s="39">
        <v>0.31</v>
      </c>
      <c r="W540" s="38">
        <v>0.87119999999999997</v>
      </c>
      <c r="X540" s="39">
        <v>14.47</v>
      </c>
      <c r="Y540" s="41">
        <v>-447374.70302773197</v>
      </c>
      <c r="Z540" s="39">
        <v>-11736</v>
      </c>
      <c r="AA540" s="39">
        <v>-5.6270837624326502</v>
      </c>
    </row>
    <row r="541" spans="1:27" x14ac:dyDescent="0.25">
      <c r="A541" s="7" t="str">
        <f t="shared" si="8"/>
        <v>3527Providence Portland Medical Center482152277900, OCCUPATIONAL THERAPY</v>
      </c>
      <c r="B541" s="7"/>
      <c r="C541" s="29" t="s">
        <v>1249</v>
      </c>
      <c r="D541" s="29" t="s">
        <v>1249</v>
      </c>
      <c r="E541" s="29" t="s">
        <v>1249</v>
      </c>
      <c r="F541" s="29">
        <v>3527</v>
      </c>
      <c r="G541" s="4" t="s">
        <v>1389</v>
      </c>
      <c r="H541" s="5">
        <v>4821</v>
      </c>
      <c r="I541" s="4" t="s">
        <v>164</v>
      </c>
      <c r="J541" s="4" t="s">
        <v>41</v>
      </c>
      <c r="K541" s="4" t="s">
        <v>1403</v>
      </c>
      <c r="L541" s="4" t="s">
        <v>79</v>
      </c>
      <c r="M541" s="39">
        <v>1085.52</v>
      </c>
      <c r="N541" s="39">
        <v>1352.95</v>
      </c>
      <c r="O541" s="38">
        <v>1</v>
      </c>
      <c r="P541" s="39">
        <v>24.45</v>
      </c>
      <c r="Q541" s="39">
        <v>21.84</v>
      </c>
      <c r="R541" s="38">
        <v>0.125</v>
      </c>
      <c r="S541" s="40">
        <v>10</v>
      </c>
      <c r="T541" s="39">
        <v>22.85</v>
      </c>
      <c r="U541" s="39">
        <v>23.33</v>
      </c>
      <c r="V541" s="39">
        <v>23.45</v>
      </c>
      <c r="W541" s="38">
        <v>0.8871</v>
      </c>
      <c r="X541" s="39">
        <v>16.010000000000002</v>
      </c>
      <c r="Y541" s="41">
        <v>-77811.099932586003</v>
      </c>
      <c r="Z541" s="39">
        <v>-2189</v>
      </c>
      <c r="AA541" s="39">
        <v>-1.04972654226111</v>
      </c>
    </row>
    <row r="542" spans="1:27" x14ac:dyDescent="0.25">
      <c r="A542" s="7" t="str">
        <f t="shared" si="8"/>
        <v>3527Providence Portland Medical Center486152277800, SPEECH THERAPY</v>
      </c>
      <c r="B542" s="7"/>
      <c r="C542" s="29" t="s">
        <v>1249</v>
      </c>
      <c r="D542" s="29" t="s">
        <v>1249</v>
      </c>
      <c r="E542" s="29" t="s">
        <v>1249</v>
      </c>
      <c r="F542" s="29">
        <v>3527</v>
      </c>
      <c r="G542" s="4" t="s">
        <v>1389</v>
      </c>
      <c r="H542" s="5">
        <v>4861</v>
      </c>
      <c r="I542" s="4" t="s">
        <v>125</v>
      </c>
      <c r="J542" s="4" t="s">
        <v>41</v>
      </c>
      <c r="K542" s="4" t="s">
        <v>1402</v>
      </c>
      <c r="L542" s="4" t="s">
        <v>79</v>
      </c>
      <c r="M542" s="39">
        <v>563.16999999999996</v>
      </c>
      <c r="N542" s="39">
        <v>571.94000000000005</v>
      </c>
      <c r="O542" s="38">
        <v>0.55559999999999998</v>
      </c>
      <c r="P542" s="39">
        <v>18.53</v>
      </c>
      <c r="Q542" s="39">
        <v>20.260000000000002</v>
      </c>
      <c r="R542" s="38">
        <v>0.33329999999999999</v>
      </c>
      <c r="S542" s="40">
        <v>10</v>
      </c>
      <c r="T542" s="39">
        <v>19.79</v>
      </c>
      <c r="U542" s="39">
        <v>21.05</v>
      </c>
      <c r="V542" s="39">
        <v>25.57</v>
      </c>
      <c r="W542" s="38">
        <v>0.85619999999999996</v>
      </c>
      <c r="X542" s="39">
        <v>6.51</v>
      </c>
      <c r="Y542" s="41">
        <v>-18287.8147166491</v>
      </c>
      <c r="Z542" s="39">
        <v>-483</v>
      </c>
      <c r="AA542" s="39">
        <v>-0.23179443994649501</v>
      </c>
    </row>
    <row r="543" spans="1:27" x14ac:dyDescent="0.25">
      <c r="A543" s="7" t="str">
        <f t="shared" si="8"/>
        <v>3527Providence Portland Medical Center307052283800, STERILE PROCESSING</v>
      </c>
      <c r="B543" s="7"/>
      <c r="C543" s="29" t="s">
        <v>1249</v>
      </c>
      <c r="D543" s="29" t="s">
        <v>1249</v>
      </c>
      <c r="E543" s="29" t="s">
        <v>1249</v>
      </c>
      <c r="F543" s="89">
        <v>3527</v>
      </c>
      <c r="G543" s="43" t="s">
        <v>1389</v>
      </c>
      <c r="H543" s="42">
        <v>3070</v>
      </c>
      <c r="I543" s="43" t="s">
        <v>91</v>
      </c>
      <c r="J543" s="43" t="s">
        <v>47</v>
      </c>
      <c r="K543" s="43" t="s">
        <v>1401</v>
      </c>
      <c r="L543" s="43" t="s">
        <v>92</v>
      </c>
      <c r="M543" s="46">
        <v>3702.66</v>
      </c>
      <c r="N543" s="46">
        <v>4088.9</v>
      </c>
      <c r="O543" s="45">
        <v>0.44440000000000002</v>
      </c>
      <c r="P543" s="46">
        <v>16.64</v>
      </c>
      <c r="Q543" s="46">
        <f>60435.16/N543</f>
        <v>14.780297879625328</v>
      </c>
      <c r="R543" s="45">
        <v>0.66669999999999996</v>
      </c>
      <c r="S543" s="47">
        <v>10</v>
      </c>
      <c r="T543" s="46">
        <v>11.13</v>
      </c>
      <c r="U543" s="46">
        <v>12.97</v>
      </c>
      <c r="V543" s="46">
        <v>14.45</v>
      </c>
      <c r="W543" s="45">
        <v>0.87829999999999997</v>
      </c>
      <c r="X543" s="46">
        <v>36.57</v>
      </c>
      <c r="Y543" s="48">
        <f>19.87*Z543</f>
        <v>167460.16564955033</v>
      </c>
      <c r="Z543" s="85">
        <f>SUM((Q543-U543)*N543)/W543</f>
        <v>8427.7889103950838</v>
      </c>
      <c r="AA543" s="46">
        <f>+Z543/2085.7</f>
        <v>4.0407483868222105</v>
      </c>
    </row>
    <row r="544" spans="1:27" x14ac:dyDescent="0.25">
      <c r="A544" s="7" t="str">
        <f t="shared" si="8"/>
        <v>3527Providence Portland Medical Center511252283300,52283302,52283305,52283340,52283400,52283308 PT_NON PT FOOD SVC</v>
      </c>
      <c r="B544" s="7"/>
      <c r="C544" s="29" t="s">
        <v>1249</v>
      </c>
      <c r="D544" s="29" t="s">
        <v>1249</v>
      </c>
      <c r="E544" s="29" t="s">
        <v>1249</v>
      </c>
      <c r="F544" s="89">
        <v>3527</v>
      </c>
      <c r="G544" s="43" t="s">
        <v>1389</v>
      </c>
      <c r="H544" s="42">
        <v>5112</v>
      </c>
      <c r="I544" s="43" t="s">
        <v>281</v>
      </c>
      <c r="J544" s="43" t="s">
        <v>65</v>
      </c>
      <c r="K544" s="43" t="s">
        <v>1400</v>
      </c>
      <c r="L544" s="43" t="s">
        <v>282</v>
      </c>
      <c r="M544" s="46">
        <v>1813177.32</v>
      </c>
      <c r="N544" s="46">
        <v>1886921.7</v>
      </c>
      <c r="O544" s="45">
        <v>0.55559999999999998</v>
      </c>
      <c r="P544" s="46">
        <v>0.12</v>
      </c>
      <c r="Q544" s="46">
        <f>(218013.63-6403)/N544</f>
        <v>0.11214595179015643</v>
      </c>
      <c r="R544" s="45">
        <v>0.77780000000000005</v>
      </c>
      <c r="S544" s="47">
        <v>10</v>
      </c>
      <c r="T544" s="46">
        <v>7.0000000000000007E-2</v>
      </c>
      <c r="U544" s="46">
        <v>0.08</v>
      </c>
      <c r="V544" s="46">
        <v>0.09</v>
      </c>
      <c r="W544" s="45">
        <v>0.88849999999999996</v>
      </c>
      <c r="X544" s="46">
        <v>117.97</v>
      </c>
      <c r="Y544" s="48">
        <f>18.02*Z544</f>
        <v>1230205.0983455265</v>
      </c>
      <c r="Z544" s="85">
        <f>SUM((Q544-U544)*N544)/W544</f>
        <v>68268.873382104692</v>
      </c>
      <c r="AA544" s="46">
        <f>+Z544/2085.7</f>
        <v>32.731875812487267</v>
      </c>
    </row>
    <row r="545" spans="1:27" x14ac:dyDescent="0.25">
      <c r="A545" s="7" t="str">
        <f t="shared" si="8"/>
        <v>3527Providence Portland Medical Center432052278740, SLEEP LAB</v>
      </c>
      <c r="B545" s="7"/>
      <c r="C545" s="29" t="s">
        <v>1249</v>
      </c>
      <c r="D545" s="29" t="s">
        <v>1249</v>
      </c>
      <c r="E545" s="29" t="s">
        <v>1249</v>
      </c>
      <c r="F545" s="29">
        <v>3527</v>
      </c>
      <c r="G545" s="4" t="s">
        <v>1389</v>
      </c>
      <c r="H545" s="5">
        <v>4320</v>
      </c>
      <c r="I545" s="4" t="s">
        <v>166</v>
      </c>
      <c r="J545" s="4" t="s">
        <v>116</v>
      </c>
      <c r="K545" s="4" t="s">
        <v>1407</v>
      </c>
      <c r="L545" s="4" t="s">
        <v>99</v>
      </c>
      <c r="M545" s="39">
        <v>13212.16</v>
      </c>
      <c r="N545" s="39">
        <v>31949.73</v>
      </c>
      <c r="O545" s="38">
        <v>0.5</v>
      </c>
      <c r="P545" s="39">
        <v>0.9</v>
      </c>
      <c r="Q545" s="39">
        <v>0.42</v>
      </c>
      <c r="R545" s="7"/>
      <c r="S545" s="40">
        <v>11</v>
      </c>
      <c r="T545" s="39">
        <v>0.77</v>
      </c>
      <c r="U545" s="39">
        <v>0.77</v>
      </c>
      <c r="V545" s="39">
        <v>0.84</v>
      </c>
      <c r="W545" s="38">
        <v>0.84589999999999999</v>
      </c>
      <c r="X545" s="39">
        <v>7.58</v>
      </c>
      <c r="Y545" s="41">
        <v>-423082.06128557603</v>
      </c>
      <c r="Z545" s="39">
        <v>-13273</v>
      </c>
      <c r="AA545" s="39">
        <v>-6.3639896407719796</v>
      </c>
    </row>
    <row r="546" spans="1:27" x14ac:dyDescent="0.25">
      <c r="A546" s="7" t="str">
        <f t="shared" si="8"/>
        <v>3527Providence Portland Medical Center500152284100, 52284500, 52284600 GROUNDS &amp; GARDENS, FACILITY &amp; MAINT</v>
      </c>
      <c r="B546" s="7"/>
      <c r="C546" s="29" t="s">
        <v>1249</v>
      </c>
      <c r="D546" s="29" t="s">
        <v>1249</v>
      </c>
      <c r="E546" s="29" t="s">
        <v>1249</v>
      </c>
      <c r="F546" s="89">
        <v>3527</v>
      </c>
      <c r="G546" s="43" t="s">
        <v>1389</v>
      </c>
      <c r="H546" s="42">
        <v>5001</v>
      </c>
      <c r="I546" s="43" t="s">
        <v>141</v>
      </c>
      <c r="J546" s="43" t="s">
        <v>62</v>
      </c>
      <c r="K546" s="43" t="s">
        <v>1406</v>
      </c>
      <c r="L546" s="43" t="s">
        <v>63</v>
      </c>
      <c r="M546" s="46">
        <v>2199.7600000000002</v>
      </c>
      <c r="N546" s="46">
        <v>2199.7600000000002</v>
      </c>
      <c r="O546" s="45">
        <v>0.5</v>
      </c>
      <c r="P546" s="46">
        <v>26.14</v>
      </c>
      <c r="Q546" s="46">
        <f>50092.52/N546</f>
        <v>22.771811470342215</v>
      </c>
      <c r="R546" s="45">
        <v>0.7</v>
      </c>
      <c r="S546" s="47">
        <v>11</v>
      </c>
      <c r="T546" s="46">
        <v>23.13</v>
      </c>
      <c r="U546" s="46">
        <v>24.97</v>
      </c>
      <c r="V546" s="46">
        <v>27.53</v>
      </c>
      <c r="W546" s="45">
        <v>0.86539999999999995</v>
      </c>
      <c r="X546" s="46">
        <v>37.700000000000003</v>
      </c>
      <c r="Y546" s="48">
        <f>35.5*Z546</f>
        <v>-198358.90409059427</v>
      </c>
      <c r="Z546" s="85">
        <f>SUM((Q546-U546)*N546)/W546</f>
        <v>-5587.5747631153317</v>
      </c>
      <c r="AA546" s="46">
        <f>+Z546/2085.7</f>
        <v>-2.6789925507576986</v>
      </c>
    </row>
    <row r="547" spans="1:27" x14ac:dyDescent="0.25">
      <c r="A547" s="7" t="str">
        <f t="shared" si="8"/>
        <v>3527Providence Portland Medical Center345052276700 52276701, ULTRASOUND</v>
      </c>
      <c r="B547" s="7"/>
      <c r="C547" s="29" t="s">
        <v>1249</v>
      </c>
      <c r="D547" s="29" t="s">
        <v>1249</v>
      </c>
      <c r="E547" s="29" t="s">
        <v>1249</v>
      </c>
      <c r="F547" s="29">
        <v>3527</v>
      </c>
      <c r="G547" s="4" t="s">
        <v>1389</v>
      </c>
      <c r="H547" s="5">
        <v>3450</v>
      </c>
      <c r="I547" s="4" t="s">
        <v>122</v>
      </c>
      <c r="J547" s="4" t="s">
        <v>57</v>
      </c>
      <c r="K547" s="4" t="s">
        <v>1405</v>
      </c>
      <c r="L547" s="4" t="s">
        <v>99</v>
      </c>
      <c r="M547" s="39">
        <v>55783.89</v>
      </c>
      <c r="N547" s="39">
        <v>56571.16</v>
      </c>
      <c r="O547" s="38">
        <v>0.6</v>
      </c>
      <c r="P547" s="39">
        <v>0.43</v>
      </c>
      <c r="Q547" s="39">
        <v>0.43</v>
      </c>
      <c r="R547" s="38">
        <v>0.3</v>
      </c>
      <c r="S547" s="40">
        <v>11</v>
      </c>
      <c r="T547" s="39">
        <v>0.42</v>
      </c>
      <c r="U547" s="39">
        <v>0.44</v>
      </c>
      <c r="V547" s="39">
        <v>0.47</v>
      </c>
      <c r="W547" s="38">
        <v>0.91469999999999996</v>
      </c>
      <c r="X547" s="39">
        <v>12.75</v>
      </c>
      <c r="Y547" s="41">
        <v>-26048.733295087401</v>
      </c>
      <c r="Z547" s="39">
        <v>-620</v>
      </c>
      <c r="AA547" s="39">
        <v>-0.29719761604343398</v>
      </c>
    </row>
    <row r="548" spans="1:27" x14ac:dyDescent="0.25">
      <c r="A548" s="7" t="str">
        <f t="shared" si="8"/>
        <v>3527Providence Portland Medical Center623052206230, COMBO ALL STAFF EDUC (U,N)</v>
      </c>
      <c r="B548" s="7"/>
      <c r="C548" s="29" t="s">
        <v>1249</v>
      </c>
      <c r="D548" s="29" t="s">
        <v>1249</v>
      </c>
      <c r="E548" s="29" t="s">
        <v>1249</v>
      </c>
      <c r="F548" s="29">
        <v>3527</v>
      </c>
      <c r="G548" s="4" t="s">
        <v>1389</v>
      </c>
      <c r="H548" s="5">
        <v>6230</v>
      </c>
      <c r="I548" s="4" t="s">
        <v>284</v>
      </c>
      <c r="J548" s="4" t="s">
        <v>21</v>
      </c>
      <c r="K548" s="4" t="s">
        <v>1412</v>
      </c>
      <c r="L548" s="4" t="s">
        <v>18</v>
      </c>
      <c r="M548" s="39">
        <v>40409.06</v>
      </c>
      <c r="N548" s="39">
        <v>38569.760000000002</v>
      </c>
      <c r="O548" s="38">
        <v>0.73809999999999998</v>
      </c>
      <c r="P548" s="39">
        <v>0.28000000000000003</v>
      </c>
      <c r="Q548" s="39">
        <v>0.28999999999999998</v>
      </c>
      <c r="R548" s="38">
        <v>0.1416</v>
      </c>
      <c r="S548" s="40">
        <v>12</v>
      </c>
      <c r="T548" s="39">
        <v>0.36</v>
      </c>
      <c r="U548" s="39">
        <v>0.39</v>
      </c>
      <c r="V548" s="39">
        <v>0.46</v>
      </c>
      <c r="W548" s="38">
        <v>0.8387</v>
      </c>
      <c r="X548" s="39">
        <v>6.31</v>
      </c>
      <c r="Y548" s="41">
        <v>-244447.77564372501</v>
      </c>
      <c r="Z548" s="39">
        <v>-4774</v>
      </c>
      <c r="AA548" s="39">
        <v>-2.28910118616519</v>
      </c>
    </row>
    <row r="549" spans="1:27" x14ac:dyDescent="0.25">
      <c r="A549" s="7" t="str">
        <f t="shared" si="8"/>
        <v>3527Providence Portland Medical Center136052264200, CHEMICAL DEPENDENCY - ATP</v>
      </c>
      <c r="B549" s="7"/>
      <c r="C549" s="29" t="s">
        <v>1249</v>
      </c>
      <c r="D549" s="29" t="s">
        <v>1249</v>
      </c>
      <c r="E549" s="29" t="s">
        <v>1249</v>
      </c>
      <c r="F549" s="29">
        <v>3527</v>
      </c>
      <c r="G549" s="4" t="s">
        <v>1389</v>
      </c>
      <c r="H549" s="5">
        <v>1360</v>
      </c>
      <c r="I549" s="4" t="s">
        <v>189</v>
      </c>
      <c r="J549" s="4" t="s">
        <v>23</v>
      </c>
      <c r="K549" s="4" t="s">
        <v>1411</v>
      </c>
      <c r="L549" s="4" t="s">
        <v>114</v>
      </c>
      <c r="M549" s="39">
        <v>8303</v>
      </c>
      <c r="N549" s="39">
        <v>4976</v>
      </c>
      <c r="O549" s="38">
        <v>0.54549999999999998</v>
      </c>
      <c r="P549" s="39">
        <v>3.66</v>
      </c>
      <c r="Q549" s="39">
        <v>6.44</v>
      </c>
      <c r="R549" s="38">
        <v>0.3</v>
      </c>
      <c r="S549" s="40">
        <v>12</v>
      </c>
      <c r="T549" s="39">
        <v>6.05</v>
      </c>
      <c r="U549" s="39">
        <v>6.65</v>
      </c>
      <c r="V549" s="39">
        <v>7.45</v>
      </c>
      <c r="W549" s="38">
        <v>0.91269999999999996</v>
      </c>
      <c r="X549" s="39">
        <v>16.89</v>
      </c>
      <c r="Y549" s="41">
        <v>-40409.155991081403</v>
      </c>
      <c r="Z549" s="39">
        <v>-1028</v>
      </c>
      <c r="AA549" s="39">
        <v>-0.49289573888809102</v>
      </c>
    </row>
    <row r="550" spans="1:27" x14ac:dyDescent="0.25">
      <c r="A550" s="7" t="str">
        <f t="shared" si="8"/>
        <v>3527Providence Portland Medical Center426052278710, NON-INVASIVE LAB</v>
      </c>
      <c r="B550" s="7"/>
      <c r="C550" s="29" t="s">
        <v>1249</v>
      </c>
      <c r="D550" s="29" t="s">
        <v>1249</v>
      </c>
      <c r="E550" s="29" t="s">
        <v>1249</v>
      </c>
      <c r="F550" s="29">
        <v>3527</v>
      </c>
      <c r="G550" s="4" t="s">
        <v>1389</v>
      </c>
      <c r="H550" s="5">
        <v>4260</v>
      </c>
      <c r="I550" s="4" t="s">
        <v>158</v>
      </c>
      <c r="J550" s="4" t="s">
        <v>60</v>
      </c>
      <c r="K550" s="4" t="s">
        <v>1410</v>
      </c>
      <c r="L550" s="4" t="s">
        <v>99</v>
      </c>
      <c r="M550" s="39">
        <v>15890.86</v>
      </c>
      <c r="N550" s="39">
        <v>16385.740000000002</v>
      </c>
      <c r="O550" s="38">
        <v>0.63639999999999997</v>
      </c>
      <c r="P550" s="39">
        <v>0.69</v>
      </c>
      <c r="Q550" s="39">
        <v>0.6</v>
      </c>
      <c r="R550" s="38">
        <v>0.61539999999999995</v>
      </c>
      <c r="S550" s="40">
        <v>12</v>
      </c>
      <c r="T550" s="39">
        <v>0.45</v>
      </c>
      <c r="U550" s="39">
        <v>0.54</v>
      </c>
      <c r="V550" s="39">
        <v>0.57999999999999996</v>
      </c>
      <c r="W550" s="38">
        <v>0.85540000000000005</v>
      </c>
      <c r="X550" s="39">
        <v>5.52</v>
      </c>
      <c r="Y550" s="41">
        <v>59947.794652295299</v>
      </c>
      <c r="Z550" s="39">
        <v>1169</v>
      </c>
      <c r="AA550" s="39">
        <v>0.56049043494446105</v>
      </c>
    </row>
    <row r="551" spans="1:27" x14ac:dyDescent="0.25">
      <c r="A551" s="7" t="str">
        <f t="shared" si="8"/>
        <v>3527Providence Portland Medical Center301152274200, SURGICAL SERVICES</v>
      </c>
      <c r="B551" s="7"/>
      <c r="C551" s="29" t="s">
        <v>1249</v>
      </c>
      <c r="D551" s="29" t="s">
        <v>1249</v>
      </c>
      <c r="E551" s="29" t="s">
        <v>1249</v>
      </c>
      <c r="F551" s="29">
        <v>3527</v>
      </c>
      <c r="G551" s="4" t="s">
        <v>1389</v>
      </c>
      <c r="H551" s="5">
        <v>3011</v>
      </c>
      <c r="I551" s="4" t="s">
        <v>87</v>
      </c>
      <c r="J551" s="4" t="s">
        <v>47</v>
      </c>
      <c r="K551" s="4" t="s">
        <v>1409</v>
      </c>
      <c r="L551" s="4" t="s">
        <v>88</v>
      </c>
      <c r="M551" s="39">
        <v>19080.900000000001</v>
      </c>
      <c r="N551" s="39">
        <v>18973.21</v>
      </c>
      <c r="O551" s="38">
        <v>0.63639999999999997</v>
      </c>
      <c r="P551" s="39">
        <v>10.78</v>
      </c>
      <c r="Q551" s="39">
        <v>10.86</v>
      </c>
      <c r="R551" s="38">
        <v>0.45450000000000002</v>
      </c>
      <c r="S551" s="40">
        <v>12</v>
      </c>
      <c r="T551" s="39">
        <v>10.27</v>
      </c>
      <c r="U551" s="39">
        <v>10.64</v>
      </c>
      <c r="V551" s="39">
        <v>11.06</v>
      </c>
      <c r="W551" s="38">
        <v>0.88439999999999996</v>
      </c>
      <c r="X551" s="39">
        <v>111.97</v>
      </c>
      <c r="Y551" s="41">
        <v>228226.150924841</v>
      </c>
      <c r="Z551" s="39">
        <v>5274</v>
      </c>
      <c r="AA551" s="39">
        <v>2.5285429172270302</v>
      </c>
    </row>
    <row r="552" spans="1:27" x14ac:dyDescent="0.25">
      <c r="A552" s="7" t="str">
        <f t="shared" si="8"/>
        <v>3527Providence Portland Medical Center139052263400, MENTAL HEALTH-ADULT - 5E &amp; 5L</v>
      </c>
      <c r="B552" s="7"/>
      <c r="C552" s="29" t="s">
        <v>1249</v>
      </c>
      <c r="D552" s="29" t="s">
        <v>1249</v>
      </c>
      <c r="E552" s="29" t="s">
        <v>1249</v>
      </c>
      <c r="F552" s="29">
        <v>3527</v>
      </c>
      <c r="G552" s="4" t="s">
        <v>1389</v>
      </c>
      <c r="H552" s="5">
        <v>1390</v>
      </c>
      <c r="I552" s="4" t="s">
        <v>174</v>
      </c>
      <c r="J552" s="4" t="s">
        <v>23</v>
      </c>
      <c r="K552" s="4" t="s">
        <v>1408</v>
      </c>
      <c r="L552" s="4" t="s">
        <v>114</v>
      </c>
      <c r="M552" s="39">
        <v>8097</v>
      </c>
      <c r="N552" s="39">
        <v>10111</v>
      </c>
      <c r="O552" s="38">
        <v>0.54549999999999998</v>
      </c>
      <c r="P552" s="39">
        <v>10.54</v>
      </c>
      <c r="Q552" s="39">
        <v>11.92</v>
      </c>
      <c r="R552" s="38">
        <v>1</v>
      </c>
      <c r="S552" s="40">
        <v>12</v>
      </c>
      <c r="T552" s="39">
        <v>9.26</v>
      </c>
      <c r="U552" s="39">
        <v>9.56</v>
      </c>
      <c r="V552" s="39">
        <v>9.8699999999999992</v>
      </c>
      <c r="W552" s="38">
        <v>0.90129999999999999</v>
      </c>
      <c r="X552" s="39">
        <v>64.28</v>
      </c>
      <c r="Y552" s="41">
        <v>1064693.95762299</v>
      </c>
      <c r="Z552" s="39">
        <v>26823</v>
      </c>
      <c r="AA552" s="39">
        <v>12.8601517692921</v>
      </c>
    </row>
    <row r="553" spans="1:27" x14ac:dyDescent="0.25">
      <c r="A553" s="7" t="str">
        <f t="shared" si="8"/>
        <v>3527Providence Portland Medical Center346052276500, NUCLEAR MEDICINE</v>
      </c>
      <c r="B553" s="7"/>
      <c r="C553" s="29" t="s">
        <v>1249</v>
      </c>
      <c r="D553" s="29" t="s">
        <v>1249</v>
      </c>
      <c r="E553" s="29" t="s">
        <v>1249</v>
      </c>
      <c r="F553" s="29">
        <v>3527</v>
      </c>
      <c r="G553" s="4" t="s">
        <v>1389</v>
      </c>
      <c r="H553" s="5">
        <v>3460</v>
      </c>
      <c r="I553" s="4" t="s">
        <v>120</v>
      </c>
      <c r="J553" s="4" t="s">
        <v>57</v>
      </c>
      <c r="K553" s="4" t="s">
        <v>1414</v>
      </c>
      <c r="L553" s="4" t="s">
        <v>99</v>
      </c>
      <c r="M553" s="39">
        <v>46967.839999999997</v>
      </c>
      <c r="N553" s="39">
        <v>68094.13</v>
      </c>
      <c r="O553" s="38">
        <v>0.66669999999999996</v>
      </c>
      <c r="P553" s="39">
        <v>0.25</v>
      </c>
      <c r="Q553" s="39">
        <v>0.19</v>
      </c>
      <c r="R553" s="38">
        <v>0</v>
      </c>
      <c r="S553" s="40">
        <v>13</v>
      </c>
      <c r="T553" s="39">
        <v>0.2</v>
      </c>
      <c r="U553" s="39">
        <v>0.2</v>
      </c>
      <c r="V553" s="39">
        <v>0.22</v>
      </c>
      <c r="W553" s="38">
        <v>0.8871</v>
      </c>
      <c r="X553" s="39">
        <v>7.07</v>
      </c>
      <c r="Y553" s="41">
        <v>-27458.5295912826</v>
      </c>
      <c r="Z553" s="39">
        <v>-606</v>
      </c>
      <c r="AA553" s="39">
        <v>-0.29063446399020099</v>
      </c>
    </row>
    <row r="554" spans="1:27" x14ac:dyDescent="0.25">
      <c r="A554" s="7" t="str">
        <f t="shared" si="8"/>
        <v>3527Providence Portland Medical Center349952276395, DIAGNOSTIC IMAGING ADM SUPPORT</v>
      </c>
      <c r="B554" s="7"/>
      <c r="C554" s="29" t="s">
        <v>1249</v>
      </c>
      <c r="D554" s="29" t="s">
        <v>1249</v>
      </c>
      <c r="E554" s="29" t="s">
        <v>1249</v>
      </c>
      <c r="F554" s="89">
        <v>3527</v>
      </c>
      <c r="G554" s="43" t="s">
        <v>1389</v>
      </c>
      <c r="H554" s="42">
        <v>3499</v>
      </c>
      <c r="I554" s="43" t="s">
        <v>56</v>
      </c>
      <c r="J554" s="43" t="s">
        <v>57</v>
      </c>
      <c r="K554" s="43" t="s">
        <v>1413</v>
      </c>
      <c r="L554" s="43" t="s">
        <v>58</v>
      </c>
      <c r="M554" s="46">
        <v>383399.09</v>
      </c>
      <c r="N554" s="46">
        <v>404466.61070000002</v>
      </c>
      <c r="O554" s="45">
        <v>0.61539999999999995</v>
      </c>
      <c r="P554" s="46">
        <v>0.09</v>
      </c>
      <c r="Q554" s="46">
        <f>35681.55/N554</f>
        <v>8.8218777659413855E-2</v>
      </c>
      <c r="R554" s="45">
        <v>0.91669999999999996</v>
      </c>
      <c r="S554" s="47">
        <v>13</v>
      </c>
      <c r="T554" s="46">
        <v>0.04</v>
      </c>
      <c r="U554" s="46">
        <v>0.04</v>
      </c>
      <c r="V554" s="46">
        <v>0.05</v>
      </c>
      <c r="W554" s="45">
        <v>0.8468</v>
      </c>
      <c r="X554" s="46">
        <v>20.260000000000002</v>
      </c>
      <c r="Y554" s="48">
        <f>27.54*Z554</f>
        <v>634281.37535767595</v>
      </c>
      <c r="Z554" s="85">
        <f>SUM((Q554-U554)*N554)/W554</f>
        <v>23031.277246102978</v>
      </c>
      <c r="AA554" s="46">
        <f>+Z554/2085.7</f>
        <v>11.042468833534535</v>
      </c>
    </row>
    <row r="555" spans="1:27" x14ac:dyDescent="0.25">
      <c r="A555" s="7" t="str">
        <f t="shared" si="8"/>
        <v>3527Providence Portland Medical Center127752260700, NICU</v>
      </c>
      <c r="B555" s="7"/>
      <c r="C555" s="29" t="s">
        <v>1249</v>
      </c>
      <c r="D555" s="29" t="s">
        <v>1249</v>
      </c>
      <c r="E555" s="29" t="s">
        <v>1249</v>
      </c>
      <c r="F555" s="29">
        <v>3527</v>
      </c>
      <c r="G555" s="4" t="s">
        <v>1389</v>
      </c>
      <c r="H555" s="5">
        <v>1277</v>
      </c>
      <c r="I555" s="4" t="s">
        <v>106</v>
      </c>
      <c r="J555" s="4" t="s">
        <v>23</v>
      </c>
      <c r="K555" s="4" t="s">
        <v>1416</v>
      </c>
      <c r="L555" s="4" t="s">
        <v>107</v>
      </c>
      <c r="M555" s="39">
        <v>1007</v>
      </c>
      <c r="N555" s="39">
        <v>2647</v>
      </c>
      <c r="O555" s="38">
        <v>0.53849999999999998</v>
      </c>
      <c r="P555" s="39">
        <v>23.39</v>
      </c>
      <c r="Q555" s="39">
        <v>17.48</v>
      </c>
      <c r="R555" s="38">
        <v>0.76919999999999999</v>
      </c>
      <c r="S555" s="40">
        <v>14</v>
      </c>
      <c r="T555" s="39">
        <v>14.39</v>
      </c>
      <c r="U555" s="39">
        <v>15.03</v>
      </c>
      <c r="V555" s="39">
        <v>16.37</v>
      </c>
      <c r="W555" s="38">
        <v>0.87960000000000005</v>
      </c>
      <c r="X555" s="39">
        <v>25.29</v>
      </c>
      <c r="Y555" s="41">
        <v>348628.699210744</v>
      </c>
      <c r="Z555" s="39">
        <v>7517</v>
      </c>
      <c r="AA555" s="39">
        <v>3.6041794305025499</v>
      </c>
    </row>
    <row r="556" spans="1:27" x14ac:dyDescent="0.25">
      <c r="A556" s="7" t="str">
        <f t="shared" si="8"/>
        <v>3527Providence Portland Medical Center560852205608, CENTRALIZED SCHEDULING (U,N)</v>
      </c>
      <c r="B556" s="7"/>
      <c r="C556" s="29" t="s">
        <v>1249</v>
      </c>
      <c r="D556" s="29" t="s">
        <v>1249</v>
      </c>
      <c r="E556" s="29" t="s">
        <v>1249</v>
      </c>
      <c r="F556" s="29">
        <v>3527</v>
      </c>
      <c r="G556" s="4" t="s">
        <v>1389</v>
      </c>
      <c r="H556" s="5">
        <v>5608</v>
      </c>
      <c r="I556" s="4" t="s">
        <v>257</v>
      </c>
      <c r="J556" s="4" t="s">
        <v>12</v>
      </c>
      <c r="K556" s="4" t="s">
        <v>1415</v>
      </c>
      <c r="L556" s="4" t="s">
        <v>18</v>
      </c>
      <c r="M556" s="39">
        <v>40409.06</v>
      </c>
      <c r="N556" s="39">
        <v>38569.760000000002</v>
      </c>
      <c r="O556" s="38">
        <v>0.54830000000000001</v>
      </c>
      <c r="P556" s="39">
        <v>0.83</v>
      </c>
      <c r="Q556" s="39">
        <v>0.75</v>
      </c>
      <c r="R556" s="38">
        <v>0.53039999999999998</v>
      </c>
      <c r="S556" s="40">
        <v>14</v>
      </c>
      <c r="T556" s="39">
        <v>0.47</v>
      </c>
      <c r="U556" s="39">
        <v>0.57999999999999996</v>
      </c>
      <c r="V556" s="39">
        <v>0.68</v>
      </c>
      <c r="W556" s="38">
        <v>0.88219999999999998</v>
      </c>
      <c r="X556" s="39">
        <v>15.81</v>
      </c>
      <c r="Y556" s="41">
        <v>150901.36612726501</v>
      </c>
      <c r="Z556" s="39">
        <v>7617</v>
      </c>
      <c r="AA556" s="39">
        <v>3.6521708676870999</v>
      </c>
    </row>
    <row r="557" spans="1:27" x14ac:dyDescent="0.25">
      <c r="A557" s="7" t="str">
        <f t="shared" si="8"/>
        <v>3527Providence Portland Medical Center592552283700, PATIENT TRANSPORTATION</v>
      </c>
      <c r="B557" s="7"/>
      <c r="C557" s="29" t="s">
        <v>1249</v>
      </c>
      <c r="D557" s="29" t="s">
        <v>1249</v>
      </c>
      <c r="E557" s="29" t="s">
        <v>1249</v>
      </c>
      <c r="F557" s="29">
        <v>3527</v>
      </c>
      <c r="G557" s="4" t="s">
        <v>1389</v>
      </c>
      <c r="H557" s="5">
        <v>5925</v>
      </c>
      <c r="I557" s="4" t="s">
        <v>135</v>
      </c>
      <c r="J557" s="4" t="s">
        <v>136</v>
      </c>
      <c r="K557" s="4" t="s">
        <v>1420</v>
      </c>
      <c r="L557" s="4" t="s">
        <v>137</v>
      </c>
      <c r="M557" s="39">
        <v>2183.61</v>
      </c>
      <c r="N557" s="39">
        <v>2310.5300000000002</v>
      </c>
      <c r="O557" s="38">
        <v>0.64290000000000003</v>
      </c>
      <c r="P557" s="39">
        <v>25.22</v>
      </c>
      <c r="Q557" s="39">
        <v>22.33</v>
      </c>
      <c r="R557" s="38">
        <v>7.6899999999999996E-2</v>
      </c>
      <c r="S557" s="40">
        <v>15</v>
      </c>
      <c r="T557" s="39">
        <v>25.36</v>
      </c>
      <c r="U557" s="39">
        <v>30.67</v>
      </c>
      <c r="V557" s="39">
        <v>36.42</v>
      </c>
      <c r="W557" s="38">
        <v>0.8962</v>
      </c>
      <c r="X557" s="39">
        <v>27.67</v>
      </c>
      <c r="Y557" s="41">
        <v>-402874.562330366</v>
      </c>
      <c r="Z557" s="39">
        <v>-21360</v>
      </c>
      <c r="AA557" s="39">
        <v>-10.2412939038008</v>
      </c>
    </row>
    <row r="558" spans="1:27" x14ac:dyDescent="0.25">
      <c r="A558" s="7" t="str">
        <f t="shared" si="8"/>
        <v>3527Providence Portland Medical Center584052283600, CARE MANAGEMENT</v>
      </c>
      <c r="B558" s="7"/>
      <c r="C558" s="29" t="s">
        <v>1249</v>
      </c>
      <c r="D558" s="29" t="s">
        <v>1249</v>
      </c>
      <c r="E558" s="29" t="s">
        <v>1249</v>
      </c>
      <c r="F558" s="29">
        <v>3527</v>
      </c>
      <c r="G558" s="4" t="s">
        <v>1389</v>
      </c>
      <c r="H558" s="5">
        <v>5840</v>
      </c>
      <c r="I558" s="4" t="s">
        <v>1091</v>
      </c>
      <c r="J558" s="4" t="s">
        <v>26</v>
      </c>
      <c r="K558" s="4" t="s">
        <v>1419</v>
      </c>
      <c r="L558" s="4" t="s">
        <v>1093</v>
      </c>
      <c r="M558" s="39">
        <v>2291</v>
      </c>
      <c r="N558" s="39">
        <v>50862</v>
      </c>
      <c r="O558" s="38">
        <v>0.57140000000000002</v>
      </c>
      <c r="P558" s="39">
        <v>20.440000000000001</v>
      </c>
      <c r="Q558" s="39">
        <v>0.95</v>
      </c>
      <c r="R558" s="38">
        <v>0.33329999999999999</v>
      </c>
      <c r="S558" s="40">
        <v>15</v>
      </c>
      <c r="T558" s="39">
        <v>0.84</v>
      </c>
      <c r="U558" s="39">
        <v>0.98</v>
      </c>
      <c r="V558" s="39">
        <v>1.1399999999999999</v>
      </c>
      <c r="W558" s="38">
        <v>0.87329999999999997</v>
      </c>
      <c r="X558" s="39">
        <v>26.48</v>
      </c>
      <c r="Y558" s="41">
        <v>-73516.8933129824</v>
      </c>
      <c r="Z558" s="39">
        <v>-1847</v>
      </c>
      <c r="AA558" s="39">
        <v>-0.88555168896666803</v>
      </c>
    </row>
    <row r="559" spans="1:27" x14ac:dyDescent="0.25">
      <c r="A559" s="7" t="str">
        <f t="shared" si="8"/>
        <v>3527Providence Portland Medical Center591052284200, SECURITY</v>
      </c>
      <c r="B559" s="7"/>
      <c r="C559" s="29" t="s">
        <v>1249</v>
      </c>
      <c r="D559" s="29" t="s">
        <v>1249</v>
      </c>
      <c r="E559" s="29" t="s">
        <v>1249</v>
      </c>
      <c r="F559" s="29">
        <v>3527</v>
      </c>
      <c r="G559" s="4" t="s">
        <v>1389</v>
      </c>
      <c r="H559" s="5">
        <v>5910</v>
      </c>
      <c r="I559" s="4" t="s">
        <v>139</v>
      </c>
      <c r="J559" s="4" t="s">
        <v>136</v>
      </c>
      <c r="K559" s="4" t="s">
        <v>1418</v>
      </c>
      <c r="L559" s="4" t="s">
        <v>140</v>
      </c>
      <c r="M559" s="39">
        <v>4301.16</v>
      </c>
      <c r="N559" s="39">
        <v>4301.16</v>
      </c>
      <c r="O559" s="38">
        <v>0.57140000000000002</v>
      </c>
      <c r="P559" s="39">
        <v>12.65</v>
      </c>
      <c r="Q559" s="39">
        <v>12.41</v>
      </c>
      <c r="R559" s="38">
        <v>0.5</v>
      </c>
      <c r="S559" s="40">
        <v>15</v>
      </c>
      <c r="T559" s="39">
        <v>10.56</v>
      </c>
      <c r="U559" s="39">
        <v>11.41</v>
      </c>
      <c r="V559" s="39">
        <v>12.41</v>
      </c>
      <c r="W559" s="38">
        <v>0.87590000000000001</v>
      </c>
      <c r="X559" s="39">
        <v>29.31</v>
      </c>
      <c r="Y559" s="41">
        <v>111932.264870356</v>
      </c>
      <c r="Z559" s="39">
        <v>5102</v>
      </c>
      <c r="AA559" s="39">
        <v>2.44635898681776</v>
      </c>
    </row>
    <row r="560" spans="1:27" x14ac:dyDescent="0.25">
      <c r="A560" s="7" t="str">
        <f t="shared" si="8"/>
        <v>3527Providence Portland Medical Center102252260300, CCU - 2K</v>
      </c>
      <c r="B560" s="7"/>
      <c r="C560" s="29" t="s">
        <v>1249</v>
      </c>
      <c r="D560" s="29" t="s">
        <v>1249</v>
      </c>
      <c r="E560" s="29" t="s">
        <v>1249</v>
      </c>
      <c r="F560" s="29">
        <v>3527</v>
      </c>
      <c r="G560" s="4" t="s">
        <v>1389</v>
      </c>
      <c r="H560" s="5">
        <v>1022</v>
      </c>
      <c r="I560" s="4" t="s">
        <v>288</v>
      </c>
      <c r="J560" s="4" t="s">
        <v>23</v>
      </c>
      <c r="K560" s="4" t="s">
        <v>1417</v>
      </c>
      <c r="L560" s="4" t="s">
        <v>74</v>
      </c>
      <c r="M560" s="39">
        <v>2362.04</v>
      </c>
      <c r="N560" s="39">
        <v>2429</v>
      </c>
      <c r="O560" s="38">
        <v>0.42859999999999998</v>
      </c>
      <c r="P560" s="39">
        <v>23.39</v>
      </c>
      <c r="Q560" s="39">
        <v>23.21</v>
      </c>
      <c r="R560" s="38">
        <v>0.84619999999999995</v>
      </c>
      <c r="S560" s="40">
        <v>15</v>
      </c>
      <c r="T560" s="39">
        <v>18.809999999999999</v>
      </c>
      <c r="U560" s="39">
        <v>18.940000000000001</v>
      </c>
      <c r="V560" s="39">
        <v>19.73</v>
      </c>
      <c r="W560" s="38">
        <v>0.85529999999999995</v>
      </c>
      <c r="X560" s="39">
        <v>31.69</v>
      </c>
      <c r="Y560" s="41">
        <v>702716.02020660799</v>
      </c>
      <c r="Z560" s="39">
        <v>12307</v>
      </c>
      <c r="AA560" s="39">
        <v>5.9008412055409796</v>
      </c>
    </row>
    <row r="561" spans="1:27" x14ac:dyDescent="0.25">
      <c r="A561" s="7" t="str">
        <f t="shared" si="8"/>
        <v>3527Providence Portland Medical Center127652261760, PERINATAL SPECIAL CARE UNIT</v>
      </c>
      <c r="B561" s="7"/>
      <c r="C561" s="29" t="s">
        <v>1249</v>
      </c>
      <c r="D561" s="29" t="s">
        <v>1249</v>
      </c>
      <c r="E561" s="29" t="s">
        <v>1249</v>
      </c>
      <c r="F561" s="29">
        <v>3527</v>
      </c>
      <c r="G561" s="4" t="s">
        <v>1389</v>
      </c>
      <c r="H561" s="5">
        <v>1276</v>
      </c>
      <c r="I561" s="4" t="s">
        <v>175</v>
      </c>
      <c r="J561" s="4" t="s">
        <v>23</v>
      </c>
      <c r="K561" s="4" t="s">
        <v>1421</v>
      </c>
      <c r="L561" s="4" t="s">
        <v>74</v>
      </c>
      <c r="M561" s="39">
        <v>289</v>
      </c>
      <c r="N561" s="39">
        <v>1706</v>
      </c>
      <c r="O561" s="38">
        <v>0.4667</v>
      </c>
      <c r="P561" s="39">
        <v>4.51</v>
      </c>
      <c r="Q561" s="39">
        <v>9.1</v>
      </c>
      <c r="R561" s="38">
        <v>0.35709999999999997</v>
      </c>
      <c r="S561" s="40">
        <v>16</v>
      </c>
      <c r="T561" s="39">
        <v>8.9</v>
      </c>
      <c r="U561" s="39">
        <v>9.09</v>
      </c>
      <c r="V561" s="39">
        <v>10.46</v>
      </c>
      <c r="W561" s="38">
        <v>0.84840000000000004</v>
      </c>
      <c r="X561" s="39">
        <v>8.8000000000000007</v>
      </c>
      <c r="Y561" s="41">
        <v>4025.8167084706902</v>
      </c>
      <c r="Z561" s="39">
        <v>76</v>
      </c>
      <c r="AA561" s="39">
        <v>3.62413441187961E-2</v>
      </c>
    </row>
    <row r="562" spans="1:27" x14ac:dyDescent="0.25">
      <c r="A562" s="7" t="str">
        <f t="shared" si="8"/>
        <v>3527Providence Portland Medical Center123552261721, NEUROSURGERY - 8S</v>
      </c>
      <c r="B562" s="7"/>
      <c r="C562" s="29" t="s">
        <v>1249</v>
      </c>
      <c r="D562" s="29" t="s">
        <v>1249</v>
      </c>
      <c r="E562" s="29" t="s">
        <v>1249</v>
      </c>
      <c r="F562" s="29">
        <v>3527</v>
      </c>
      <c r="G562" s="4" t="s">
        <v>1389</v>
      </c>
      <c r="H562" s="5">
        <v>1235</v>
      </c>
      <c r="I562" s="4" t="s">
        <v>1424</v>
      </c>
      <c r="J562" s="4" t="s">
        <v>23</v>
      </c>
      <c r="K562" s="4" t="s">
        <v>1425</v>
      </c>
      <c r="L562" s="4" t="s">
        <v>74</v>
      </c>
      <c r="M562" s="39">
        <v>6913.54</v>
      </c>
      <c r="N562" s="39">
        <v>7464</v>
      </c>
      <c r="O562" s="38">
        <v>0.6875</v>
      </c>
      <c r="P562" s="39">
        <v>10.23</v>
      </c>
      <c r="Q562" s="39">
        <v>10.44</v>
      </c>
      <c r="R562" s="38">
        <v>0.33329999999999999</v>
      </c>
      <c r="S562" s="40">
        <v>17</v>
      </c>
      <c r="T562" s="39">
        <v>10.37</v>
      </c>
      <c r="U562" s="39">
        <v>10.51</v>
      </c>
      <c r="V562" s="39">
        <v>11.23</v>
      </c>
      <c r="W562" s="38">
        <v>0.89400000000000002</v>
      </c>
      <c r="X562" s="39">
        <v>41.93</v>
      </c>
      <c r="Y562" s="41">
        <v>-13166.248248203299</v>
      </c>
      <c r="Z562" s="39">
        <v>-295</v>
      </c>
      <c r="AA562" s="39">
        <v>-0.14120844948327299</v>
      </c>
    </row>
    <row r="563" spans="1:27" x14ac:dyDescent="0.25">
      <c r="A563" s="7" t="str">
        <f t="shared" si="8"/>
        <v>3527Providence Portland Medical Center191052287200, NURSING SERVICE ADMIN</v>
      </c>
      <c r="B563" s="7"/>
      <c r="C563" s="29" t="s">
        <v>1249</v>
      </c>
      <c r="D563" s="29" t="s">
        <v>1249</v>
      </c>
      <c r="E563" s="29" t="s">
        <v>1249</v>
      </c>
      <c r="F563" s="29">
        <v>3527</v>
      </c>
      <c r="G563" s="4" t="s">
        <v>1389</v>
      </c>
      <c r="H563" s="5">
        <v>1910</v>
      </c>
      <c r="I563" s="4" t="s">
        <v>34</v>
      </c>
      <c r="J563" s="4" t="s">
        <v>23</v>
      </c>
      <c r="K563" s="4" t="s">
        <v>1422</v>
      </c>
      <c r="L563" s="4" t="s">
        <v>35</v>
      </c>
      <c r="M563" s="39">
        <v>1073</v>
      </c>
      <c r="N563" s="39">
        <v>1084</v>
      </c>
      <c r="O563" s="38">
        <v>0.6</v>
      </c>
      <c r="P563" s="39">
        <v>26.51</v>
      </c>
      <c r="Q563" s="39">
        <v>35.520000000000003</v>
      </c>
      <c r="R563" s="38">
        <v>0.375</v>
      </c>
      <c r="S563" s="40">
        <v>17</v>
      </c>
      <c r="T563" s="39">
        <v>31.57</v>
      </c>
      <c r="U563" s="39">
        <v>35.03</v>
      </c>
      <c r="V563" s="39">
        <v>44.76</v>
      </c>
      <c r="W563" s="38">
        <v>0.87949999999999995</v>
      </c>
      <c r="X563" s="39">
        <v>21.05</v>
      </c>
      <c r="Y563" s="41">
        <f>Z563*55.14</f>
        <v>33300.923706651643</v>
      </c>
      <c r="Z563" s="39">
        <f>SUM((Q563-U563)*N563)/W563</f>
        <v>603.93405343945665</v>
      </c>
      <c r="AA563" s="39">
        <f>+Z563/2085.7</f>
        <v>0.28955940616553516</v>
      </c>
    </row>
    <row r="564" spans="1:27" x14ac:dyDescent="0.25">
      <c r="A564" s="7" t="str">
        <f t="shared" si="8"/>
        <v>3527Providence Portland Medical Center343052276600, MRI</v>
      </c>
      <c r="B564" s="7"/>
      <c r="C564" s="29" t="s">
        <v>1249</v>
      </c>
      <c r="D564" s="29" t="s">
        <v>1249</v>
      </c>
      <c r="E564" s="29" t="s">
        <v>1249</v>
      </c>
      <c r="F564" s="29">
        <v>3527</v>
      </c>
      <c r="G564" s="4" t="s">
        <v>1389</v>
      </c>
      <c r="H564" s="5">
        <v>3430</v>
      </c>
      <c r="I564" s="4" t="s">
        <v>121</v>
      </c>
      <c r="J564" s="4" t="s">
        <v>57</v>
      </c>
      <c r="K564" s="4" t="s">
        <v>1423</v>
      </c>
      <c r="L564" s="4" t="s">
        <v>99</v>
      </c>
      <c r="M564" s="39">
        <v>57645.51</v>
      </c>
      <c r="N564" s="39">
        <v>57654.46</v>
      </c>
      <c r="O564" s="38">
        <v>0.5625</v>
      </c>
      <c r="P564" s="39">
        <v>0.32</v>
      </c>
      <c r="Q564" s="39">
        <v>0.33</v>
      </c>
      <c r="R564" s="38">
        <v>0.4</v>
      </c>
      <c r="S564" s="40">
        <v>17</v>
      </c>
      <c r="T564" s="39">
        <v>0.31</v>
      </c>
      <c r="U564" s="39">
        <v>0.32</v>
      </c>
      <c r="V564" s="39">
        <v>0.33</v>
      </c>
      <c r="W564" s="38">
        <v>0.89390000000000003</v>
      </c>
      <c r="X564" s="39">
        <v>10.19</v>
      </c>
      <c r="Y564" s="41">
        <v>26915.073694696301</v>
      </c>
      <c r="Z564" s="39">
        <v>614</v>
      </c>
      <c r="AA564" s="39">
        <v>0.29440052841888897</v>
      </c>
    </row>
    <row r="565" spans="1:27" x14ac:dyDescent="0.25">
      <c r="A565" s="7" t="str">
        <f t="shared" si="8"/>
        <v>3527Providence Portland Medical Center337052275000, 52289008, 52289009 CLIN STAT LAB</v>
      </c>
      <c r="B565" s="7"/>
      <c r="C565" s="29" t="s">
        <v>1249</v>
      </c>
      <c r="D565" s="29" t="s">
        <v>1249</v>
      </c>
      <c r="E565" s="29" t="s">
        <v>1249</v>
      </c>
      <c r="F565" s="29">
        <v>3527</v>
      </c>
      <c r="G565" s="4" t="s">
        <v>1389</v>
      </c>
      <c r="H565" s="5">
        <v>3370</v>
      </c>
      <c r="I565" s="4" t="s">
        <v>182</v>
      </c>
      <c r="J565" s="4" t="s">
        <v>53</v>
      </c>
      <c r="K565" s="4" t="s">
        <v>1426</v>
      </c>
      <c r="L565" s="4" t="s">
        <v>94</v>
      </c>
      <c r="M565" s="39">
        <v>6384.37</v>
      </c>
      <c r="N565" s="39">
        <v>8977.3799999999992</v>
      </c>
      <c r="O565" s="38">
        <v>0.4118</v>
      </c>
      <c r="P565" s="39">
        <v>10.92</v>
      </c>
      <c r="Q565" s="39">
        <v>8.1199999999999992</v>
      </c>
      <c r="R565" s="38">
        <v>6.6699999999999995E-2</v>
      </c>
      <c r="S565" s="40">
        <v>18</v>
      </c>
      <c r="T565" s="39">
        <v>10.33</v>
      </c>
      <c r="U565" s="39">
        <v>11.16</v>
      </c>
      <c r="V565" s="39">
        <v>11.81</v>
      </c>
      <c r="W565" s="38">
        <v>0.89939999999999998</v>
      </c>
      <c r="X565" s="39">
        <v>38.96</v>
      </c>
      <c r="Y565" s="41">
        <v>-763890.90984916501</v>
      </c>
      <c r="Z565" s="39">
        <v>-30135</v>
      </c>
      <c r="AA565" s="39">
        <v>-14.448339893726001</v>
      </c>
    </row>
    <row r="566" spans="1:27" x14ac:dyDescent="0.25">
      <c r="A566" s="7" t="str">
        <f t="shared" si="8"/>
        <v>3527Providence Portland Medical Center309952203099, SURG SVCS ADMIN (U,N)</v>
      </c>
      <c r="B566" s="7"/>
      <c r="C566" s="29" t="s">
        <v>1249</v>
      </c>
      <c r="D566" s="29" t="s">
        <v>1249</v>
      </c>
      <c r="E566" s="29" t="s">
        <v>1249</v>
      </c>
      <c r="F566" s="29">
        <v>3527</v>
      </c>
      <c r="G566" s="4" t="s">
        <v>1389</v>
      </c>
      <c r="H566" s="5">
        <v>3099</v>
      </c>
      <c r="I566" s="4" t="s">
        <v>46</v>
      </c>
      <c r="J566" s="4" t="s">
        <v>47</v>
      </c>
      <c r="K566" s="4" t="s">
        <v>1428</v>
      </c>
      <c r="L566" s="4" t="s">
        <v>49</v>
      </c>
      <c r="M566" s="39">
        <v>17179</v>
      </c>
      <c r="N566" s="39">
        <v>16768</v>
      </c>
      <c r="O566" s="38">
        <v>0.52280000000000004</v>
      </c>
      <c r="P566" s="39">
        <v>1.45</v>
      </c>
      <c r="Q566" s="39">
        <v>1.42</v>
      </c>
      <c r="R566" s="38">
        <v>0.64270000000000005</v>
      </c>
      <c r="S566" s="40">
        <v>19</v>
      </c>
      <c r="T566" s="39">
        <v>0.91</v>
      </c>
      <c r="U566" s="39">
        <v>1.04</v>
      </c>
      <c r="V566" s="39">
        <v>1.0900000000000001</v>
      </c>
      <c r="W566" s="38">
        <v>0.83819999999999995</v>
      </c>
      <c r="X566" s="39">
        <v>13.66</v>
      </c>
      <c r="Y566" s="41">
        <v>292734.65520822699</v>
      </c>
      <c r="Z566" s="39">
        <v>7686</v>
      </c>
      <c r="AA566" s="39">
        <v>3.68494940979688</v>
      </c>
    </row>
    <row r="567" spans="1:27" x14ac:dyDescent="0.25">
      <c r="A567" s="7" t="str">
        <f t="shared" si="8"/>
        <v>3527Providence Portland Medical Center121252261720, 52261704 SURGICAL UNIT - 4th Floor</v>
      </c>
      <c r="B567" s="7"/>
      <c r="C567" s="29" t="s">
        <v>1249</v>
      </c>
      <c r="D567" s="29" t="s">
        <v>1249</v>
      </c>
      <c r="E567" s="29" t="s">
        <v>1249</v>
      </c>
      <c r="F567" s="29">
        <v>3527</v>
      </c>
      <c r="G567" s="4" t="s">
        <v>1389</v>
      </c>
      <c r="H567" s="5">
        <v>1212</v>
      </c>
      <c r="I567" s="4" t="s">
        <v>160</v>
      </c>
      <c r="J567" s="4" t="s">
        <v>23</v>
      </c>
      <c r="K567" s="4" t="s">
        <v>1427</v>
      </c>
      <c r="L567" s="4" t="s">
        <v>74</v>
      </c>
      <c r="M567" s="39">
        <v>10526.8</v>
      </c>
      <c r="N567" s="39">
        <v>12005</v>
      </c>
      <c r="O567" s="38">
        <v>0.55559999999999998</v>
      </c>
      <c r="P567" s="39">
        <v>10.02</v>
      </c>
      <c r="Q567" s="39">
        <v>10.53</v>
      </c>
      <c r="R567" s="38">
        <v>0.58819999999999995</v>
      </c>
      <c r="S567" s="40">
        <v>19</v>
      </c>
      <c r="T567" s="39">
        <v>9.8699999999999992</v>
      </c>
      <c r="U567" s="39">
        <v>9.9700000000000006</v>
      </c>
      <c r="V567" s="39">
        <v>10.42</v>
      </c>
      <c r="W567" s="38">
        <v>0.90439999999999998</v>
      </c>
      <c r="X567" s="39">
        <v>67.209999999999994</v>
      </c>
      <c r="Y567" s="41">
        <v>352295.76152795297</v>
      </c>
      <c r="Z567" s="39">
        <v>7838</v>
      </c>
      <c r="AA567" s="39">
        <v>3.75805663985525</v>
      </c>
    </row>
    <row r="568" spans="1:27" x14ac:dyDescent="0.25">
      <c r="A568" s="7" t="str">
        <f t="shared" si="8"/>
        <v>3527Providence Portland Medical Center521152284400, ENVIRONMENTAL SERVICES</v>
      </c>
      <c r="B568" s="7"/>
      <c r="C568" s="29" t="s">
        <v>1249</v>
      </c>
      <c r="D568" s="29" t="s">
        <v>1249</v>
      </c>
      <c r="E568" s="29" t="s">
        <v>1249</v>
      </c>
      <c r="F568" s="89">
        <v>3527</v>
      </c>
      <c r="G568" s="43" t="s">
        <v>1389</v>
      </c>
      <c r="H568" s="42">
        <v>5211</v>
      </c>
      <c r="I568" s="43" t="s">
        <v>50</v>
      </c>
      <c r="J568" s="43" t="s">
        <v>50</v>
      </c>
      <c r="K568" s="43" t="s">
        <v>1429</v>
      </c>
      <c r="L568" s="43" t="s">
        <v>51</v>
      </c>
      <c r="M568" s="46">
        <v>887.71</v>
      </c>
      <c r="N568" s="46">
        <v>887.71</v>
      </c>
      <c r="O568" s="45">
        <v>0.52629999999999999</v>
      </c>
      <c r="P568" s="46">
        <v>204.82</v>
      </c>
      <c r="Q568" s="46">
        <f>190462.8/N568</f>
        <v>214.55520383909158</v>
      </c>
      <c r="R568" s="45">
        <v>0.36840000000000001</v>
      </c>
      <c r="S568" s="47">
        <v>20</v>
      </c>
      <c r="T568" s="46">
        <v>174.68</v>
      </c>
      <c r="U568" s="46">
        <v>184.44</v>
      </c>
      <c r="V568" s="46">
        <v>209.25</v>
      </c>
      <c r="W568" s="45">
        <v>0.87719999999999998</v>
      </c>
      <c r="X568" s="46">
        <v>90.02</v>
      </c>
      <c r="Y568" s="48">
        <f>16.31*Z568</f>
        <v>497063.93930232525</v>
      </c>
      <c r="Z568" s="85">
        <f>SUM((Q568-U568)*N568)/W568</f>
        <v>30476.023255813936</v>
      </c>
      <c r="AA568" s="46">
        <f>+Z568/2085.7</f>
        <v>14.611892053418007</v>
      </c>
    </row>
    <row r="569" spans="1:27" x14ac:dyDescent="0.25">
      <c r="A569" s="7" t="str">
        <f t="shared" si="8"/>
        <v>3527Providence Portland Medical Center127252263805, POST PARTUM - 3G</v>
      </c>
      <c r="B569" s="7"/>
      <c r="C569" s="29" t="s">
        <v>1249</v>
      </c>
      <c r="D569" s="29" t="s">
        <v>1249</v>
      </c>
      <c r="E569" s="29" t="s">
        <v>1249</v>
      </c>
      <c r="F569" s="29">
        <v>3527</v>
      </c>
      <c r="G569" s="4" t="s">
        <v>1389</v>
      </c>
      <c r="H569" s="5">
        <v>1272</v>
      </c>
      <c r="I569" s="4" t="s">
        <v>112</v>
      </c>
      <c r="J569" s="4" t="s">
        <v>23</v>
      </c>
      <c r="K569" s="4" t="s">
        <v>1431</v>
      </c>
      <c r="L569" s="4" t="s">
        <v>74</v>
      </c>
      <c r="M569" s="39">
        <v>9059.1200000000008</v>
      </c>
      <c r="N569" s="39">
        <v>8682</v>
      </c>
      <c r="O569" s="38">
        <v>0.47370000000000001</v>
      </c>
      <c r="P569" s="39">
        <v>7.14</v>
      </c>
      <c r="Q569" s="39">
        <v>6.85</v>
      </c>
      <c r="R569" s="38">
        <v>0.21049999999999999</v>
      </c>
      <c r="S569" s="40">
        <v>20</v>
      </c>
      <c r="T569" s="39">
        <v>7.31</v>
      </c>
      <c r="U569" s="39">
        <v>7.53</v>
      </c>
      <c r="V569" s="39">
        <v>7.93</v>
      </c>
      <c r="W569" s="38">
        <v>0.88780000000000003</v>
      </c>
      <c r="X569" s="39">
        <v>32.19</v>
      </c>
      <c r="Y569" s="41">
        <v>-323201.04814658302</v>
      </c>
      <c r="Z569" s="39">
        <v>-6499</v>
      </c>
      <c r="AA569" s="39">
        <v>-3.1159397603844501</v>
      </c>
    </row>
    <row r="570" spans="1:27" x14ac:dyDescent="0.25">
      <c r="A570" s="7" t="str">
        <f t="shared" si="8"/>
        <v>3527Providence Portland Medical Center423052275700, CARDIOVASCULAR LAB</v>
      </c>
      <c r="B570" s="7"/>
      <c r="C570" s="29" t="s">
        <v>1249</v>
      </c>
      <c r="D570" s="29" t="s">
        <v>1249</v>
      </c>
      <c r="E570" s="29" t="s">
        <v>1249</v>
      </c>
      <c r="F570" s="29">
        <v>3527</v>
      </c>
      <c r="G570" s="4" t="s">
        <v>1389</v>
      </c>
      <c r="H570" s="5">
        <v>4230</v>
      </c>
      <c r="I570" s="4" t="s">
        <v>96</v>
      </c>
      <c r="J570" s="4" t="s">
        <v>60</v>
      </c>
      <c r="K570" s="4" t="s">
        <v>1430</v>
      </c>
      <c r="L570" s="4" t="s">
        <v>97</v>
      </c>
      <c r="M570" s="39">
        <v>299135</v>
      </c>
      <c r="N570" s="39">
        <v>310806</v>
      </c>
      <c r="O570" s="38">
        <v>0.47370000000000001</v>
      </c>
      <c r="P570" s="39">
        <v>0.15</v>
      </c>
      <c r="Q570" s="39">
        <v>0.14000000000000001</v>
      </c>
      <c r="R570" s="38">
        <v>0.4</v>
      </c>
      <c r="S570" s="40">
        <v>20</v>
      </c>
      <c r="T570" s="39">
        <v>0.13</v>
      </c>
      <c r="U570" s="39">
        <v>0.14000000000000001</v>
      </c>
      <c r="V570" s="39">
        <v>0.15</v>
      </c>
      <c r="W570" s="38">
        <v>0.88480000000000003</v>
      </c>
      <c r="X570" s="39">
        <v>24.01</v>
      </c>
      <c r="Y570" s="41">
        <v>41519.2255129615</v>
      </c>
      <c r="Z570" s="39">
        <v>899</v>
      </c>
      <c r="AA570" s="39">
        <v>0.43126645396651903</v>
      </c>
    </row>
    <row r="571" spans="1:27" x14ac:dyDescent="0.25">
      <c r="A571" s="7" t="str">
        <f t="shared" si="8"/>
        <v>3527Providence Portland Medical Center111052261731, SURGICAL ONCOLOGY - 7S</v>
      </c>
      <c r="B571" s="7"/>
      <c r="C571" s="29" t="s">
        <v>1249</v>
      </c>
      <c r="D571" s="29" t="s">
        <v>1249</v>
      </c>
      <c r="E571" s="29" t="s">
        <v>1249</v>
      </c>
      <c r="F571" s="29">
        <v>3527</v>
      </c>
      <c r="G571" s="4" t="s">
        <v>1389</v>
      </c>
      <c r="H571" s="5">
        <v>1110</v>
      </c>
      <c r="I571" s="4" t="s">
        <v>111</v>
      </c>
      <c r="J571" s="4" t="s">
        <v>23</v>
      </c>
      <c r="K571" s="4" t="s">
        <v>1434</v>
      </c>
      <c r="L571" s="4" t="s">
        <v>74</v>
      </c>
      <c r="M571" s="39">
        <v>7849.42</v>
      </c>
      <c r="N571" s="39">
        <v>7738</v>
      </c>
      <c r="O571" s="38">
        <v>0.6</v>
      </c>
      <c r="P571" s="39">
        <v>10.1</v>
      </c>
      <c r="Q571" s="39">
        <v>10.47</v>
      </c>
      <c r="R571" s="38">
        <v>0.15790000000000001</v>
      </c>
      <c r="S571" s="40">
        <v>21</v>
      </c>
      <c r="T571" s="39">
        <v>11.34</v>
      </c>
      <c r="U571" s="39">
        <v>11.48</v>
      </c>
      <c r="V571" s="39">
        <v>11.78</v>
      </c>
      <c r="W571" s="38">
        <v>0.89749999999999996</v>
      </c>
      <c r="X571" s="39">
        <v>43.39</v>
      </c>
      <c r="Y571" s="41">
        <v>-388002.83366221201</v>
      </c>
      <c r="Z571" s="39">
        <v>-8479</v>
      </c>
      <c r="AA571" s="39">
        <v>-4.0652553981128703</v>
      </c>
    </row>
    <row r="572" spans="1:27" x14ac:dyDescent="0.25">
      <c r="A572" s="7" t="str">
        <f t="shared" si="8"/>
        <v>3527Providence Portland Medical Center339052275400, BLOOD BANK</v>
      </c>
      <c r="B572" s="7"/>
      <c r="C572" s="29" t="s">
        <v>1249</v>
      </c>
      <c r="D572" s="29" t="s">
        <v>1249</v>
      </c>
      <c r="E572" s="29" t="s">
        <v>1249</v>
      </c>
      <c r="F572" s="29">
        <v>3527</v>
      </c>
      <c r="G572" s="4" t="s">
        <v>1389</v>
      </c>
      <c r="H572" s="5">
        <v>3390</v>
      </c>
      <c r="I572" s="4" t="s">
        <v>831</v>
      </c>
      <c r="J572" s="4" t="s">
        <v>53</v>
      </c>
      <c r="K572" s="4" t="s">
        <v>1433</v>
      </c>
      <c r="L572" s="4" t="s">
        <v>94</v>
      </c>
      <c r="M572" s="39">
        <v>529.28</v>
      </c>
      <c r="N572" s="39">
        <v>522.74</v>
      </c>
      <c r="O572" s="38">
        <v>0.5</v>
      </c>
      <c r="P572" s="39">
        <v>22.41</v>
      </c>
      <c r="Q572" s="39">
        <v>21</v>
      </c>
      <c r="R572" s="38">
        <v>0.35</v>
      </c>
      <c r="S572" s="40">
        <v>21</v>
      </c>
      <c r="T572" s="39">
        <v>19.38</v>
      </c>
      <c r="U572" s="39">
        <v>21</v>
      </c>
      <c r="V572" s="39">
        <v>23.39</v>
      </c>
      <c r="W572" s="38">
        <v>0.8841</v>
      </c>
      <c r="X572" s="39">
        <v>5.97</v>
      </c>
      <c r="Y572" s="41">
        <v>1132.4253978018</v>
      </c>
      <c r="Z572" s="39">
        <v>35</v>
      </c>
      <c r="AA572" s="39">
        <v>1.6781858184398101E-2</v>
      </c>
    </row>
    <row r="573" spans="1:27" x14ac:dyDescent="0.25">
      <c r="A573" s="7" t="str">
        <f t="shared" si="8"/>
        <v>3527Providence Portland Medical Center581052205810, SOCIAL WORK SVCS (U,N)</v>
      </c>
      <c r="B573" s="7"/>
      <c r="C573" s="29" t="s">
        <v>1249</v>
      </c>
      <c r="D573" s="29" t="s">
        <v>1249</v>
      </c>
      <c r="E573" s="29" t="s">
        <v>1249</v>
      </c>
      <c r="F573" s="29">
        <v>3527</v>
      </c>
      <c r="G573" s="4" t="s">
        <v>1389</v>
      </c>
      <c r="H573" s="5">
        <v>5810</v>
      </c>
      <c r="I573" s="4" t="s">
        <v>133</v>
      </c>
      <c r="J573" s="4" t="s">
        <v>26</v>
      </c>
      <c r="K573" s="4" t="s">
        <v>1432</v>
      </c>
      <c r="L573" s="4" t="s">
        <v>134</v>
      </c>
      <c r="M573" s="39">
        <v>802</v>
      </c>
      <c r="N573" s="39">
        <v>15373</v>
      </c>
      <c r="O573" s="38">
        <v>0.49159999999999998</v>
      </c>
      <c r="P573" s="39">
        <v>17.399999999999999</v>
      </c>
      <c r="Q573" s="39">
        <v>0.86</v>
      </c>
      <c r="R573" s="38">
        <v>0.39960000000000001</v>
      </c>
      <c r="S573" s="40">
        <v>21</v>
      </c>
      <c r="T573" s="39">
        <v>0.69</v>
      </c>
      <c r="U573" s="39">
        <v>0.8</v>
      </c>
      <c r="V573" s="39">
        <v>0.97</v>
      </c>
      <c r="W573" s="38">
        <v>0.88970000000000005</v>
      </c>
      <c r="X573" s="39">
        <v>7.12</v>
      </c>
      <c r="Y573" s="41">
        <v>36761.9607710419</v>
      </c>
      <c r="Z573" s="39">
        <v>1027</v>
      </c>
      <c r="AA573" s="39">
        <v>0.49244741159835198</v>
      </c>
    </row>
    <row r="574" spans="1:27" x14ac:dyDescent="0.25">
      <c r="A574" s="7" t="str">
        <f t="shared" si="8"/>
        <v>3527Providence Portland Medical Center464052276410, OUTPATIENT TRANSFUSION</v>
      </c>
      <c r="B574" s="7"/>
      <c r="C574" s="29" t="s">
        <v>1249</v>
      </c>
      <c r="D574" s="29" t="s">
        <v>1249</v>
      </c>
      <c r="E574" s="29" t="s">
        <v>1249</v>
      </c>
      <c r="F574" s="29">
        <v>3527</v>
      </c>
      <c r="G574" s="4" t="s">
        <v>1389</v>
      </c>
      <c r="H574" s="5">
        <v>4640</v>
      </c>
      <c r="I574" s="4" t="s">
        <v>82</v>
      </c>
      <c r="J574" s="4" t="s">
        <v>83</v>
      </c>
      <c r="K574" s="4" t="s">
        <v>1436</v>
      </c>
      <c r="L574" s="4" t="s">
        <v>84</v>
      </c>
      <c r="M574" s="39">
        <v>4906</v>
      </c>
      <c r="N574" s="39">
        <v>6586</v>
      </c>
      <c r="O574" s="38">
        <v>0.59089999999999998</v>
      </c>
      <c r="P574" s="39">
        <v>2.1</v>
      </c>
      <c r="Q574" s="39">
        <v>2</v>
      </c>
      <c r="R574" s="38">
        <v>0.57140000000000002</v>
      </c>
      <c r="S574" s="40">
        <v>23</v>
      </c>
      <c r="T574" s="39">
        <v>1.51</v>
      </c>
      <c r="U574" s="39">
        <v>1.66</v>
      </c>
      <c r="V574" s="39">
        <v>1.95</v>
      </c>
      <c r="W574" s="38">
        <v>0.88690000000000002</v>
      </c>
      <c r="X574" s="39">
        <v>7.14</v>
      </c>
      <c r="Y574" s="41">
        <v>133120.68158608099</v>
      </c>
      <c r="Z574" s="39">
        <v>2565</v>
      </c>
      <c r="AA574" s="39">
        <v>1.2297844750134099</v>
      </c>
    </row>
    <row r="575" spans="1:27" x14ac:dyDescent="0.25">
      <c r="A575" s="7" t="str">
        <f t="shared" si="8"/>
        <v>3527Providence Portland Medical Center341152276300 52276303, DIAGNOSTIC IMAGING</v>
      </c>
      <c r="B575" s="7"/>
      <c r="C575" s="29" t="s">
        <v>1249</v>
      </c>
      <c r="D575" s="29" t="s">
        <v>1249</v>
      </c>
      <c r="E575" s="29" t="s">
        <v>1249</v>
      </c>
      <c r="F575" s="29">
        <v>3527</v>
      </c>
      <c r="G575" s="4" t="s">
        <v>1389</v>
      </c>
      <c r="H575" s="5">
        <v>3411</v>
      </c>
      <c r="I575" s="4" t="s">
        <v>117</v>
      </c>
      <c r="J575" s="4" t="s">
        <v>57</v>
      </c>
      <c r="K575" s="4" t="s">
        <v>1435</v>
      </c>
      <c r="L575" s="4" t="s">
        <v>99</v>
      </c>
      <c r="M575" s="39">
        <v>100397.14</v>
      </c>
      <c r="N575" s="39">
        <v>92388.3</v>
      </c>
      <c r="O575" s="38">
        <v>0.59089999999999998</v>
      </c>
      <c r="P575" s="39">
        <v>0.64</v>
      </c>
      <c r="Q575" s="39">
        <v>0.72</v>
      </c>
      <c r="R575" s="38">
        <v>0.89470000000000005</v>
      </c>
      <c r="S575" s="40">
        <v>23</v>
      </c>
      <c r="T575" s="39">
        <v>0.6</v>
      </c>
      <c r="U575" s="39">
        <v>0.61</v>
      </c>
      <c r="V575" s="39">
        <v>0.64</v>
      </c>
      <c r="W575" s="38">
        <v>0.88490000000000002</v>
      </c>
      <c r="X575" s="39">
        <v>36.119999999999997</v>
      </c>
      <c r="Y575" s="41">
        <v>373937.33055257</v>
      </c>
      <c r="Z575" s="39">
        <v>11648</v>
      </c>
      <c r="AA575" s="39">
        <v>5.5847995934929502</v>
      </c>
    </row>
    <row r="576" spans="1:27" x14ac:dyDescent="0.25">
      <c r="A576" s="7" t="str">
        <f t="shared" si="8"/>
        <v>3527Providence Portland Medical Center431052204310, EEG (U,N)</v>
      </c>
      <c r="B576" s="7"/>
      <c r="C576" s="29" t="s">
        <v>1249</v>
      </c>
      <c r="D576" s="29" t="s">
        <v>1249</v>
      </c>
      <c r="E576" s="29" t="s">
        <v>1249</v>
      </c>
      <c r="F576" s="29">
        <v>3527</v>
      </c>
      <c r="G576" s="4" t="s">
        <v>1389</v>
      </c>
      <c r="H576" s="5">
        <v>4310</v>
      </c>
      <c r="I576" s="4" t="s">
        <v>115</v>
      </c>
      <c r="J576" s="4" t="s">
        <v>116</v>
      </c>
      <c r="K576" s="4" t="s">
        <v>1438</v>
      </c>
      <c r="L576" s="4" t="s">
        <v>99</v>
      </c>
      <c r="M576" s="39">
        <v>4366.63</v>
      </c>
      <c r="N576" s="39">
        <v>1</v>
      </c>
      <c r="O576" s="7"/>
      <c r="P576" s="39">
        <v>1.08</v>
      </c>
      <c r="Q576" s="39">
        <v>4734.8500000000004</v>
      </c>
      <c r="R576" s="7"/>
      <c r="S576" s="40">
        <v>24</v>
      </c>
      <c r="T576" s="39">
        <v>0.81</v>
      </c>
      <c r="U576" s="39">
        <v>1.06</v>
      </c>
      <c r="V576" s="39">
        <v>1.32</v>
      </c>
      <c r="W576" s="38">
        <v>0.88149999999999995</v>
      </c>
      <c r="X576" s="39">
        <v>2.58</v>
      </c>
      <c r="Y576" s="41">
        <v>188272.19810817501</v>
      </c>
      <c r="Z576" s="39">
        <v>5380</v>
      </c>
      <c r="AA576" s="39">
        <v>2.5794234569948302</v>
      </c>
    </row>
    <row r="577" spans="1:27" x14ac:dyDescent="0.25">
      <c r="A577" s="7" t="str">
        <f t="shared" si="8"/>
        <v>3527Providence Portland Medical Center449052204490, PHARMACY SUPPORT SVCS (U,N)</v>
      </c>
      <c r="B577" s="7"/>
      <c r="C577" s="29" t="s">
        <v>1249</v>
      </c>
      <c r="D577" s="29" t="s">
        <v>1249</v>
      </c>
      <c r="E577" s="29" t="s">
        <v>1249</v>
      </c>
      <c r="F577" s="89">
        <v>3527</v>
      </c>
      <c r="G577" s="43" t="s">
        <v>1389</v>
      </c>
      <c r="H577" s="30">
        <v>4490</v>
      </c>
      <c r="I577" s="43" t="s">
        <v>36</v>
      </c>
      <c r="J577" s="43" t="s">
        <v>37</v>
      </c>
      <c r="K577" s="43" t="s">
        <v>1437</v>
      </c>
      <c r="L577" s="43" t="s">
        <v>39</v>
      </c>
      <c r="M577" s="46">
        <v>64698.94</v>
      </c>
      <c r="N577" s="46">
        <v>63161.84</v>
      </c>
      <c r="O577" s="45">
        <v>0.53779999999999994</v>
      </c>
      <c r="P577" s="46">
        <v>0.37</v>
      </c>
      <c r="Q577" s="46">
        <f>17652.14/N577</f>
        <v>0.27947475881006634</v>
      </c>
      <c r="R577" s="71"/>
      <c r="S577" s="47">
        <v>24</v>
      </c>
      <c r="T577" s="46">
        <v>0.14000000000000001</v>
      </c>
      <c r="U577" s="46">
        <v>0.16</v>
      </c>
      <c r="V577" s="46">
        <v>0.2</v>
      </c>
      <c r="W577" s="45">
        <v>0.91759999999999997</v>
      </c>
      <c r="X577" s="46">
        <v>17.38</v>
      </c>
      <c r="Y577" s="48">
        <f>40.71*Z577</f>
        <v>334794.74539668707</v>
      </c>
      <c r="Z577" s="85">
        <f>SUM((Q577-U577)*N577)/W577</f>
        <v>8223.8945074106377</v>
      </c>
      <c r="AA577" s="46">
        <f>+Z577/2085.7</f>
        <v>3.942990126773092</v>
      </c>
    </row>
    <row r="578" spans="1:27" x14ac:dyDescent="0.25">
      <c r="A578" s="7" t="str">
        <f t="shared" si="8"/>
        <v>3527Providence Portland Medical Center121152261700, MEDICAL_SURGICAL - 5R</v>
      </c>
      <c r="B578" s="7"/>
      <c r="C578" s="29" t="s">
        <v>1249</v>
      </c>
      <c r="D578" s="29" t="s">
        <v>1249</v>
      </c>
      <c r="E578" s="29" t="s">
        <v>1249</v>
      </c>
      <c r="F578" s="29">
        <v>3527</v>
      </c>
      <c r="G578" s="4" t="s">
        <v>1389</v>
      </c>
      <c r="H578" s="5">
        <v>1211</v>
      </c>
      <c r="I578" s="4" t="s">
        <v>161</v>
      </c>
      <c r="J578" s="4" t="s">
        <v>23</v>
      </c>
      <c r="K578" s="4" t="s">
        <v>1439</v>
      </c>
      <c r="L578" s="4" t="s">
        <v>74</v>
      </c>
      <c r="M578" s="39">
        <v>8179.42</v>
      </c>
      <c r="N578" s="39">
        <v>8702</v>
      </c>
      <c r="O578" s="38">
        <v>0.53</v>
      </c>
      <c r="P578" s="39">
        <v>9.9700000000000006</v>
      </c>
      <c r="Q578" s="39">
        <v>10.42</v>
      </c>
      <c r="R578" s="38">
        <v>0.55449999999999999</v>
      </c>
      <c r="S578" s="40">
        <v>25</v>
      </c>
      <c r="T578" s="39">
        <v>9.94</v>
      </c>
      <c r="U578" s="39">
        <v>10.06</v>
      </c>
      <c r="V578" s="39">
        <v>10.210000000000001</v>
      </c>
      <c r="W578" s="38">
        <v>0.89629999999999999</v>
      </c>
      <c r="X578" s="39">
        <v>48.66</v>
      </c>
      <c r="Y578" s="41">
        <v>167316.99366666601</v>
      </c>
      <c r="Z578" s="39">
        <v>3820</v>
      </c>
      <c r="AA578" s="39">
        <v>1.83133013701076</v>
      </c>
    </row>
    <row r="579" spans="1:27" x14ac:dyDescent="0.25">
      <c r="A579" s="7" t="str">
        <f t="shared" ref="A579:A642" si="9">F579&amp;G579&amp;H579&amp;K579</f>
        <v>3527Providence Portland Medical Center124052261770, ORTHOPEDICS - 8N</v>
      </c>
      <c r="B579" s="7"/>
      <c r="C579" s="29" t="s">
        <v>1249</v>
      </c>
      <c r="D579" s="29" t="s">
        <v>1249</v>
      </c>
      <c r="E579" s="29" t="s">
        <v>1249</v>
      </c>
      <c r="F579" s="29">
        <v>3527</v>
      </c>
      <c r="G579" s="4" t="s">
        <v>1389</v>
      </c>
      <c r="H579" s="5">
        <v>1240</v>
      </c>
      <c r="I579" s="4" t="s">
        <v>110</v>
      </c>
      <c r="J579" s="4" t="s">
        <v>23</v>
      </c>
      <c r="K579" s="4" t="s">
        <v>1441</v>
      </c>
      <c r="L579" s="4" t="s">
        <v>74</v>
      </c>
      <c r="M579" s="39">
        <v>6546.29</v>
      </c>
      <c r="N579" s="39">
        <v>6942</v>
      </c>
      <c r="O579" s="38">
        <v>0.6</v>
      </c>
      <c r="P579" s="39">
        <v>9.6199999999999992</v>
      </c>
      <c r="Q579" s="39">
        <v>9.7100000000000009</v>
      </c>
      <c r="R579" s="38">
        <v>0</v>
      </c>
      <c r="S579" s="40">
        <v>26</v>
      </c>
      <c r="T579" s="39">
        <v>10.57</v>
      </c>
      <c r="U579" s="39">
        <v>10.79</v>
      </c>
      <c r="V579" s="39">
        <v>11.43</v>
      </c>
      <c r="W579" s="38">
        <v>0.89170000000000005</v>
      </c>
      <c r="X579" s="39">
        <v>36.340000000000003</v>
      </c>
      <c r="Y579" s="41">
        <v>-381572.64014371799</v>
      </c>
      <c r="Z579" s="39">
        <v>-8207</v>
      </c>
      <c r="AA579" s="39">
        <v>-3.9349904615701998</v>
      </c>
    </row>
    <row r="580" spans="1:27" x14ac:dyDescent="0.25">
      <c r="A580" s="7" t="str">
        <f t="shared" si="9"/>
        <v>3527Providence Portland Medical Center487252270811, GRESHAM REHAB</v>
      </c>
      <c r="B580" s="7"/>
      <c r="C580" s="29" t="s">
        <v>1249</v>
      </c>
      <c r="D580" s="29" t="s">
        <v>1249</v>
      </c>
      <c r="E580" s="29" t="s">
        <v>1249</v>
      </c>
      <c r="F580" s="29">
        <v>3527</v>
      </c>
      <c r="G580" s="4" t="s">
        <v>1389</v>
      </c>
      <c r="H580" s="5">
        <v>4872</v>
      </c>
      <c r="I580" s="4" t="s">
        <v>197</v>
      </c>
      <c r="J580" s="4" t="s">
        <v>41</v>
      </c>
      <c r="K580" s="4" t="s">
        <v>1440</v>
      </c>
      <c r="L580" s="4" t="s">
        <v>79</v>
      </c>
      <c r="M580" s="39">
        <v>586.83000000000004</v>
      </c>
      <c r="N580" s="39">
        <v>709.73</v>
      </c>
      <c r="O580" s="38">
        <v>0.56000000000000005</v>
      </c>
      <c r="P580" s="39">
        <v>23.44</v>
      </c>
      <c r="Q580" s="39">
        <v>20.59</v>
      </c>
      <c r="R580" s="38">
        <v>0.16669999999999999</v>
      </c>
      <c r="S580" s="40">
        <v>26</v>
      </c>
      <c r="T580" s="39">
        <v>22.12</v>
      </c>
      <c r="U580" s="39">
        <v>22.63</v>
      </c>
      <c r="V580" s="39">
        <v>24.77</v>
      </c>
      <c r="W580" s="38">
        <v>0.89170000000000005</v>
      </c>
      <c r="X580" s="39">
        <v>7.88</v>
      </c>
      <c r="Y580" s="41">
        <v>-53807.572951944298</v>
      </c>
      <c r="Z580" s="39">
        <v>-1577</v>
      </c>
      <c r="AA580" s="39">
        <v>-0.755890146904588</v>
      </c>
    </row>
    <row r="581" spans="1:27" x14ac:dyDescent="0.25">
      <c r="A581" s="7" t="str">
        <f t="shared" si="9"/>
        <v>3527Providence Portland Medical Center451052277400, HEMODIALYSIS</v>
      </c>
      <c r="B581" s="7"/>
      <c r="C581" s="29" t="s">
        <v>1249</v>
      </c>
      <c r="D581" s="29" t="s">
        <v>1249</v>
      </c>
      <c r="E581" s="29" t="s">
        <v>1249</v>
      </c>
      <c r="F581" s="29">
        <v>3527</v>
      </c>
      <c r="G581" s="4" t="s">
        <v>1389</v>
      </c>
      <c r="H581" s="5">
        <v>4510</v>
      </c>
      <c r="I581" s="4" t="s">
        <v>101</v>
      </c>
      <c r="J581" s="4" t="s">
        <v>102</v>
      </c>
      <c r="K581" s="4" t="s">
        <v>1445</v>
      </c>
      <c r="L581" s="4" t="s">
        <v>103</v>
      </c>
      <c r="M581" s="39">
        <v>2406</v>
      </c>
      <c r="N581" s="39">
        <v>2672</v>
      </c>
      <c r="O581" s="38">
        <v>0.5</v>
      </c>
      <c r="P581" s="39">
        <v>4.87</v>
      </c>
      <c r="Q581" s="39">
        <v>4.54</v>
      </c>
      <c r="R581" s="38">
        <v>0.38100000000000001</v>
      </c>
      <c r="S581" s="40">
        <v>27</v>
      </c>
      <c r="T581" s="39">
        <v>3.95</v>
      </c>
      <c r="U581" s="39">
        <v>4.5199999999999996</v>
      </c>
      <c r="V581" s="39">
        <v>4.7</v>
      </c>
      <c r="W581" s="38">
        <v>0.86629999999999996</v>
      </c>
      <c r="X581" s="39">
        <v>6.74</v>
      </c>
      <c r="Y581" s="41">
        <v>5872.0580904811604</v>
      </c>
      <c r="Z581" s="39">
        <v>116</v>
      </c>
      <c r="AA581" s="39">
        <v>5.5718473676537698E-2</v>
      </c>
    </row>
    <row r="582" spans="1:27" x14ac:dyDescent="0.25">
      <c r="A582" s="7" t="str">
        <f t="shared" si="9"/>
        <v>3527Providence Portland Medical Center141052264400, REHAB - 4K</v>
      </c>
      <c r="B582" s="7"/>
      <c r="C582" s="29" t="s">
        <v>1249</v>
      </c>
      <c r="D582" s="29" t="s">
        <v>1249</v>
      </c>
      <c r="E582" s="29" t="s">
        <v>1249</v>
      </c>
      <c r="F582" s="29">
        <v>3527</v>
      </c>
      <c r="G582" s="4" t="s">
        <v>1389</v>
      </c>
      <c r="H582" s="5">
        <v>1410</v>
      </c>
      <c r="I582" s="4" t="s">
        <v>113</v>
      </c>
      <c r="J582" s="4" t="s">
        <v>23</v>
      </c>
      <c r="K582" s="4" t="s">
        <v>1444</v>
      </c>
      <c r="L582" s="4" t="s">
        <v>74</v>
      </c>
      <c r="M582" s="39">
        <v>4532</v>
      </c>
      <c r="N582" s="39">
        <v>4899</v>
      </c>
      <c r="O582" s="38">
        <v>0.57689999999999997</v>
      </c>
      <c r="P582" s="39">
        <v>8.5399999999999991</v>
      </c>
      <c r="Q582" s="39">
        <v>8.7200000000000006</v>
      </c>
      <c r="R582" s="38">
        <v>0.4</v>
      </c>
      <c r="S582" s="40">
        <v>27</v>
      </c>
      <c r="T582" s="39">
        <v>8.58</v>
      </c>
      <c r="U582" s="39">
        <v>8.68</v>
      </c>
      <c r="V582" s="39">
        <v>9.5500000000000007</v>
      </c>
      <c r="W582" s="38">
        <v>0.8982</v>
      </c>
      <c r="X582" s="39">
        <v>22.87</v>
      </c>
      <c r="Y582" s="41">
        <v>16763.883292681301</v>
      </c>
      <c r="Z582" s="39">
        <v>357</v>
      </c>
      <c r="AA582" s="39">
        <v>0.171232693447816</v>
      </c>
    </row>
    <row r="583" spans="1:27" x14ac:dyDescent="0.25">
      <c r="A583" s="7" t="str">
        <f t="shared" si="9"/>
        <v>3527Providence Portland Medical Center344052276390, MAMMOGRAPHY</v>
      </c>
      <c r="B583" s="7"/>
      <c r="C583" s="29" t="s">
        <v>1249</v>
      </c>
      <c r="D583" s="29" t="s">
        <v>1249</v>
      </c>
      <c r="E583" s="29" t="s">
        <v>1249</v>
      </c>
      <c r="F583" s="29">
        <v>3527</v>
      </c>
      <c r="G583" s="4" t="s">
        <v>1389</v>
      </c>
      <c r="H583" s="5">
        <v>3440</v>
      </c>
      <c r="I583" s="4" t="s">
        <v>119</v>
      </c>
      <c r="J583" s="4" t="s">
        <v>57</v>
      </c>
      <c r="K583" s="4" t="s">
        <v>1443</v>
      </c>
      <c r="L583" s="4" t="s">
        <v>99</v>
      </c>
      <c r="M583" s="39">
        <v>22493.8</v>
      </c>
      <c r="N583" s="39">
        <v>28823.03</v>
      </c>
      <c r="O583" s="38">
        <v>0.57689999999999997</v>
      </c>
      <c r="P583" s="39">
        <v>0.77</v>
      </c>
      <c r="Q583" s="39">
        <v>0.55000000000000004</v>
      </c>
      <c r="R583" s="38">
        <v>0.42309999999999998</v>
      </c>
      <c r="S583" s="40">
        <v>27</v>
      </c>
      <c r="T583" s="39">
        <v>0.48</v>
      </c>
      <c r="U583" s="39">
        <v>0.51</v>
      </c>
      <c r="V583" s="39">
        <v>0.56999999999999995</v>
      </c>
      <c r="W583" s="38">
        <v>0.86739999999999995</v>
      </c>
      <c r="X583" s="39">
        <v>8.77</v>
      </c>
      <c r="Y583" s="41">
        <v>49643.153701712297</v>
      </c>
      <c r="Z583" s="39">
        <v>1345</v>
      </c>
      <c r="AA583" s="39">
        <v>0.64471597632854705</v>
      </c>
    </row>
    <row r="584" spans="1:27" x14ac:dyDescent="0.25">
      <c r="A584" s="7" t="str">
        <f t="shared" si="9"/>
        <v>3527Providence Portland Medical Center441052277100, 52277111 PHARMACY</v>
      </c>
      <c r="B584" s="7"/>
      <c r="C584" s="29" t="s">
        <v>1249</v>
      </c>
      <c r="D584" s="29" t="s">
        <v>1249</v>
      </c>
      <c r="E584" s="29" t="s">
        <v>1249</v>
      </c>
      <c r="F584" s="89">
        <v>3527</v>
      </c>
      <c r="G584" s="43" t="s">
        <v>1389</v>
      </c>
      <c r="H584" s="30">
        <v>4410</v>
      </c>
      <c r="I584" s="43" t="s">
        <v>37</v>
      </c>
      <c r="J584" s="43" t="s">
        <v>37</v>
      </c>
      <c r="K584" s="43" t="s">
        <v>1442</v>
      </c>
      <c r="L584" s="43" t="s">
        <v>100</v>
      </c>
      <c r="M584" s="46">
        <v>45812.22</v>
      </c>
      <c r="N584" s="46">
        <v>42903.71</v>
      </c>
      <c r="O584" s="45">
        <v>0.46150000000000002</v>
      </c>
      <c r="P584" s="46">
        <v>2.2200000000000002</v>
      </c>
      <c r="Q584" s="46">
        <f>106602.84/N584</f>
        <v>2.4846998080119413</v>
      </c>
      <c r="R584" s="45">
        <v>0.66669999999999996</v>
      </c>
      <c r="S584" s="47">
        <v>27</v>
      </c>
      <c r="T584" s="46">
        <v>2.02</v>
      </c>
      <c r="U584" s="46">
        <v>2.21</v>
      </c>
      <c r="V584" s="46">
        <v>2.35</v>
      </c>
      <c r="W584" s="45">
        <v>0.89090000000000003</v>
      </c>
      <c r="X584" s="46">
        <v>58.86</v>
      </c>
      <c r="Y584" s="48">
        <f>44.64*Z584</f>
        <v>590538.79198114306</v>
      </c>
      <c r="Z584" s="85">
        <f>SUM((Q584-U584)*N584)/W584</f>
        <v>13228.915590975428</v>
      </c>
      <c r="AA584" s="46">
        <f>+Z584/2085.7</f>
        <v>6.342674205770451</v>
      </c>
    </row>
    <row r="585" spans="1:27" x14ac:dyDescent="0.25">
      <c r="A585" s="7" t="str">
        <f t="shared" si="9"/>
        <v>3527Providence Portland Medical Center511152283410, NUTRITION SERVICES</v>
      </c>
      <c r="B585" s="7"/>
      <c r="C585" s="29" t="s">
        <v>1249</v>
      </c>
      <c r="D585" s="29" t="s">
        <v>1249</v>
      </c>
      <c r="E585" s="29" t="s">
        <v>1249</v>
      </c>
      <c r="F585" s="89">
        <v>3527</v>
      </c>
      <c r="G585" s="43" t="s">
        <v>1389</v>
      </c>
      <c r="H585" s="42">
        <v>5111</v>
      </c>
      <c r="I585" s="43" t="s">
        <v>64</v>
      </c>
      <c r="J585" s="43" t="s">
        <v>65</v>
      </c>
      <c r="K585" s="43" t="s">
        <v>1446</v>
      </c>
      <c r="L585" s="43" t="s">
        <v>67</v>
      </c>
      <c r="M585" s="46">
        <v>34103</v>
      </c>
      <c r="N585" s="46">
        <v>34618</v>
      </c>
      <c r="O585" s="45">
        <v>0.62960000000000005</v>
      </c>
      <c r="P585" s="46">
        <v>0.45</v>
      </c>
      <c r="Q585" s="46">
        <v>0.44</v>
      </c>
      <c r="R585" s="45">
        <v>0.62960000000000005</v>
      </c>
      <c r="S585" s="47">
        <v>28</v>
      </c>
      <c r="T585" s="46">
        <v>0.35</v>
      </c>
      <c r="U585" s="46">
        <v>0.37</v>
      </c>
      <c r="V585" s="46">
        <v>0.41</v>
      </c>
      <c r="W585" s="45">
        <v>0.90620000000000001</v>
      </c>
      <c r="X585" s="46">
        <v>8.0500000000000007</v>
      </c>
      <c r="Y585" s="48">
        <v>82399.341019070198</v>
      </c>
      <c r="Z585" s="46">
        <v>2655</v>
      </c>
      <c r="AA585" s="46">
        <v>1.2731511597396099</v>
      </c>
    </row>
    <row r="586" spans="1:27" x14ac:dyDescent="0.25">
      <c r="A586" s="7" t="str">
        <f t="shared" si="9"/>
        <v>3527Providence Portland Medical Center201052270100, 52270101 EMERGENCY SERVICES</v>
      </c>
      <c r="B586" s="7"/>
      <c r="C586" s="29" t="s">
        <v>1249</v>
      </c>
      <c r="D586" s="29" t="s">
        <v>1249</v>
      </c>
      <c r="E586" s="29" t="s">
        <v>1249</v>
      </c>
      <c r="F586" s="29">
        <v>3527</v>
      </c>
      <c r="G586" s="4" t="s">
        <v>1389</v>
      </c>
      <c r="H586" s="5">
        <v>2010</v>
      </c>
      <c r="I586" s="4" t="s">
        <v>75</v>
      </c>
      <c r="J586" s="4" t="s">
        <v>76</v>
      </c>
      <c r="K586" s="4" t="s">
        <v>1447</v>
      </c>
      <c r="L586" s="4" t="s">
        <v>77</v>
      </c>
      <c r="M586" s="39">
        <v>65518</v>
      </c>
      <c r="N586" s="39">
        <v>66464</v>
      </c>
      <c r="O586" s="38">
        <v>0.53569999999999995</v>
      </c>
      <c r="P586" s="39">
        <v>2.91</v>
      </c>
      <c r="Q586" s="39">
        <v>3.1</v>
      </c>
      <c r="R586" s="38">
        <v>0.73080000000000001</v>
      </c>
      <c r="S586" s="40">
        <v>29</v>
      </c>
      <c r="T586" s="39">
        <v>2.62</v>
      </c>
      <c r="U586" s="39">
        <v>2.73</v>
      </c>
      <c r="V586" s="39">
        <v>2.82</v>
      </c>
      <c r="W586" s="38">
        <v>0.89600000000000002</v>
      </c>
      <c r="X586" s="39">
        <v>110.49</v>
      </c>
      <c r="Y586" s="41">
        <v>1306105.23497149</v>
      </c>
      <c r="Z586" s="39">
        <v>27942</v>
      </c>
      <c r="AA586" s="39">
        <v>13.3966979910821</v>
      </c>
    </row>
    <row r="587" spans="1:27" x14ac:dyDescent="0.25">
      <c r="A587" s="7" t="str">
        <f t="shared" si="9"/>
        <v>3527Providence Portland Medical Center422052275601, HEART CLINIC ECHO (U)</v>
      </c>
      <c r="B587" s="7"/>
      <c r="C587" s="29" t="s">
        <v>1249</v>
      </c>
      <c r="D587" s="29" t="s">
        <v>1249</v>
      </c>
      <c r="E587" s="29" t="s">
        <v>1249</v>
      </c>
      <c r="F587" s="29">
        <v>3527</v>
      </c>
      <c r="G587" s="4" t="s">
        <v>1389</v>
      </c>
      <c r="H587" s="5">
        <v>4220</v>
      </c>
      <c r="I587" s="4" t="s">
        <v>98</v>
      </c>
      <c r="J587" s="4" t="s">
        <v>60</v>
      </c>
      <c r="K587" s="4" t="s">
        <v>1448</v>
      </c>
      <c r="L587" s="4" t="s">
        <v>99</v>
      </c>
      <c r="M587" s="39">
        <v>14707.14</v>
      </c>
      <c r="N587" s="39">
        <v>28321.35</v>
      </c>
      <c r="O587" s="38">
        <v>0.44650000000000001</v>
      </c>
      <c r="P587" s="39">
        <v>0.27</v>
      </c>
      <c r="Q587" s="39">
        <v>0.15</v>
      </c>
      <c r="R587" s="7"/>
      <c r="S587" s="40">
        <v>29</v>
      </c>
      <c r="T587" s="39">
        <v>0.25</v>
      </c>
      <c r="U587" s="39">
        <v>0.28000000000000003</v>
      </c>
      <c r="V587" s="39">
        <v>0.33</v>
      </c>
      <c r="W587" s="38">
        <v>0.88929999999999998</v>
      </c>
      <c r="X587" s="39">
        <v>2.25</v>
      </c>
      <c r="Y587" s="41">
        <v>-158828.12720384801</v>
      </c>
      <c r="Z587" s="39">
        <v>-4224</v>
      </c>
      <c r="AA587" s="39">
        <v>-2.0253517239993899</v>
      </c>
    </row>
    <row r="588" spans="1:27" x14ac:dyDescent="0.25">
      <c r="A588" s="7" t="str">
        <f t="shared" si="9"/>
        <v>3527Providence Portland Medical Center342052276800 52276801, CTT SCANNER</v>
      </c>
      <c r="B588" s="7"/>
      <c r="C588" s="29" t="s">
        <v>1249</v>
      </c>
      <c r="D588" s="29" t="s">
        <v>1249</v>
      </c>
      <c r="E588" s="29" t="s">
        <v>1249</v>
      </c>
      <c r="F588" s="29">
        <v>3527</v>
      </c>
      <c r="G588" s="4" t="s">
        <v>1389</v>
      </c>
      <c r="H588" s="5">
        <v>3420</v>
      </c>
      <c r="I588" s="4" t="s">
        <v>123</v>
      </c>
      <c r="J588" s="4" t="s">
        <v>57</v>
      </c>
      <c r="K588" s="4" t="s">
        <v>1450</v>
      </c>
      <c r="L588" s="4" t="s">
        <v>99</v>
      </c>
      <c r="M588" s="39">
        <v>100110.91</v>
      </c>
      <c r="N588" s="39">
        <v>100935.53</v>
      </c>
      <c r="O588" s="38">
        <v>0.58620000000000005</v>
      </c>
      <c r="P588" s="39">
        <v>0.27</v>
      </c>
      <c r="Q588" s="39">
        <v>0.27</v>
      </c>
      <c r="R588" s="38">
        <v>0.6552</v>
      </c>
      <c r="S588" s="40">
        <v>30</v>
      </c>
      <c r="T588" s="39">
        <v>0.21</v>
      </c>
      <c r="U588" s="39">
        <v>0.22</v>
      </c>
      <c r="V588" s="39">
        <v>0.25</v>
      </c>
      <c r="W588" s="38">
        <v>0.87690000000000001</v>
      </c>
      <c r="X588" s="39">
        <v>14.93</v>
      </c>
      <c r="Y588" s="41">
        <v>257975.04334345201</v>
      </c>
      <c r="Z588" s="39">
        <v>5816</v>
      </c>
      <c r="AA588" s="39">
        <v>2.7887098644718198</v>
      </c>
    </row>
    <row r="589" spans="1:27" x14ac:dyDescent="0.25">
      <c r="A589" s="7" t="str">
        <f t="shared" si="9"/>
        <v>3527Providence Portland Medical Center123852261730, ONCOLOGY - 7N</v>
      </c>
      <c r="B589" s="7"/>
      <c r="C589" s="29" t="s">
        <v>1249</v>
      </c>
      <c r="D589" s="29" t="s">
        <v>1249</v>
      </c>
      <c r="E589" s="29" t="s">
        <v>1249</v>
      </c>
      <c r="F589" s="29">
        <v>3527</v>
      </c>
      <c r="G589" s="4" t="s">
        <v>1389</v>
      </c>
      <c r="H589" s="5">
        <v>1238</v>
      </c>
      <c r="I589" s="4" t="s">
        <v>148</v>
      </c>
      <c r="J589" s="4" t="s">
        <v>23</v>
      </c>
      <c r="K589" s="4" t="s">
        <v>1449</v>
      </c>
      <c r="L589" s="4" t="s">
        <v>74</v>
      </c>
      <c r="M589" s="39">
        <v>6277.75</v>
      </c>
      <c r="N589" s="39">
        <v>6578</v>
      </c>
      <c r="O589" s="38">
        <v>0.51719999999999999</v>
      </c>
      <c r="P589" s="39">
        <v>10.58</v>
      </c>
      <c r="Q589" s="39">
        <v>11.47</v>
      </c>
      <c r="R589" s="38">
        <v>0.85189999999999999</v>
      </c>
      <c r="S589" s="40">
        <v>30</v>
      </c>
      <c r="T589" s="39">
        <v>9.7899999999999991</v>
      </c>
      <c r="U589" s="39">
        <v>10.25</v>
      </c>
      <c r="V589" s="39">
        <v>10.64</v>
      </c>
      <c r="W589" s="38">
        <v>0.89139999999999997</v>
      </c>
      <c r="X589" s="39">
        <v>40.71</v>
      </c>
      <c r="Y589" s="41">
        <v>426759.69454552501</v>
      </c>
      <c r="Z589" s="39">
        <v>9270</v>
      </c>
      <c r="AA589" s="39">
        <v>4.44453389437819</v>
      </c>
    </row>
    <row r="590" spans="1:27" x14ac:dyDescent="0.25">
      <c r="A590" s="7" t="str">
        <f t="shared" si="9"/>
        <v>3527Providence Portland Medical Center487252270814, GATEWAY REHAB</v>
      </c>
      <c r="B590" s="7"/>
      <c r="C590" s="29" t="s">
        <v>1249</v>
      </c>
      <c r="D590" s="29" t="s">
        <v>1249</v>
      </c>
      <c r="E590" s="29" t="s">
        <v>1249</v>
      </c>
      <c r="F590" s="29">
        <v>3527</v>
      </c>
      <c r="G590" s="4" t="s">
        <v>1389</v>
      </c>
      <c r="H590" s="5">
        <v>4872</v>
      </c>
      <c r="I590" s="4" t="s">
        <v>197</v>
      </c>
      <c r="J590" s="4" t="s">
        <v>41</v>
      </c>
      <c r="K590" s="4" t="s">
        <v>1451</v>
      </c>
      <c r="L590" s="4" t="s">
        <v>79</v>
      </c>
      <c r="M590" s="39">
        <v>572.76</v>
      </c>
      <c r="N590" s="39">
        <v>776.09</v>
      </c>
      <c r="O590" s="38">
        <v>0.5333</v>
      </c>
      <c r="P590" s="39">
        <v>22.73</v>
      </c>
      <c r="Q590" s="39">
        <v>20.16</v>
      </c>
      <c r="R590" s="38">
        <v>0.1071</v>
      </c>
      <c r="S590" s="40">
        <v>31</v>
      </c>
      <c r="T590" s="39">
        <v>22.24</v>
      </c>
      <c r="U590" s="39">
        <v>22.58</v>
      </c>
      <c r="V590" s="39">
        <v>22.91</v>
      </c>
      <c r="W590" s="38">
        <v>0.8871</v>
      </c>
      <c r="X590" s="39">
        <v>8.48</v>
      </c>
      <c r="Y590" s="41">
        <v>-67492.617535756304</v>
      </c>
      <c r="Z590" s="39">
        <v>-2068</v>
      </c>
      <c r="AA590" s="39">
        <v>-0.99134387429218396</v>
      </c>
    </row>
    <row r="591" spans="1:27" x14ac:dyDescent="0.25">
      <c r="A591" s="7" t="str">
        <f t="shared" si="9"/>
        <v>3527Providence Portland Medical Center112252261705, MED SURG TELEMETRY</v>
      </c>
      <c r="B591" s="7"/>
      <c r="C591" s="29" t="s">
        <v>1249</v>
      </c>
      <c r="D591" s="29" t="s">
        <v>1249</v>
      </c>
      <c r="E591" s="29" t="s">
        <v>1249</v>
      </c>
      <c r="F591" s="29">
        <v>3527</v>
      </c>
      <c r="G591" s="4" t="s">
        <v>1389</v>
      </c>
      <c r="H591" s="5">
        <v>1122</v>
      </c>
      <c r="I591" s="4" t="s">
        <v>105</v>
      </c>
      <c r="J591" s="4" t="s">
        <v>23</v>
      </c>
      <c r="K591" s="4" t="s">
        <v>1453</v>
      </c>
      <c r="L591" s="4" t="s">
        <v>74</v>
      </c>
      <c r="M591" s="39">
        <v>5838.42</v>
      </c>
      <c r="N591" s="39">
        <v>6326</v>
      </c>
      <c r="O591" s="38">
        <v>0.42420000000000002</v>
      </c>
      <c r="P591" s="39">
        <v>10.65</v>
      </c>
      <c r="Q591" s="39">
        <v>10.45</v>
      </c>
      <c r="R591" s="38">
        <v>0.18179999999999999</v>
      </c>
      <c r="S591" s="40">
        <v>34</v>
      </c>
      <c r="T591" s="39">
        <v>10.6</v>
      </c>
      <c r="U591" s="39">
        <v>11.17</v>
      </c>
      <c r="V591" s="39">
        <v>11.74</v>
      </c>
      <c r="W591" s="38">
        <v>0.89670000000000005</v>
      </c>
      <c r="X591" s="39">
        <v>35.450000000000003</v>
      </c>
      <c r="Y591" s="41">
        <v>-217488.25308905501</v>
      </c>
      <c r="Z591" s="39">
        <v>-4864</v>
      </c>
      <c r="AA591" s="39">
        <v>-2.3318613378052899</v>
      </c>
    </row>
    <row r="592" spans="1:27" x14ac:dyDescent="0.25">
      <c r="A592" s="7" t="str">
        <f t="shared" si="9"/>
        <v>3527Providence Portland Medical Center401052276420, RADIATION ONCOLOGY</v>
      </c>
      <c r="B592" s="7"/>
      <c r="C592" s="29" t="s">
        <v>1249</v>
      </c>
      <c r="D592" s="29" t="s">
        <v>1249</v>
      </c>
      <c r="E592" s="29" t="s">
        <v>1249</v>
      </c>
      <c r="F592" s="29">
        <v>3527</v>
      </c>
      <c r="G592" s="4" t="s">
        <v>1389</v>
      </c>
      <c r="H592" s="5">
        <v>4010</v>
      </c>
      <c r="I592" s="4" t="s">
        <v>152</v>
      </c>
      <c r="J592" s="4" t="s">
        <v>153</v>
      </c>
      <c r="K592" s="4" t="s">
        <v>1452</v>
      </c>
      <c r="L592" s="4" t="s">
        <v>99</v>
      </c>
      <c r="M592" s="39">
        <v>123276.9</v>
      </c>
      <c r="N592" s="39">
        <v>95226.39</v>
      </c>
      <c r="O592" s="38">
        <v>0.63639999999999997</v>
      </c>
      <c r="P592" s="39">
        <v>0.24</v>
      </c>
      <c r="Q592" s="39">
        <v>0.32</v>
      </c>
      <c r="R592" s="38">
        <v>0.38240000000000002</v>
      </c>
      <c r="S592" s="40">
        <v>34</v>
      </c>
      <c r="T592" s="39">
        <v>0.28000000000000003</v>
      </c>
      <c r="U592" s="39">
        <v>0.31</v>
      </c>
      <c r="V592" s="39">
        <v>0.34</v>
      </c>
      <c r="W592" s="38">
        <v>0.86040000000000005</v>
      </c>
      <c r="X592" s="39">
        <v>16.87</v>
      </c>
      <c r="Y592" s="41">
        <v>40127.973284392101</v>
      </c>
      <c r="Z592" s="39">
        <v>876</v>
      </c>
      <c r="AA592" s="39">
        <v>0.41996707004441403</v>
      </c>
    </row>
    <row r="593" spans="1:27" x14ac:dyDescent="0.25">
      <c r="A593" s="7" t="str">
        <f t="shared" si="9"/>
        <v>3527Providence Portland Medical Center339952203399, LAB SVCS ADMIN AND SUPPORT (U,N)</v>
      </c>
      <c r="B593" s="7"/>
      <c r="C593" s="29" t="s">
        <v>1249</v>
      </c>
      <c r="D593" s="29" t="s">
        <v>1249</v>
      </c>
      <c r="E593" s="29" t="s">
        <v>1249</v>
      </c>
      <c r="F593" s="29">
        <v>3527</v>
      </c>
      <c r="G593" s="4" t="s">
        <v>1389</v>
      </c>
      <c r="H593" s="5">
        <v>3399</v>
      </c>
      <c r="I593" s="4" t="s">
        <v>52</v>
      </c>
      <c r="J593" s="4" t="s">
        <v>53</v>
      </c>
      <c r="K593" s="4" t="s">
        <v>1454</v>
      </c>
      <c r="L593" s="4" t="s">
        <v>55</v>
      </c>
      <c r="M593" s="39">
        <v>10209.56</v>
      </c>
      <c r="N593" s="39">
        <v>9500.1200000000008</v>
      </c>
      <c r="O593" s="38">
        <v>0.56820000000000004</v>
      </c>
      <c r="P593" s="39">
        <v>2.34</v>
      </c>
      <c r="Q593" s="39">
        <v>2.19</v>
      </c>
      <c r="R593" s="38">
        <v>0.72709999999999997</v>
      </c>
      <c r="S593" s="40">
        <v>35</v>
      </c>
      <c r="T593" s="39">
        <v>0.95</v>
      </c>
      <c r="U593" s="39">
        <v>1</v>
      </c>
      <c r="V593" s="39">
        <v>1.29</v>
      </c>
      <c r="W593" s="38">
        <v>0.89429999999999998</v>
      </c>
      <c r="X593" s="39">
        <v>11.19</v>
      </c>
      <c r="Y593" s="41">
        <v>454962.621913179</v>
      </c>
      <c r="Z593" s="39">
        <v>12716</v>
      </c>
      <c r="AA593" s="39">
        <v>6.0967614305881499</v>
      </c>
    </row>
    <row r="594" spans="1:27" x14ac:dyDescent="0.25">
      <c r="A594" s="7" t="str">
        <f t="shared" si="9"/>
        <v>3527Providence Portland Medical Center481252277709, PROVIDENCE DOWNTOWN REHAB</v>
      </c>
      <c r="B594" s="7"/>
      <c r="C594" s="29" t="s">
        <v>1249</v>
      </c>
      <c r="D594" s="29" t="s">
        <v>1249</v>
      </c>
      <c r="E594" s="29" t="s">
        <v>1249</v>
      </c>
      <c r="F594" s="29">
        <v>3527</v>
      </c>
      <c r="G594" s="4" t="s">
        <v>1389</v>
      </c>
      <c r="H594" s="5">
        <v>4812</v>
      </c>
      <c r="I594" s="4" t="s">
        <v>78</v>
      </c>
      <c r="J594" s="4" t="s">
        <v>41</v>
      </c>
      <c r="K594" s="4" t="s">
        <v>1455</v>
      </c>
      <c r="L594" s="4" t="s">
        <v>79</v>
      </c>
      <c r="M594" s="39">
        <v>242.75</v>
      </c>
      <c r="N594" s="39">
        <v>356.43</v>
      </c>
      <c r="O594" s="38">
        <v>0.55559999999999998</v>
      </c>
      <c r="P594" s="39">
        <v>20.83</v>
      </c>
      <c r="Q594" s="39">
        <v>18.420000000000002</v>
      </c>
      <c r="R594" s="38">
        <v>2.86E-2</v>
      </c>
      <c r="S594" s="40">
        <v>37</v>
      </c>
      <c r="T594" s="39">
        <v>20.99</v>
      </c>
      <c r="U594" s="39">
        <v>22.43</v>
      </c>
      <c r="V594" s="39">
        <v>23.14</v>
      </c>
      <c r="W594" s="38">
        <v>0.91969999999999996</v>
      </c>
      <c r="X594" s="39">
        <v>3.43</v>
      </c>
      <c r="Y594" s="41">
        <v>-54479.512130283802</v>
      </c>
      <c r="Z594" s="39">
        <v>-1539</v>
      </c>
      <c r="AA594" s="39">
        <v>-0.73778681637948496</v>
      </c>
    </row>
    <row r="595" spans="1:27" x14ac:dyDescent="0.25">
      <c r="A595" s="7" t="str">
        <f t="shared" si="9"/>
        <v>3527Providence Portland Medical Center303052274300, SHORT STAY SURGICAL UNIT</v>
      </c>
      <c r="B595" s="7"/>
      <c r="C595" s="29" t="s">
        <v>1249</v>
      </c>
      <c r="D595" s="29" t="s">
        <v>1249</v>
      </c>
      <c r="E595" s="29" t="s">
        <v>1249</v>
      </c>
      <c r="F595" s="29">
        <v>3527</v>
      </c>
      <c r="G595" s="4" t="s">
        <v>1389</v>
      </c>
      <c r="H595" s="5">
        <v>3030</v>
      </c>
      <c r="I595" s="4" t="s">
        <v>80</v>
      </c>
      <c r="J595" s="4" t="s">
        <v>47</v>
      </c>
      <c r="K595" s="4" t="s">
        <v>1456</v>
      </c>
      <c r="L595" s="4" t="s">
        <v>81</v>
      </c>
      <c r="M595" s="39">
        <v>29004</v>
      </c>
      <c r="N595" s="39">
        <f>2745444/100</f>
        <v>27454.44</v>
      </c>
      <c r="O595" s="38">
        <v>0.72970000000000002</v>
      </c>
      <c r="P595" s="39">
        <v>1.96</v>
      </c>
      <c r="Q595" s="39">
        <f>67144/N595</f>
        <v>2.4456517780002072</v>
      </c>
      <c r="R595" s="38">
        <v>0.94289999999999996</v>
      </c>
      <c r="S595" s="40">
        <v>38</v>
      </c>
      <c r="T595" s="39">
        <v>2.0099999999999998</v>
      </c>
      <c r="U595" s="39">
        <v>2.14</v>
      </c>
      <c r="V595" s="39">
        <v>2.5099999999999998</v>
      </c>
      <c r="W595" s="38">
        <v>0.86670000000000003</v>
      </c>
      <c r="X595" s="39">
        <v>37.25</v>
      </c>
      <c r="Y595" s="41">
        <f>Z595*50.03</f>
        <v>484396.75199261593</v>
      </c>
      <c r="Z595" s="39">
        <f>SUM((Q595-U595)*N595)/W595</f>
        <v>9682.1257643936824</v>
      </c>
      <c r="AA595" s="39">
        <f>+Z595/2085.7</f>
        <v>4.6421468880441497</v>
      </c>
    </row>
    <row r="596" spans="1:27" x14ac:dyDescent="0.25">
      <c r="A596" s="7" t="str">
        <f t="shared" si="9"/>
        <v>3527Providence Portland Medical Center481252270823, CAMAS REHAB</v>
      </c>
      <c r="B596" s="7"/>
      <c r="C596" s="29" t="s">
        <v>1249</v>
      </c>
      <c r="D596" s="29" t="s">
        <v>1249</v>
      </c>
      <c r="E596" s="29" t="s">
        <v>1249</v>
      </c>
      <c r="F596" s="29">
        <v>3527</v>
      </c>
      <c r="G596" s="4" t="s">
        <v>1389</v>
      </c>
      <c r="H596" s="5">
        <v>4812</v>
      </c>
      <c r="I596" s="4" t="s">
        <v>78</v>
      </c>
      <c r="J596" s="4" t="s">
        <v>41</v>
      </c>
      <c r="K596" s="4" t="s">
        <v>1457</v>
      </c>
      <c r="L596" s="4" t="s">
        <v>79</v>
      </c>
      <c r="M596" s="39">
        <v>186.41</v>
      </c>
      <c r="N596" s="39">
        <v>260.33999999999997</v>
      </c>
      <c r="O596" s="38">
        <v>0.47370000000000001</v>
      </c>
      <c r="P596" s="39">
        <v>17.37</v>
      </c>
      <c r="Q596" s="39">
        <v>20.16</v>
      </c>
      <c r="R596" s="38">
        <v>0.2162</v>
      </c>
      <c r="S596" s="40">
        <v>39</v>
      </c>
      <c r="T596" s="39">
        <v>20.329999999999998</v>
      </c>
      <c r="U596" s="39">
        <v>21.88</v>
      </c>
      <c r="V596" s="39">
        <v>23.07</v>
      </c>
      <c r="W596" s="38">
        <v>0.87470000000000003</v>
      </c>
      <c r="X596" s="39">
        <v>2.88</v>
      </c>
      <c r="Y596" s="41">
        <v>-21639.508000599999</v>
      </c>
      <c r="Z596" s="39">
        <v>-505</v>
      </c>
      <c r="AA596" s="39">
        <v>-0.24231884663622499</v>
      </c>
    </row>
    <row r="597" spans="1:27" x14ac:dyDescent="0.25">
      <c r="A597" s="7" t="str">
        <f t="shared" si="9"/>
        <v>3527Providence Portland Medical Center101052260100, ICU - 2F</v>
      </c>
      <c r="B597" s="7"/>
      <c r="C597" s="29" t="s">
        <v>1249</v>
      </c>
      <c r="D597" s="29" t="s">
        <v>1249</v>
      </c>
      <c r="E597" s="29" t="s">
        <v>1249</v>
      </c>
      <c r="F597" s="29">
        <v>3527</v>
      </c>
      <c r="G597" s="4" t="s">
        <v>1389</v>
      </c>
      <c r="H597" s="5">
        <v>1010</v>
      </c>
      <c r="I597" s="4" t="s">
        <v>287</v>
      </c>
      <c r="J597" s="4" t="s">
        <v>23</v>
      </c>
      <c r="K597" s="4" t="s">
        <v>1458</v>
      </c>
      <c r="L597" s="4" t="s">
        <v>74</v>
      </c>
      <c r="M597" s="39">
        <v>4844.79</v>
      </c>
      <c r="N597" s="39">
        <v>5456</v>
      </c>
      <c r="O597" s="38">
        <v>0.51280000000000003</v>
      </c>
      <c r="P597" s="39">
        <v>21.25</v>
      </c>
      <c r="Q597" s="39">
        <v>20.170000000000002</v>
      </c>
      <c r="R597" s="38">
        <v>0.72970000000000002</v>
      </c>
      <c r="S597" s="40">
        <v>40</v>
      </c>
      <c r="T597" s="39">
        <v>17.440000000000001</v>
      </c>
      <c r="U597" s="39">
        <v>17.97</v>
      </c>
      <c r="V597" s="39">
        <v>18.78</v>
      </c>
      <c r="W597" s="38">
        <v>0.90680000000000005</v>
      </c>
      <c r="X597" s="39">
        <v>58.34</v>
      </c>
      <c r="Y597" s="41">
        <v>729726.82908261195</v>
      </c>
      <c r="Z597" s="39">
        <v>13559</v>
      </c>
      <c r="AA597" s="39">
        <v>6.50070505440888</v>
      </c>
    </row>
    <row r="598" spans="1:27" x14ac:dyDescent="0.25">
      <c r="A598" s="7" t="str">
        <f t="shared" si="9"/>
        <v>3527Providence Portland Medical Center112252260340, CARDIOLOGY - 2G</v>
      </c>
      <c r="B598" s="7"/>
      <c r="C598" s="29" t="s">
        <v>1249</v>
      </c>
      <c r="D598" s="29" t="s">
        <v>1249</v>
      </c>
      <c r="E598" s="29" t="s">
        <v>1249</v>
      </c>
      <c r="F598" s="29">
        <v>3527</v>
      </c>
      <c r="G598" s="4" t="s">
        <v>1389</v>
      </c>
      <c r="H598" s="5">
        <v>1122</v>
      </c>
      <c r="I598" s="4" t="s">
        <v>105</v>
      </c>
      <c r="J598" s="4" t="s">
        <v>23</v>
      </c>
      <c r="K598" s="4" t="s">
        <v>1459</v>
      </c>
      <c r="L598" s="4" t="s">
        <v>74</v>
      </c>
      <c r="M598" s="39">
        <v>6780.25</v>
      </c>
      <c r="N598" s="39">
        <v>7177</v>
      </c>
      <c r="O598" s="38">
        <v>0.6512</v>
      </c>
      <c r="P598" s="39">
        <v>10.54</v>
      </c>
      <c r="Q598" s="39">
        <v>11.2</v>
      </c>
      <c r="R598" s="38">
        <v>0.35709999999999997</v>
      </c>
      <c r="S598" s="40">
        <v>44</v>
      </c>
      <c r="T598" s="39">
        <v>10.71</v>
      </c>
      <c r="U598" s="39">
        <v>11.2</v>
      </c>
      <c r="V598" s="39">
        <v>11.5</v>
      </c>
      <c r="W598" s="38">
        <v>0.88539999999999996</v>
      </c>
      <c r="X598" s="39">
        <v>43.64</v>
      </c>
      <c r="Y598" s="41">
        <v>10403.421445479</v>
      </c>
      <c r="Z598" s="39">
        <v>233</v>
      </c>
      <c r="AA598" s="39">
        <v>0.111910074149442</v>
      </c>
    </row>
    <row r="599" spans="1:27" x14ac:dyDescent="0.25">
      <c r="A599" s="7" t="str">
        <f t="shared" si="9"/>
        <v>3527Providence Portland Medical Center128552274000, 52274003 MATERNITY SERVICES - 3K</v>
      </c>
      <c r="B599" s="7"/>
      <c r="C599" s="29" t="s">
        <v>1249</v>
      </c>
      <c r="D599" s="29" t="s">
        <v>1249</v>
      </c>
      <c r="E599" s="29" t="s">
        <v>1249</v>
      </c>
      <c r="F599" s="29">
        <v>3527</v>
      </c>
      <c r="G599" s="4" t="s">
        <v>1389</v>
      </c>
      <c r="H599" s="5">
        <v>1285</v>
      </c>
      <c r="I599" s="4" t="s">
        <v>85</v>
      </c>
      <c r="J599" s="4" t="s">
        <v>23</v>
      </c>
      <c r="K599" s="4" t="s">
        <v>1460</v>
      </c>
      <c r="L599" s="4" t="s">
        <v>86</v>
      </c>
      <c r="M599" s="39">
        <v>2579</v>
      </c>
      <c r="N599" s="39">
        <v>2752</v>
      </c>
      <c r="O599" s="38">
        <v>0.52</v>
      </c>
      <c r="P599" s="39">
        <v>39.54</v>
      </c>
      <c r="Q599" s="39">
        <v>38.979999999999997</v>
      </c>
      <c r="R599" s="38">
        <v>0.64</v>
      </c>
      <c r="S599" s="40">
        <v>51</v>
      </c>
      <c r="T599" s="39">
        <v>32.72</v>
      </c>
      <c r="U599" s="39">
        <v>34.14</v>
      </c>
      <c r="V599" s="39">
        <v>35.93</v>
      </c>
      <c r="W599" s="38">
        <v>0.87390000000000001</v>
      </c>
      <c r="X599" s="39">
        <v>51.57</v>
      </c>
      <c r="Y599" s="41">
        <v>2499.8957899666002</v>
      </c>
      <c r="Z599" s="39">
        <v>49</v>
      </c>
      <c r="AA599" s="39">
        <v>2.3596878724347899E-2</v>
      </c>
    </row>
    <row r="600" spans="1:27" x14ac:dyDescent="0.25">
      <c r="A600" s="7" t="str">
        <f t="shared" si="9"/>
        <v>3852Providence Sacred Heart Medical Center135034561706 PCCA MEDICAL &amp; 34563600 PCCA</v>
      </c>
      <c r="B600" s="7"/>
      <c r="C600" s="105" t="s">
        <v>297</v>
      </c>
      <c r="D600" s="105" t="s">
        <v>349</v>
      </c>
      <c r="E600" s="105" t="s">
        <v>186</v>
      </c>
      <c r="F600" s="105" t="s">
        <v>1736</v>
      </c>
      <c r="G600" s="99" t="s">
        <v>397</v>
      </c>
      <c r="H600" s="100">
        <v>1350</v>
      </c>
      <c r="I600" s="99" t="s">
        <v>893</v>
      </c>
      <c r="J600" s="99" t="s">
        <v>23</v>
      </c>
      <c r="K600" s="99" t="s">
        <v>1740</v>
      </c>
      <c r="L600" s="99" t="s">
        <v>114</v>
      </c>
      <c r="M600" s="7"/>
      <c r="N600" s="101">
        <v>6130</v>
      </c>
      <c r="O600" s="102">
        <v>0.8</v>
      </c>
      <c r="P600" s="7"/>
      <c r="Q600" s="101">
        <v>9.7100000000000009</v>
      </c>
      <c r="R600" s="102">
        <v>0.5</v>
      </c>
      <c r="S600" s="103">
        <v>6</v>
      </c>
      <c r="T600" s="101">
        <v>9.58</v>
      </c>
      <c r="U600" s="101">
        <v>9.61</v>
      </c>
      <c r="V600" s="101">
        <v>9.7100000000000009</v>
      </c>
      <c r="W600" s="102">
        <v>0.8952</v>
      </c>
      <c r="X600" s="101">
        <v>31.98</v>
      </c>
      <c r="Y600" s="104">
        <v>32684.6318347333</v>
      </c>
      <c r="Z600" s="101">
        <v>895</v>
      </c>
      <c r="AA600" s="101">
        <v>0.42908580635240101</v>
      </c>
    </row>
    <row r="601" spans="1:27" x14ac:dyDescent="0.25">
      <c r="A601" s="7" t="str">
        <f t="shared" si="9"/>
        <v>3852Providence Sacred Heart Medical Center123534561794, NEURO</v>
      </c>
      <c r="B601" s="7"/>
      <c r="C601" s="105" t="s">
        <v>297</v>
      </c>
      <c r="D601" s="105" t="s">
        <v>349</v>
      </c>
      <c r="E601" s="105" t="s">
        <v>186</v>
      </c>
      <c r="F601" s="105" t="s">
        <v>1736</v>
      </c>
      <c r="G601" s="99" t="s">
        <v>397</v>
      </c>
      <c r="H601" s="100">
        <v>1235</v>
      </c>
      <c r="I601" s="99" t="s">
        <v>1424</v>
      </c>
      <c r="J601" s="99" t="s">
        <v>23</v>
      </c>
      <c r="K601" s="99" t="s">
        <v>1737</v>
      </c>
      <c r="L601" s="99" t="s">
        <v>74</v>
      </c>
      <c r="M601" s="101">
        <v>12142.13</v>
      </c>
      <c r="N601" s="101">
        <v>14164</v>
      </c>
      <c r="O601" s="102">
        <v>0.83330000000000004</v>
      </c>
      <c r="P601" s="101">
        <v>11.56</v>
      </c>
      <c r="Q601" s="101">
        <v>11.43</v>
      </c>
      <c r="R601" s="102">
        <v>0.4</v>
      </c>
      <c r="S601" s="103">
        <v>7</v>
      </c>
      <c r="T601" s="101">
        <v>11.24</v>
      </c>
      <c r="U601" s="101">
        <v>11.37</v>
      </c>
      <c r="V601" s="101">
        <v>11.54</v>
      </c>
      <c r="W601" s="102">
        <v>0.90049999999999997</v>
      </c>
      <c r="X601" s="101">
        <v>86.43</v>
      </c>
      <c r="Y601" s="104">
        <v>54738.060655946101</v>
      </c>
      <c r="Z601" s="101">
        <v>1428</v>
      </c>
      <c r="AA601" s="101">
        <v>0.68460122054261796</v>
      </c>
    </row>
    <row r="602" spans="1:27" x14ac:dyDescent="0.25">
      <c r="A602" s="7" t="str">
        <f t="shared" si="9"/>
        <v>3852Providence Sacred Heart Medical Center413034577200, RESPIRATORY THERAPY</v>
      </c>
      <c r="B602" s="7"/>
      <c r="C602" s="29" t="s">
        <v>297</v>
      </c>
      <c r="D602" s="29" t="s">
        <v>349</v>
      </c>
      <c r="E602" s="29" t="s">
        <v>186</v>
      </c>
      <c r="F602" s="29">
        <v>3852</v>
      </c>
      <c r="G602" s="4" t="s">
        <v>397</v>
      </c>
      <c r="H602" s="5">
        <v>4130</v>
      </c>
      <c r="I602" s="4" t="s">
        <v>184</v>
      </c>
      <c r="J602" s="4" t="s">
        <v>44</v>
      </c>
      <c r="K602" s="4" t="s">
        <v>442</v>
      </c>
      <c r="L602" s="4" t="s">
        <v>826</v>
      </c>
      <c r="M602" s="6">
        <v>53560.54</v>
      </c>
      <c r="N602" s="6">
        <v>57519.79</v>
      </c>
      <c r="O602" s="19">
        <v>0.85709999999999997</v>
      </c>
      <c r="P602" s="6">
        <v>3.1</v>
      </c>
      <c r="Q602" s="6">
        <v>3</v>
      </c>
      <c r="R602" s="19">
        <v>0.1429</v>
      </c>
      <c r="S602" s="20">
        <v>8</v>
      </c>
      <c r="T602" s="6">
        <v>3.19</v>
      </c>
      <c r="U602" s="6">
        <v>3.61</v>
      </c>
      <c r="V602" s="6">
        <v>4.1900000000000004</v>
      </c>
      <c r="W602" s="19">
        <v>0.86319999999999997</v>
      </c>
      <c r="X602" s="6">
        <v>96.01</v>
      </c>
      <c r="Y602" s="21">
        <v>-1426518.58127834</v>
      </c>
      <c r="Z602" s="6">
        <v>-40306</v>
      </c>
      <c r="AA602" s="6">
        <v>-19.325026805286001</v>
      </c>
    </row>
    <row r="603" spans="1:27" x14ac:dyDescent="0.25">
      <c r="A603" s="7" t="str">
        <f t="shared" si="9"/>
        <v>3852Providence Sacred Heart Medical Center463034577610, ENDOSCOPY</v>
      </c>
      <c r="B603" s="7"/>
      <c r="C603" s="29" t="s">
        <v>297</v>
      </c>
      <c r="D603" s="29" t="s">
        <v>349</v>
      </c>
      <c r="E603" s="29" t="s">
        <v>186</v>
      </c>
      <c r="F603" s="29">
        <v>3852</v>
      </c>
      <c r="G603" s="43" t="s">
        <v>397</v>
      </c>
      <c r="H603" s="42">
        <v>4630</v>
      </c>
      <c r="I603" s="43" t="s">
        <v>104</v>
      </c>
      <c r="J603" s="43" t="s">
        <v>83</v>
      </c>
      <c r="K603" s="43" t="s">
        <v>406</v>
      </c>
      <c r="L603" s="43" t="s">
        <v>97</v>
      </c>
      <c r="M603" s="46">
        <v>0</v>
      </c>
      <c r="N603" s="46">
        <v>409486</v>
      </c>
      <c r="O603" s="45">
        <v>0.88890000000000002</v>
      </c>
      <c r="P603" s="46">
        <v>0</v>
      </c>
      <c r="Q603" s="46">
        <f>55559.46/N603</f>
        <v>0.1356809756621716</v>
      </c>
      <c r="R603" s="45">
        <v>0.42859999999999998</v>
      </c>
      <c r="S603" s="47">
        <v>8</v>
      </c>
      <c r="T603" s="46">
        <v>0.13</v>
      </c>
      <c r="U603" s="46">
        <v>0.13</v>
      </c>
      <c r="V603" s="46">
        <v>0.14000000000000001</v>
      </c>
      <c r="W603" s="45">
        <v>0.88139999999999996</v>
      </c>
      <c r="X603" s="46">
        <v>30.31</v>
      </c>
      <c r="Y603" s="48">
        <f>Z603*42.21</f>
        <v>111404.89993192648</v>
      </c>
      <c r="Z603" s="47">
        <f>SUM((Q603-U603)*N603)/W603</f>
        <v>2639.3011118674835</v>
      </c>
      <c r="AA603" s="46">
        <f>+Z603/2085.7</f>
        <v>1.265427008614606</v>
      </c>
    </row>
    <row r="604" spans="1:27" x14ac:dyDescent="0.25">
      <c r="A604" s="7" t="str">
        <f t="shared" si="9"/>
        <v>3852Providence Sacred Heart Medical Center441134577102, OP PHARMACY</v>
      </c>
      <c r="B604" s="7"/>
      <c r="C604" s="29" t="s">
        <v>297</v>
      </c>
      <c r="D604" s="29" t="s">
        <v>349</v>
      </c>
      <c r="E604" s="29" t="s">
        <v>186</v>
      </c>
      <c r="F604" s="29">
        <v>3852</v>
      </c>
      <c r="G604" s="4" t="s">
        <v>397</v>
      </c>
      <c r="H604" s="5">
        <v>4411</v>
      </c>
      <c r="I604" s="4" t="s">
        <v>154</v>
      </c>
      <c r="J604" s="4" t="s">
        <v>37</v>
      </c>
      <c r="K604" s="4" t="s">
        <v>437</v>
      </c>
      <c r="L604" s="4" t="s">
        <v>155</v>
      </c>
      <c r="M604" s="6">
        <v>235179</v>
      </c>
      <c r="N604" s="6">
        <v>115415</v>
      </c>
      <c r="O604" s="19">
        <v>0.71430000000000005</v>
      </c>
      <c r="P604" s="6">
        <v>0.13</v>
      </c>
      <c r="Q604" s="6">
        <v>0.28999999999999998</v>
      </c>
      <c r="R604" s="19">
        <v>0.875</v>
      </c>
      <c r="S604" s="20">
        <v>8</v>
      </c>
      <c r="T604" s="6">
        <v>0.15</v>
      </c>
      <c r="U604" s="6">
        <v>0.18</v>
      </c>
      <c r="V604" s="6">
        <v>0.2</v>
      </c>
      <c r="W604" s="19">
        <v>0.88370000000000004</v>
      </c>
      <c r="X604" s="6">
        <v>18.14</v>
      </c>
      <c r="Y604" s="21">
        <v>460477.73278799898</v>
      </c>
      <c r="Z604" s="6">
        <v>14326</v>
      </c>
      <c r="AA604" s="6">
        <v>6.8685947429873302</v>
      </c>
    </row>
    <row r="605" spans="1:27" x14ac:dyDescent="0.25">
      <c r="A605" s="7" t="str">
        <f t="shared" si="9"/>
        <v>3852Providence Sacred Heart Medical Center425034575710, ELECTROPHYSIOLOGY</v>
      </c>
      <c r="B605" s="7"/>
      <c r="C605" s="29" t="s">
        <v>297</v>
      </c>
      <c r="D605" s="29" t="s">
        <v>349</v>
      </c>
      <c r="E605" s="29" t="s">
        <v>186</v>
      </c>
      <c r="F605" s="29">
        <v>3852</v>
      </c>
      <c r="G605" s="4" t="s">
        <v>397</v>
      </c>
      <c r="H605" s="5">
        <v>4250</v>
      </c>
      <c r="I605" s="4" t="s">
        <v>296</v>
      </c>
      <c r="J605" s="4" t="s">
        <v>60</v>
      </c>
      <c r="K605" s="4" t="s">
        <v>428</v>
      </c>
      <c r="L605" s="4" t="s">
        <v>97</v>
      </c>
      <c r="M605" s="6">
        <v>187560</v>
      </c>
      <c r="N605" s="6">
        <v>204720</v>
      </c>
      <c r="O605" s="19">
        <v>0.57140000000000002</v>
      </c>
      <c r="P605" s="6">
        <v>0.13</v>
      </c>
      <c r="Q605" s="6">
        <v>0.11</v>
      </c>
      <c r="R605" s="19">
        <v>0.33329999999999999</v>
      </c>
      <c r="S605" s="20">
        <v>8</v>
      </c>
      <c r="T605" s="6">
        <v>0.11</v>
      </c>
      <c r="U605" s="6">
        <v>0.11</v>
      </c>
      <c r="V605" s="6">
        <v>0.12</v>
      </c>
      <c r="W605" s="19">
        <v>0.93089999999999995</v>
      </c>
      <c r="X605" s="6">
        <v>12.08</v>
      </c>
      <c r="Y605" s="21">
        <v>50688.360329047799</v>
      </c>
      <c r="Z605" s="6">
        <v>1004</v>
      </c>
      <c r="AA605" s="6">
        <v>0.48159988823112698</v>
      </c>
    </row>
    <row r="606" spans="1:27" x14ac:dyDescent="0.25">
      <c r="A606" s="7" t="str">
        <f t="shared" si="9"/>
        <v>3852Providence Sacred Heart Medical Center221634570800, ANTICOAGULATION CLINIC</v>
      </c>
      <c r="B606" s="7"/>
      <c r="C606" s="29" t="s">
        <v>297</v>
      </c>
      <c r="D606" s="29" t="s">
        <v>349</v>
      </c>
      <c r="E606" s="29" t="s">
        <v>186</v>
      </c>
      <c r="F606" s="29">
        <v>3852</v>
      </c>
      <c r="G606" s="4" t="s">
        <v>397</v>
      </c>
      <c r="H606" s="5">
        <v>2216</v>
      </c>
      <c r="I606" s="4" t="s">
        <v>264</v>
      </c>
      <c r="J606" s="4" t="s">
        <v>176</v>
      </c>
      <c r="K606" s="4" t="s">
        <v>417</v>
      </c>
      <c r="L606" s="4" t="s">
        <v>77</v>
      </c>
      <c r="M606" s="6">
        <v>13217</v>
      </c>
      <c r="N606" s="6">
        <v>14909</v>
      </c>
      <c r="O606" s="7"/>
      <c r="P606" s="6">
        <v>1.1200000000000001</v>
      </c>
      <c r="Q606" s="6">
        <v>1</v>
      </c>
      <c r="R606" s="7"/>
      <c r="S606" s="20">
        <v>8</v>
      </c>
      <c r="T606" s="6">
        <v>0.49</v>
      </c>
      <c r="U606" s="6">
        <v>0.54</v>
      </c>
      <c r="V606" s="6">
        <v>0.63</v>
      </c>
      <c r="W606" s="19">
        <v>0.88400000000000001</v>
      </c>
      <c r="X606" s="6">
        <v>8.15</v>
      </c>
      <c r="Y606" s="21">
        <v>416165.32298806601</v>
      </c>
      <c r="Z606" s="6">
        <v>7891</v>
      </c>
      <c r="AA606" s="6">
        <v>3.78345270541895</v>
      </c>
    </row>
    <row r="607" spans="1:27" x14ac:dyDescent="0.25">
      <c r="A607" s="7" t="str">
        <f t="shared" si="9"/>
        <v>3852Providence Sacred Heart Medical Center564534576405, TUMOR REGISTRY</v>
      </c>
      <c r="B607" s="7"/>
      <c r="C607" s="29" t="s">
        <v>297</v>
      </c>
      <c r="D607" s="29" t="s">
        <v>349</v>
      </c>
      <c r="E607" s="29" t="s">
        <v>186</v>
      </c>
      <c r="F607" s="29">
        <v>3852</v>
      </c>
      <c r="G607" s="4" t="s">
        <v>397</v>
      </c>
      <c r="H607" s="5">
        <v>5645</v>
      </c>
      <c r="I607" s="4" t="s">
        <v>291</v>
      </c>
      <c r="J607" s="4" t="s">
        <v>12</v>
      </c>
      <c r="K607" s="4" t="s">
        <v>433</v>
      </c>
      <c r="L607" s="4" t="s">
        <v>292</v>
      </c>
      <c r="M607" s="6">
        <v>2445</v>
      </c>
      <c r="N607" s="6">
        <v>2460</v>
      </c>
      <c r="O607" s="19">
        <v>0.71430000000000005</v>
      </c>
      <c r="P607" s="6">
        <v>3.6</v>
      </c>
      <c r="Q607" s="6">
        <v>3.89</v>
      </c>
      <c r="R607" s="19">
        <v>0.2</v>
      </c>
      <c r="S607" s="20">
        <v>8</v>
      </c>
      <c r="T607" s="6">
        <v>4.0199999999999996</v>
      </c>
      <c r="U607" s="6">
        <v>4.2699999999999996</v>
      </c>
      <c r="V607" s="6">
        <v>4.4400000000000004</v>
      </c>
      <c r="W607" s="19">
        <v>0.8589</v>
      </c>
      <c r="X607" s="6">
        <v>5.36</v>
      </c>
      <c r="Y607" s="21">
        <v>-22994.108990660501</v>
      </c>
      <c r="Z607" s="6">
        <v>-1050</v>
      </c>
      <c r="AA607" s="6">
        <v>-0.50365673436052505</v>
      </c>
    </row>
    <row r="608" spans="1:27" x14ac:dyDescent="0.25">
      <c r="A608" s="7" t="str">
        <f t="shared" si="9"/>
        <v>3852Providence Sacred Heart Medical Center3370Laboratory Services Clinical Operations</v>
      </c>
      <c r="B608" s="7"/>
      <c r="C608" s="29" t="s">
        <v>297</v>
      </c>
      <c r="D608" s="29" t="s">
        <v>349</v>
      </c>
      <c r="E608" s="29" t="s">
        <v>186</v>
      </c>
      <c r="F608" s="29">
        <v>3852</v>
      </c>
      <c r="G608" s="4" t="s">
        <v>397</v>
      </c>
      <c r="H608" s="5">
        <v>3370</v>
      </c>
      <c r="I608" s="4" t="s">
        <v>182</v>
      </c>
      <c r="J608" s="4" t="s">
        <v>53</v>
      </c>
      <c r="K608" s="4" t="s">
        <v>459</v>
      </c>
      <c r="L608" s="4" t="s">
        <v>94</v>
      </c>
      <c r="M608" s="6">
        <v>24128.11</v>
      </c>
      <c r="N608" s="6">
        <v>24312.86</v>
      </c>
      <c r="O608" s="19">
        <v>0.375</v>
      </c>
      <c r="P608" s="6">
        <v>9.15</v>
      </c>
      <c r="Q608" s="6">
        <v>9.52</v>
      </c>
      <c r="R608" s="19">
        <v>0.28570000000000001</v>
      </c>
      <c r="S608" s="20">
        <v>9</v>
      </c>
      <c r="T608" s="6">
        <v>9.27</v>
      </c>
      <c r="U608" s="6">
        <v>10.3</v>
      </c>
      <c r="V608" s="6">
        <v>11.75</v>
      </c>
      <c r="W608" s="19">
        <v>0.87329999999999997</v>
      </c>
      <c r="X608" s="6">
        <v>127.46</v>
      </c>
      <c r="Y608" s="21">
        <v>-642449.76193885598</v>
      </c>
      <c r="Z608" s="6">
        <v>-20911</v>
      </c>
      <c r="AA608" s="6">
        <v>-10.025840406836799</v>
      </c>
    </row>
    <row r="609" spans="1:27" x14ac:dyDescent="0.25">
      <c r="A609" s="7" t="str">
        <f t="shared" si="9"/>
        <v>3852Providence Sacred Heart Medical Center127734560700, NICU</v>
      </c>
      <c r="B609" s="7"/>
      <c r="C609" s="29" t="s">
        <v>297</v>
      </c>
      <c r="D609" s="29" t="s">
        <v>349</v>
      </c>
      <c r="E609" s="29" t="s">
        <v>186</v>
      </c>
      <c r="F609" s="29">
        <v>3852</v>
      </c>
      <c r="G609" s="4" t="s">
        <v>397</v>
      </c>
      <c r="H609" s="5">
        <v>1277</v>
      </c>
      <c r="I609" s="4" t="s">
        <v>106</v>
      </c>
      <c r="J609" s="4" t="s">
        <v>23</v>
      </c>
      <c r="K609" s="4" t="s">
        <v>398</v>
      </c>
      <c r="L609" s="4" t="s">
        <v>107</v>
      </c>
      <c r="M609" s="6">
        <v>17706</v>
      </c>
      <c r="N609" s="6">
        <v>18022</v>
      </c>
      <c r="O609" s="19">
        <v>0.625</v>
      </c>
      <c r="P609" s="6">
        <v>11.69</v>
      </c>
      <c r="Q609" s="6">
        <v>12.37</v>
      </c>
      <c r="R609" s="19">
        <v>0.44440000000000002</v>
      </c>
      <c r="S609" s="20">
        <v>9</v>
      </c>
      <c r="T609" s="6">
        <v>11.77</v>
      </c>
      <c r="U609" s="6">
        <v>12.32</v>
      </c>
      <c r="V609" s="6">
        <v>12.42</v>
      </c>
      <c r="W609" s="19">
        <v>0.87360000000000004</v>
      </c>
      <c r="X609" s="6">
        <v>122.72</v>
      </c>
      <c r="Y609" s="21">
        <v>88403.494157674606</v>
      </c>
      <c r="Z609" s="6">
        <v>1801</v>
      </c>
      <c r="AA609" s="6">
        <v>0.86335222879115703</v>
      </c>
    </row>
    <row r="610" spans="1:27" x14ac:dyDescent="0.25">
      <c r="A610" s="7" t="str">
        <f t="shared" si="9"/>
        <v>3852Providence Sacred Heart Medical Center191034587200, NURSING ADMINISTRATION</v>
      </c>
      <c r="B610" s="7"/>
      <c r="C610" s="29" t="s">
        <v>297</v>
      </c>
      <c r="D610" s="29" t="s">
        <v>349</v>
      </c>
      <c r="E610" s="29" t="s">
        <v>186</v>
      </c>
      <c r="F610" s="29">
        <v>3852</v>
      </c>
      <c r="G610" s="4" t="s">
        <v>397</v>
      </c>
      <c r="H610" s="5">
        <v>1910</v>
      </c>
      <c r="I610" s="4" t="s">
        <v>34</v>
      </c>
      <c r="J610" s="4" t="s">
        <v>23</v>
      </c>
      <c r="K610" s="4" t="s">
        <v>452</v>
      </c>
      <c r="L610" s="4" t="s">
        <v>35</v>
      </c>
      <c r="M610" s="6">
        <v>1454</v>
      </c>
      <c r="N610" s="6">
        <v>1636</v>
      </c>
      <c r="O610" s="19">
        <v>0.75</v>
      </c>
      <c r="P610" s="6">
        <v>47.84</v>
      </c>
      <c r="Q610" s="6">
        <v>50.17</v>
      </c>
      <c r="R610" s="19">
        <v>0.8</v>
      </c>
      <c r="S610" s="20">
        <v>9</v>
      </c>
      <c r="T610" s="6">
        <v>40.08</v>
      </c>
      <c r="U610" s="6">
        <v>43.16</v>
      </c>
      <c r="V610" s="6">
        <v>47.28</v>
      </c>
      <c r="W610" s="19">
        <v>0.87239999999999995</v>
      </c>
      <c r="X610" s="6">
        <v>35.35</v>
      </c>
      <c r="Y610" s="21">
        <v>-296723.06415987702</v>
      </c>
      <c r="Z610" s="6">
        <v>-7208</v>
      </c>
      <c r="AA610" s="6">
        <v>-3.4558532769497399</v>
      </c>
    </row>
    <row r="611" spans="1:27" x14ac:dyDescent="0.25">
      <c r="A611" s="7" t="str">
        <f t="shared" si="9"/>
        <v>3852Providence Sacred Heart Medical Center583034587550, CASE MANAGEMENT</v>
      </c>
      <c r="B611" s="7"/>
      <c r="C611" s="29" t="s">
        <v>297</v>
      </c>
      <c r="D611" s="29" t="s">
        <v>349</v>
      </c>
      <c r="E611" s="29" t="s">
        <v>186</v>
      </c>
      <c r="F611" s="29">
        <v>3852</v>
      </c>
      <c r="G611" s="4" t="s">
        <v>397</v>
      </c>
      <c r="H611" s="5">
        <v>5830</v>
      </c>
      <c r="I611" s="4" t="s">
        <v>32</v>
      </c>
      <c r="J611" s="4" t="s">
        <v>26</v>
      </c>
      <c r="K611" s="4" t="s">
        <v>453</v>
      </c>
      <c r="L611" s="4" t="s">
        <v>33</v>
      </c>
      <c r="M611" s="6">
        <v>47857</v>
      </c>
      <c r="N611" s="6">
        <v>50916</v>
      </c>
      <c r="O611" s="7"/>
      <c r="P611" s="6">
        <v>1.39</v>
      </c>
      <c r="Q611" s="6">
        <v>0.91</v>
      </c>
      <c r="R611" s="7"/>
      <c r="S611" s="20">
        <v>9</v>
      </c>
      <c r="T611" s="6">
        <v>0.71</v>
      </c>
      <c r="U611" s="6">
        <v>0.72</v>
      </c>
      <c r="V611" s="6">
        <v>0.73</v>
      </c>
      <c r="W611" s="19">
        <v>0.87719999999999998</v>
      </c>
      <c r="X611" s="6">
        <v>25.26</v>
      </c>
      <c r="Y611" s="21">
        <v>480645.29333483102</v>
      </c>
      <c r="Z611" s="6">
        <v>10893</v>
      </c>
      <c r="AA611" s="6">
        <v>5.2228333567376604</v>
      </c>
    </row>
    <row r="612" spans="1:27" x14ac:dyDescent="0.25">
      <c r="A612" s="7" t="str">
        <f t="shared" si="9"/>
        <v>3852Providence Sacred Heart Medical Center3380Laboratory Services Anatomic Pathology</v>
      </c>
      <c r="B612" s="7"/>
      <c r="C612" s="29" t="s">
        <v>297</v>
      </c>
      <c r="D612" s="29" t="s">
        <v>349</v>
      </c>
      <c r="E612" s="29" t="s">
        <v>186</v>
      </c>
      <c r="F612" s="29">
        <v>3852</v>
      </c>
      <c r="G612" s="4" t="s">
        <v>397</v>
      </c>
      <c r="H612" s="5">
        <v>3380</v>
      </c>
      <c r="I612" s="4" t="s">
        <v>95</v>
      </c>
      <c r="J612" s="4" t="s">
        <v>53</v>
      </c>
      <c r="K612" s="4" t="s">
        <v>458</v>
      </c>
      <c r="L612" s="4" t="s">
        <v>94</v>
      </c>
      <c r="M612" s="6">
        <v>1418.28</v>
      </c>
      <c r="N612" s="6">
        <v>1547.24</v>
      </c>
      <c r="O612" s="19">
        <v>0.75</v>
      </c>
      <c r="P612" s="6">
        <v>27.89</v>
      </c>
      <c r="Q612" s="6">
        <v>28.19</v>
      </c>
      <c r="R612" s="19">
        <v>0.375</v>
      </c>
      <c r="S612" s="20">
        <v>9</v>
      </c>
      <c r="T612" s="6">
        <v>24.29</v>
      </c>
      <c r="U612" s="6">
        <v>27.41</v>
      </c>
      <c r="V612" s="6">
        <v>33.83</v>
      </c>
      <c r="W612" s="19">
        <v>0.8569</v>
      </c>
      <c r="X612" s="6">
        <v>24.47</v>
      </c>
      <c r="Y612" s="21">
        <v>43964.192701002001</v>
      </c>
      <c r="Z612" s="6">
        <v>1545</v>
      </c>
      <c r="AA612" s="6">
        <v>0.74071043257048796</v>
      </c>
    </row>
    <row r="613" spans="1:27" x14ac:dyDescent="0.25">
      <c r="A613" s="7" t="str">
        <f t="shared" si="9"/>
        <v>3852Providence Sacred Heart Medical Center429934587706, Cardiac Administration</v>
      </c>
      <c r="B613" s="7"/>
      <c r="C613" s="29" t="s">
        <v>297</v>
      </c>
      <c r="D613" s="29" t="s">
        <v>349</v>
      </c>
      <c r="E613" s="29" t="s">
        <v>186</v>
      </c>
      <c r="F613" s="29">
        <v>3852</v>
      </c>
      <c r="G613" s="4" t="s">
        <v>397</v>
      </c>
      <c r="H613" s="5">
        <v>4299</v>
      </c>
      <c r="I613" s="4" t="s">
        <v>59</v>
      </c>
      <c r="J613" s="4" t="s">
        <v>60</v>
      </c>
      <c r="K613" s="4" t="s">
        <v>454</v>
      </c>
      <c r="L613" s="4" t="s">
        <v>58</v>
      </c>
      <c r="M613" s="7"/>
      <c r="N613" s="6">
        <v>802421.20974590501</v>
      </c>
      <c r="O613" s="7"/>
      <c r="P613" s="7"/>
      <c r="Q613" s="6">
        <v>0.01</v>
      </c>
      <c r="R613" s="7"/>
      <c r="S613" s="20">
        <v>9</v>
      </c>
      <c r="T613" s="6">
        <v>0.02</v>
      </c>
      <c r="U613" s="6">
        <v>0.02</v>
      </c>
      <c r="V613" s="6">
        <v>0.02</v>
      </c>
      <c r="W613" s="19">
        <v>0.87529999999999997</v>
      </c>
      <c r="X613" s="6">
        <v>2.6</v>
      </c>
      <c r="Y613" s="21">
        <v>-549032.71909495897</v>
      </c>
      <c r="Z613" s="6">
        <v>-12912</v>
      </c>
      <c r="AA613" s="6">
        <v>-6.1907033686057202</v>
      </c>
    </row>
    <row r="614" spans="1:27" x14ac:dyDescent="0.25">
      <c r="A614" s="7" t="str">
        <f t="shared" si="9"/>
        <v>3852Providence Sacred Heart Medical Center592534583700, CENTRAL TRANSPORTATION</v>
      </c>
      <c r="B614" s="7"/>
      <c r="C614" s="29" t="s">
        <v>297</v>
      </c>
      <c r="D614" s="29" t="s">
        <v>349</v>
      </c>
      <c r="E614" s="29" t="s">
        <v>186</v>
      </c>
      <c r="F614" s="29">
        <v>3852</v>
      </c>
      <c r="G614" s="4" t="s">
        <v>397</v>
      </c>
      <c r="H614" s="5">
        <v>5925</v>
      </c>
      <c r="I614" s="4" t="s">
        <v>135</v>
      </c>
      <c r="J614" s="4" t="s">
        <v>136</v>
      </c>
      <c r="K614" s="4" t="s">
        <v>443</v>
      </c>
      <c r="L614" s="4" t="s">
        <v>137</v>
      </c>
      <c r="M614" s="6">
        <v>4115.91</v>
      </c>
      <c r="N614" s="6">
        <v>4349.96</v>
      </c>
      <c r="O614" s="19">
        <v>1</v>
      </c>
      <c r="P614" s="6">
        <v>27.78</v>
      </c>
      <c r="Q614" s="6">
        <v>27</v>
      </c>
      <c r="R614" s="19">
        <v>0.55559999999999998</v>
      </c>
      <c r="S614" s="20">
        <v>10</v>
      </c>
      <c r="T614" s="6">
        <v>22.68</v>
      </c>
      <c r="U614" s="6">
        <v>23.79</v>
      </c>
      <c r="V614" s="6">
        <v>25.51</v>
      </c>
      <c r="W614" s="19">
        <v>0.88980000000000004</v>
      </c>
      <c r="X614" s="6">
        <v>63.47</v>
      </c>
      <c r="Y614" s="21">
        <v>290073.511108712</v>
      </c>
      <c r="Z614" s="6">
        <v>16077</v>
      </c>
      <c r="AA614" s="6">
        <v>7.7083696759725697</v>
      </c>
    </row>
    <row r="615" spans="1:27" x14ac:dyDescent="0.25">
      <c r="A615" s="7" t="str">
        <f t="shared" si="9"/>
        <v>3852Providence Sacred Heart Medical Center581034583601, SOCIAL SERVICES</v>
      </c>
      <c r="B615" s="7"/>
      <c r="C615" s="29" t="s">
        <v>297</v>
      </c>
      <c r="D615" s="29" t="s">
        <v>349</v>
      </c>
      <c r="E615" s="29" t="s">
        <v>186</v>
      </c>
      <c r="F615" s="29">
        <v>3852</v>
      </c>
      <c r="G615" s="4" t="s">
        <v>397</v>
      </c>
      <c r="H615" s="5">
        <v>5810</v>
      </c>
      <c r="I615" s="4" t="s">
        <v>133</v>
      </c>
      <c r="J615" s="4" t="s">
        <v>26</v>
      </c>
      <c r="K615" s="4" t="s">
        <v>441</v>
      </c>
      <c r="L615" s="4" t="s">
        <v>134</v>
      </c>
      <c r="M615" s="7"/>
      <c r="N615" s="6">
        <v>22360</v>
      </c>
      <c r="O615" s="19">
        <v>0.55559999999999998</v>
      </c>
      <c r="P615" s="7"/>
      <c r="Q615" s="6">
        <v>1.92</v>
      </c>
      <c r="R615" s="19">
        <v>1</v>
      </c>
      <c r="S615" s="20">
        <v>10</v>
      </c>
      <c r="T615" s="6">
        <v>1.05</v>
      </c>
      <c r="U615" s="6">
        <v>1.08</v>
      </c>
      <c r="V615" s="6">
        <v>1.0900000000000001</v>
      </c>
      <c r="W615" s="19">
        <v>0.89090000000000003</v>
      </c>
      <c r="X615" s="6">
        <v>23.15</v>
      </c>
      <c r="Y615" s="21">
        <v>657130.47647867096</v>
      </c>
      <c r="Z615" s="6">
        <v>21178</v>
      </c>
      <c r="AA615" s="6">
        <v>10.1538488224845</v>
      </c>
    </row>
    <row r="616" spans="1:27" x14ac:dyDescent="0.25">
      <c r="A616" s="7" t="str">
        <f t="shared" si="9"/>
        <v>3852Providence Sacred Heart Medical Center344034576390, MOBILE MAMMOGRAPHY</v>
      </c>
      <c r="B616" s="7"/>
      <c r="C616" s="29" t="s">
        <v>297</v>
      </c>
      <c r="D616" s="29" t="s">
        <v>349</v>
      </c>
      <c r="E616" s="29" t="s">
        <v>186</v>
      </c>
      <c r="F616" s="29">
        <v>3852</v>
      </c>
      <c r="G616" s="4" t="s">
        <v>397</v>
      </c>
      <c r="H616" s="5">
        <v>3440</v>
      </c>
      <c r="I616" s="4" t="s">
        <v>119</v>
      </c>
      <c r="J616" s="4" t="s">
        <v>57</v>
      </c>
      <c r="K616" s="4" t="s">
        <v>432</v>
      </c>
      <c r="L616" s="4" t="s">
        <v>99</v>
      </c>
      <c r="M616" s="6">
        <v>2265.9499999999998</v>
      </c>
      <c r="N616" s="6">
        <v>3392.59</v>
      </c>
      <c r="O616" s="19">
        <v>0.55559999999999998</v>
      </c>
      <c r="P616" s="6">
        <v>3.03</v>
      </c>
      <c r="Q616" s="6">
        <v>1.37</v>
      </c>
      <c r="R616" s="19">
        <v>0.88890000000000002</v>
      </c>
      <c r="S616" s="20">
        <v>10</v>
      </c>
      <c r="T616" s="6">
        <v>0.59</v>
      </c>
      <c r="U616" s="6">
        <v>0.62</v>
      </c>
      <c r="V616" s="6">
        <v>0.79</v>
      </c>
      <c r="W616" s="19">
        <v>0.88900000000000001</v>
      </c>
      <c r="X616" s="6">
        <v>2.52</v>
      </c>
      <c r="Y616" s="21">
        <v>89260.234474822399</v>
      </c>
      <c r="Z616" s="6">
        <v>2890</v>
      </c>
      <c r="AA616" s="6">
        <v>1.3855915181815801</v>
      </c>
    </row>
    <row r="617" spans="1:27" x14ac:dyDescent="0.25">
      <c r="A617" s="7" t="str">
        <f t="shared" si="9"/>
        <v>3852Providence Sacred Heart Medical Center303034574271, AM ADMIT UNIT</v>
      </c>
      <c r="B617" s="7"/>
      <c r="C617" s="29" t="s">
        <v>297</v>
      </c>
      <c r="D617" s="29" t="s">
        <v>349</v>
      </c>
      <c r="E617" s="29" t="s">
        <v>186</v>
      </c>
      <c r="F617" s="29">
        <v>3852</v>
      </c>
      <c r="G617" s="4" t="s">
        <v>397</v>
      </c>
      <c r="H617" s="5">
        <v>3030</v>
      </c>
      <c r="I617" s="4" t="s">
        <v>80</v>
      </c>
      <c r="J617" s="4" t="s">
        <v>47</v>
      </c>
      <c r="K617" s="4" t="s">
        <v>423</v>
      </c>
      <c r="L617" s="4" t="s">
        <v>81</v>
      </c>
      <c r="M617" s="6">
        <v>18833.52</v>
      </c>
      <c r="N617" s="6">
        <v>19983.599999999999</v>
      </c>
      <c r="O617" s="19">
        <v>0.6</v>
      </c>
      <c r="P617" s="6">
        <v>2.2400000000000002</v>
      </c>
      <c r="Q617" s="6">
        <v>2.2599999999999998</v>
      </c>
      <c r="R617" s="19">
        <v>0.44440000000000002</v>
      </c>
      <c r="S617" s="20">
        <v>11</v>
      </c>
      <c r="T617" s="6">
        <v>2.0499999999999998</v>
      </c>
      <c r="U617" s="6">
        <v>2.16</v>
      </c>
      <c r="V617" s="6">
        <v>2.46</v>
      </c>
      <c r="W617" s="19">
        <v>0.89249999999999996</v>
      </c>
      <c r="X617" s="6">
        <v>24.35</v>
      </c>
      <c r="Y617" s="21">
        <v>104471.396051171</v>
      </c>
      <c r="Z617" s="6">
        <v>2423</v>
      </c>
      <c r="AA617" s="6">
        <v>1.1617799356401699</v>
      </c>
    </row>
    <row r="618" spans="1:27" x14ac:dyDescent="0.25">
      <c r="A618" s="7" t="str">
        <f t="shared" si="9"/>
        <v>3852Providence Sacred Heart Medical Center341234576490, INTERVENTIONAL RADIOLOGY</v>
      </c>
      <c r="B618" s="7"/>
      <c r="C618" s="29" t="s">
        <v>297</v>
      </c>
      <c r="D618" s="29" t="s">
        <v>349</v>
      </c>
      <c r="E618" s="29" t="s">
        <v>186</v>
      </c>
      <c r="F618" s="29">
        <v>3852</v>
      </c>
      <c r="G618" s="4" t="s">
        <v>397</v>
      </c>
      <c r="H618" s="5">
        <v>3412</v>
      </c>
      <c r="I618" s="4" t="s">
        <v>118</v>
      </c>
      <c r="J618" s="4" t="s">
        <v>57</v>
      </c>
      <c r="K618" s="4" t="s">
        <v>434</v>
      </c>
      <c r="L618" s="4" t="s">
        <v>99</v>
      </c>
      <c r="M618" s="6">
        <v>204560.95</v>
      </c>
      <c r="N618" s="6">
        <v>217962.02</v>
      </c>
      <c r="O618" s="19">
        <v>0.8</v>
      </c>
      <c r="P618" s="6">
        <v>0.12</v>
      </c>
      <c r="Q618" s="6">
        <v>0.12</v>
      </c>
      <c r="R618" s="19">
        <v>0.2</v>
      </c>
      <c r="S618" s="20">
        <v>11</v>
      </c>
      <c r="T618" s="6">
        <v>0.12</v>
      </c>
      <c r="U618" s="6">
        <v>0.14000000000000001</v>
      </c>
      <c r="V618" s="6">
        <v>0.15</v>
      </c>
      <c r="W618" s="19">
        <v>0.876</v>
      </c>
      <c r="X618" s="6">
        <v>14.09</v>
      </c>
      <c r="Y618" s="21">
        <v>-251078.00479494</v>
      </c>
      <c r="Z618" s="6">
        <v>-5447</v>
      </c>
      <c r="AA618" s="6">
        <v>-2.61140134505832</v>
      </c>
    </row>
    <row r="619" spans="1:27" x14ac:dyDescent="0.25">
      <c r="A619" s="7" t="str">
        <f t="shared" si="9"/>
        <v>3852Providence Sacred Heart Medical Center229734587901, WOMENS HEALTH CENTER</v>
      </c>
      <c r="B619" s="7"/>
      <c r="C619" s="29" t="s">
        <v>297</v>
      </c>
      <c r="D619" s="29" t="s">
        <v>349</v>
      </c>
      <c r="E619" s="29" t="s">
        <v>186</v>
      </c>
      <c r="F619" s="29">
        <v>3852</v>
      </c>
      <c r="G619" s="4" t="s">
        <v>397</v>
      </c>
      <c r="H619" s="5">
        <v>2297</v>
      </c>
      <c r="I619" s="4" t="s">
        <v>455</v>
      </c>
      <c r="J619" s="4" t="s">
        <v>176</v>
      </c>
      <c r="K619" s="4" t="s">
        <v>456</v>
      </c>
      <c r="L619" s="4" t="s">
        <v>77</v>
      </c>
      <c r="M619" s="6">
        <v>4790</v>
      </c>
      <c r="N619" s="6">
        <v>5291</v>
      </c>
      <c r="O619" s="19">
        <v>0.6</v>
      </c>
      <c r="P619" s="6">
        <v>2.34</v>
      </c>
      <c r="Q619" s="6">
        <v>2.12</v>
      </c>
      <c r="R619" s="19">
        <v>0.5</v>
      </c>
      <c r="S619" s="20">
        <v>11</v>
      </c>
      <c r="T619" s="6">
        <v>1.08</v>
      </c>
      <c r="U619" s="6">
        <v>1.48</v>
      </c>
      <c r="V619" s="6">
        <v>2.12</v>
      </c>
      <c r="W619" s="19">
        <v>0.84209999999999996</v>
      </c>
      <c r="X619" s="6">
        <v>6.41</v>
      </c>
      <c r="Y619" s="21">
        <v>209661.499559777</v>
      </c>
      <c r="Z619" s="6">
        <v>4070</v>
      </c>
      <c r="AA619" s="6">
        <v>1.95154930301991</v>
      </c>
    </row>
    <row r="620" spans="1:27" x14ac:dyDescent="0.25">
      <c r="A620" s="7" t="str">
        <f t="shared" si="9"/>
        <v>3852Providence Sacred Heart Medical Center431034576200, ELECTRO NEURO DIAGNOSTICS</v>
      </c>
      <c r="B620" s="7"/>
      <c r="C620" s="29" t="s">
        <v>297</v>
      </c>
      <c r="D620" s="29" t="s">
        <v>349</v>
      </c>
      <c r="E620" s="29" t="s">
        <v>186</v>
      </c>
      <c r="F620" s="29">
        <v>3852</v>
      </c>
      <c r="G620" s="4" t="s">
        <v>397</v>
      </c>
      <c r="H620" s="5">
        <v>4310</v>
      </c>
      <c r="I620" s="4" t="s">
        <v>115</v>
      </c>
      <c r="J620" s="4" t="s">
        <v>116</v>
      </c>
      <c r="K620" s="4" t="s">
        <v>430</v>
      </c>
      <c r="L620" s="4" t="s">
        <v>99</v>
      </c>
      <c r="M620" s="6">
        <v>14973.93</v>
      </c>
      <c r="N620" s="6">
        <v>17150.59</v>
      </c>
      <c r="O620" s="19">
        <v>0.5</v>
      </c>
      <c r="P620" s="6">
        <v>0.63</v>
      </c>
      <c r="Q620" s="6">
        <v>0.55000000000000004</v>
      </c>
      <c r="R620" s="19">
        <v>0.1111</v>
      </c>
      <c r="S620" s="20">
        <v>11</v>
      </c>
      <c r="T620" s="6">
        <v>0.61</v>
      </c>
      <c r="U620" s="6">
        <v>0.68</v>
      </c>
      <c r="V620" s="6">
        <v>0.78</v>
      </c>
      <c r="W620" s="19">
        <v>0.88639999999999997</v>
      </c>
      <c r="X620" s="6">
        <v>5.14</v>
      </c>
      <c r="Y620" s="21">
        <v>-94380.177451977695</v>
      </c>
      <c r="Z620" s="6">
        <v>-2437</v>
      </c>
      <c r="AA620" s="6">
        <v>-1.1682135805638201</v>
      </c>
    </row>
    <row r="621" spans="1:27" x14ac:dyDescent="0.25">
      <c r="A621" s="7" t="str">
        <f t="shared" si="9"/>
        <v>3852Providence Sacred Heart Medical Center423034575700, CARDIOVASCULAR</v>
      </c>
      <c r="B621" s="7"/>
      <c r="C621" s="29" t="s">
        <v>297</v>
      </c>
      <c r="D621" s="29" t="s">
        <v>349</v>
      </c>
      <c r="E621" s="29" t="s">
        <v>186</v>
      </c>
      <c r="F621" s="29">
        <v>3852</v>
      </c>
      <c r="G621" s="4" t="s">
        <v>397</v>
      </c>
      <c r="H621" s="5">
        <v>4230</v>
      </c>
      <c r="I621" s="4" t="s">
        <v>96</v>
      </c>
      <c r="J621" s="4" t="s">
        <v>60</v>
      </c>
      <c r="K621" s="4" t="s">
        <v>427</v>
      </c>
      <c r="L621" s="4" t="s">
        <v>97</v>
      </c>
      <c r="M621" s="6">
        <v>273702</v>
      </c>
      <c r="N621" s="6">
        <v>290580</v>
      </c>
      <c r="O621" s="19">
        <v>0.45450000000000002</v>
      </c>
      <c r="P621" s="6">
        <v>0.18</v>
      </c>
      <c r="Q621" s="6">
        <v>0.17</v>
      </c>
      <c r="R621" s="19">
        <v>0.7</v>
      </c>
      <c r="S621" s="20">
        <v>12</v>
      </c>
      <c r="T621" s="6">
        <v>0.14000000000000001</v>
      </c>
      <c r="U621" s="6">
        <v>0.14000000000000001</v>
      </c>
      <c r="V621" s="6">
        <v>0.15</v>
      </c>
      <c r="W621" s="19">
        <v>0.86109999999999998</v>
      </c>
      <c r="X621" s="6">
        <v>28</v>
      </c>
      <c r="Y621" s="21">
        <v>591510.49567574402</v>
      </c>
      <c r="Z621" s="6">
        <v>11156</v>
      </c>
      <c r="AA621" s="6">
        <v>5.3489507302818602</v>
      </c>
    </row>
    <row r="622" spans="1:27" x14ac:dyDescent="0.25">
      <c r="A622" s="7" t="str">
        <f t="shared" si="9"/>
        <v>3852Providence Sacred Heart Medical Center5608Centralized Scheduling (U,N)</v>
      </c>
      <c r="B622" s="7"/>
      <c r="C622" s="29" t="s">
        <v>297</v>
      </c>
      <c r="D622" s="29" t="s">
        <v>349</v>
      </c>
      <c r="E622" s="29" t="s">
        <v>186</v>
      </c>
      <c r="F622" s="29">
        <v>3852</v>
      </c>
      <c r="G622" s="4" t="s">
        <v>397</v>
      </c>
      <c r="H622" s="5">
        <v>5608</v>
      </c>
      <c r="I622" s="4" t="s">
        <v>257</v>
      </c>
      <c r="J622" s="4" t="s">
        <v>12</v>
      </c>
      <c r="K622" s="4" t="s">
        <v>258</v>
      </c>
      <c r="L622" s="4" t="s">
        <v>18</v>
      </c>
      <c r="M622" s="6">
        <v>43290.89</v>
      </c>
      <c r="N622" s="6">
        <v>42100.12</v>
      </c>
      <c r="O622" s="19">
        <v>0.49640000000000001</v>
      </c>
      <c r="P622" s="6">
        <v>0.42</v>
      </c>
      <c r="Q622" s="6">
        <v>0.41</v>
      </c>
      <c r="R622" s="7"/>
      <c r="S622" s="20">
        <v>12</v>
      </c>
      <c r="T622" s="6">
        <v>0.6</v>
      </c>
      <c r="U622" s="6">
        <v>0.66</v>
      </c>
      <c r="V622" s="6">
        <v>0.87</v>
      </c>
      <c r="W622" s="19">
        <v>0.8498</v>
      </c>
      <c r="X622" s="6">
        <v>9.86</v>
      </c>
      <c r="Y622" s="21">
        <v>-248314.662934191</v>
      </c>
      <c r="Z622" s="6">
        <v>-12132</v>
      </c>
      <c r="AA622" s="6">
        <v>-5.8168463343834</v>
      </c>
    </row>
    <row r="623" spans="1:27" x14ac:dyDescent="0.25">
      <c r="A623" s="7" t="str">
        <f t="shared" si="9"/>
        <v>3852Providence Sacred Heart Medical Center553034584700, COMMUNICATIONS (U)</v>
      </c>
      <c r="B623" s="7"/>
      <c r="C623" s="29" t="s">
        <v>297</v>
      </c>
      <c r="D623" s="29" t="s">
        <v>349</v>
      </c>
      <c r="E623" s="29" t="s">
        <v>186</v>
      </c>
      <c r="F623" s="29">
        <v>3852</v>
      </c>
      <c r="G623" s="4" t="s">
        <v>397</v>
      </c>
      <c r="H623" s="5">
        <v>5530</v>
      </c>
      <c r="I623" s="4" t="s">
        <v>144</v>
      </c>
      <c r="J623" s="4" t="s">
        <v>68</v>
      </c>
      <c r="K623" s="4" t="s">
        <v>448</v>
      </c>
      <c r="L623" s="4" t="s">
        <v>18</v>
      </c>
      <c r="M623" s="6">
        <v>43290.89</v>
      </c>
      <c r="N623" s="6">
        <v>42100.12</v>
      </c>
      <c r="O623" s="19">
        <v>0.57310000000000005</v>
      </c>
      <c r="P623" s="6">
        <v>0.36</v>
      </c>
      <c r="Q623" s="6">
        <v>0.38</v>
      </c>
      <c r="R623" s="19">
        <v>0.31709999999999999</v>
      </c>
      <c r="S623" s="20">
        <v>12</v>
      </c>
      <c r="T623" s="6">
        <v>0.37</v>
      </c>
      <c r="U623" s="6">
        <v>0.38</v>
      </c>
      <c r="V623" s="6">
        <v>0.39</v>
      </c>
      <c r="W623" s="19">
        <v>0.876</v>
      </c>
      <c r="X623" s="6">
        <v>8.77</v>
      </c>
      <c r="Y623" s="21">
        <v>496.01970291623797</v>
      </c>
      <c r="Z623" s="6">
        <v>29</v>
      </c>
      <c r="AA623" s="6">
        <v>1.3894552227023699E-2</v>
      </c>
    </row>
    <row r="624" spans="1:27" x14ac:dyDescent="0.25">
      <c r="A624" s="7" t="str">
        <f t="shared" si="9"/>
        <v>3852Providence Sacred Heart Medical Center181034577150, IV THERAPY</v>
      </c>
      <c r="B624" s="7"/>
      <c r="C624" s="29" t="s">
        <v>297</v>
      </c>
      <c r="D624" s="29" t="s">
        <v>349</v>
      </c>
      <c r="E624" s="29" t="s">
        <v>186</v>
      </c>
      <c r="F624" s="29">
        <v>3852</v>
      </c>
      <c r="G624" s="4" t="s">
        <v>397</v>
      </c>
      <c r="H624" s="5">
        <v>1810</v>
      </c>
      <c r="I624" s="4" t="s">
        <v>162</v>
      </c>
      <c r="J624" s="4" t="s">
        <v>23</v>
      </c>
      <c r="K624" s="4" t="s">
        <v>405</v>
      </c>
      <c r="L624" s="4" t="s">
        <v>163</v>
      </c>
      <c r="M624" s="6">
        <v>774.67</v>
      </c>
      <c r="N624" s="6">
        <v>864.82</v>
      </c>
      <c r="O624" s="19">
        <v>0.41670000000000001</v>
      </c>
      <c r="P624" s="6">
        <v>42.68</v>
      </c>
      <c r="Q624" s="6">
        <v>39.42</v>
      </c>
      <c r="R624" s="19">
        <v>0.72729999999999995</v>
      </c>
      <c r="S624" s="20">
        <v>13</v>
      </c>
      <c r="T624" s="6">
        <v>25.08</v>
      </c>
      <c r="U624" s="6">
        <v>29.84</v>
      </c>
      <c r="V624" s="6">
        <v>35.82</v>
      </c>
      <c r="W624" s="19">
        <v>0.86850000000000005</v>
      </c>
      <c r="X624" s="6">
        <v>18.87</v>
      </c>
      <c r="Y624" s="21">
        <v>506808.65479780198</v>
      </c>
      <c r="Z624" s="6">
        <v>9644</v>
      </c>
      <c r="AA624" s="6">
        <v>4.6236739541945999</v>
      </c>
    </row>
    <row r="625" spans="1:27" x14ac:dyDescent="0.25">
      <c r="A625" s="7" t="str">
        <f t="shared" si="9"/>
        <v>3852Providence Sacred Heart Medical Center309934574201, SURGERY ADMIN</v>
      </c>
      <c r="B625" s="7"/>
      <c r="C625" s="29" t="s">
        <v>297</v>
      </c>
      <c r="D625" s="29" t="s">
        <v>349</v>
      </c>
      <c r="E625" s="29" t="s">
        <v>186</v>
      </c>
      <c r="F625" s="29">
        <v>3852</v>
      </c>
      <c r="G625" s="43" t="s">
        <v>397</v>
      </c>
      <c r="H625" s="42">
        <v>3099</v>
      </c>
      <c r="I625" s="43" t="s">
        <v>46</v>
      </c>
      <c r="J625" s="43" t="s">
        <v>47</v>
      </c>
      <c r="K625" s="43" t="s">
        <v>421</v>
      </c>
      <c r="L625" s="43" t="s">
        <v>49</v>
      </c>
      <c r="M625" s="46">
        <v>20163</v>
      </c>
      <c r="N625" s="46">
        <v>21213</v>
      </c>
      <c r="O625" s="45">
        <v>0.58330000000000004</v>
      </c>
      <c r="P625" s="46">
        <v>1.52</v>
      </c>
      <c r="Q625" s="46">
        <v>1.57</v>
      </c>
      <c r="R625" s="45">
        <v>0.66669999999999996</v>
      </c>
      <c r="S625" s="47">
        <v>13</v>
      </c>
      <c r="T625" s="46">
        <v>0.52</v>
      </c>
      <c r="U625" s="46">
        <v>0.77</v>
      </c>
      <c r="V625" s="46">
        <v>0.89</v>
      </c>
      <c r="W625" s="45">
        <v>0.85940000000000005</v>
      </c>
      <c r="X625" s="46">
        <v>18.579999999999998</v>
      </c>
      <c r="Y625" s="48">
        <v>840487.31117744499</v>
      </c>
      <c r="Z625" s="46">
        <v>19746</v>
      </c>
      <c r="AA625" s="46">
        <v>9.4673303497159704</v>
      </c>
    </row>
    <row r="626" spans="1:27" x14ac:dyDescent="0.25">
      <c r="A626" s="7" t="str">
        <f t="shared" si="9"/>
        <v>3852Providence Sacred Heart Medical Center466534574272, PRESURGICAL SCREENING</v>
      </c>
      <c r="B626" s="7"/>
      <c r="C626" s="29" t="s">
        <v>297</v>
      </c>
      <c r="D626" s="29" t="s">
        <v>349</v>
      </c>
      <c r="E626" s="29" t="s">
        <v>186</v>
      </c>
      <c r="F626" s="29">
        <v>3852</v>
      </c>
      <c r="G626" s="4" t="s">
        <v>397</v>
      </c>
      <c r="H626" s="5">
        <v>4665</v>
      </c>
      <c r="I626" s="4" t="s">
        <v>192</v>
      </c>
      <c r="J626" s="4" t="s">
        <v>83</v>
      </c>
      <c r="K626" s="4" t="s">
        <v>424</v>
      </c>
      <c r="L626" s="4" t="s">
        <v>77</v>
      </c>
      <c r="M626" s="6">
        <v>536</v>
      </c>
      <c r="N626" s="6">
        <v>1522</v>
      </c>
      <c r="O626" s="19">
        <v>0.58330000000000004</v>
      </c>
      <c r="P626" s="6">
        <v>50.05</v>
      </c>
      <c r="Q626" s="6">
        <v>18</v>
      </c>
      <c r="R626" s="19">
        <v>1</v>
      </c>
      <c r="S626" s="20">
        <v>13</v>
      </c>
      <c r="T626" s="6">
        <v>3.79</v>
      </c>
      <c r="U626" s="6">
        <v>3.87</v>
      </c>
      <c r="V626" s="6">
        <v>4.29</v>
      </c>
      <c r="W626" s="19">
        <v>0.84919999999999995</v>
      </c>
      <c r="X626" s="6">
        <v>15.51</v>
      </c>
      <c r="Y626" s="21">
        <v>1087258.90866325</v>
      </c>
      <c r="Z626" s="6">
        <v>25413</v>
      </c>
      <c r="AA626" s="6">
        <v>12.1844476343644</v>
      </c>
    </row>
    <row r="627" spans="1:27" x14ac:dyDescent="0.25">
      <c r="A627" s="7" t="str">
        <f t="shared" si="9"/>
        <v>3852Providence Sacred Heart Medical Center201034570100, EMERGENCY SERVICES</v>
      </c>
      <c r="B627" s="7"/>
      <c r="C627" s="29" t="s">
        <v>297</v>
      </c>
      <c r="D627" s="29" t="s">
        <v>349</v>
      </c>
      <c r="E627" s="29" t="s">
        <v>186</v>
      </c>
      <c r="F627" s="29">
        <v>3852</v>
      </c>
      <c r="G627" s="43" t="s">
        <v>397</v>
      </c>
      <c r="H627" s="42">
        <v>2010</v>
      </c>
      <c r="I627" s="43" t="s">
        <v>75</v>
      </c>
      <c r="J627" s="43" t="s">
        <v>76</v>
      </c>
      <c r="K627" s="43" t="s">
        <v>416</v>
      </c>
      <c r="L627" s="43" t="s">
        <v>77</v>
      </c>
      <c r="M627" s="46">
        <v>78723</v>
      </c>
      <c r="N627" s="46">
        <v>86336</v>
      </c>
      <c r="O627" s="45">
        <v>0.46150000000000002</v>
      </c>
      <c r="P627" s="46">
        <v>3.73</v>
      </c>
      <c r="Q627" s="46">
        <f>(330632.97-14975)/N627</f>
        <v>3.6561569912898442</v>
      </c>
      <c r="R627" s="45">
        <v>0.92310000000000003</v>
      </c>
      <c r="S627" s="47">
        <v>14</v>
      </c>
      <c r="T627" s="46">
        <v>2.74</v>
      </c>
      <c r="U627" s="46">
        <v>2.78</v>
      </c>
      <c r="V627" s="46">
        <v>2.95</v>
      </c>
      <c r="W627" s="45">
        <v>0.8931</v>
      </c>
      <c r="X627" s="46">
        <v>177.98</v>
      </c>
      <c r="Y627" s="48">
        <f>Z627*(( 14736515-467400)/(330633-14975))</f>
        <v>3828723.4888204788</v>
      </c>
      <c r="Z627" s="46">
        <f>SUM((Q627-U627)*N627)/W627</f>
        <v>84698.118911656027</v>
      </c>
      <c r="AA627" s="46">
        <f>+Z627/2085.7</f>
        <v>40.608965293022024</v>
      </c>
    </row>
    <row r="628" spans="1:27" x14ac:dyDescent="0.25">
      <c r="A628" s="7" t="str">
        <f t="shared" si="9"/>
        <v>3852Providence Sacred Heart Medical Center139034561705 PSYCH MEDICAL &amp; 34563400 MAIN ADULT PSYCH</v>
      </c>
      <c r="B628" s="7"/>
      <c r="C628" s="29" t="s">
        <v>297</v>
      </c>
      <c r="D628" s="29" t="s">
        <v>349</v>
      </c>
      <c r="E628" s="29" t="s">
        <v>186</v>
      </c>
      <c r="F628" s="29">
        <v>3852</v>
      </c>
      <c r="G628" s="4" t="s">
        <v>397</v>
      </c>
      <c r="H628" s="5">
        <v>1390</v>
      </c>
      <c r="I628" s="4" t="s">
        <v>174</v>
      </c>
      <c r="J628" s="4" t="s">
        <v>23</v>
      </c>
      <c r="K628" s="4" t="s">
        <v>401</v>
      </c>
      <c r="L628" s="4" t="s">
        <v>114</v>
      </c>
      <c r="M628" s="7"/>
      <c r="N628" s="6">
        <v>11314</v>
      </c>
      <c r="O628" s="19">
        <v>0.53849999999999998</v>
      </c>
      <c r="P628" s="7"/>
      <c r="Q628" s="6">
        <v>9.5</v>
      </c>
      <c r="R628" s="19">
        <v>0.15379999999999999</v>
      </c>
      <c r="S628" s="20">
        <v>14</v>
      </c>
      <c r="T628" s="6">
        <v>9.76</v>
      </c>
      <c r="U628" s="6">
        <v>10.31</v>
      </c>
      <c r="V628" s="6">
        <v>11.43</v>
      </c>
      <c r="W628" s="19">
        <v>0.85670000000000002</v>
      </c>
      <c r="X628" s="6">
        <v>60.32</v>
      </c>
      <c r="Y628" s="21">
        <v>-399328.48449927702</v>
      </c>
      <c r="Z628" s="6">
        <v>-10350</v>
      </c>
      <c r="AA628" s="6">
        <v>-4.9621173249208503</v>
      </c>
    </row>
    <row r="629" spans="1:27" x14ac:dyDescent="0.25">
      <c r="A629" s="7" t="str">
        <f t="shared" si="9"/>
        <v>3852Providence Sacred Heart Medical Center126034560501, PICU INTERMEDIATE</v>
      </c>
      <c r="B629" s="7"/>
      <c r="C629" s="29" t="s">
        <v>297</v>
      </c>
      <c r="D629" s="29" t="s">
        <v>349</v>
      </c>
      <c r="E629" s="29" t="s">
        <v>186</v>
      </c>
      <c r="F629" s="29">
        <v>3852</v>
      </c>
      <c r="G629" s="4" t="s">
        <v>397</v>
      </c>
      <c r="H629" s="5">
        <v>1260</v>
      </c>
      <c r="I629" s="4" t="s">
        <v>173</v>
      </c>
      <c r="J629" s="4" t="s">
        <v>23</v>
      </c>
      <c r="K629" s="4" t="s">
        <v>412</v>
      </c>
      <c r="L629" s="4" t="s">
        <v>74</v>
      </c>
      <c r="M629" s="6">
        <v>7214.39</v>
      </c>
      <c r="N629" s="6">
        <v>7683</v>
      </c>
      <c r="O629" s="19">
        <v>0.61539999999999995</v>
      </c>
      <c r="P629" s="6">
        <v>11.22</v>
      </c>
      <c r="Q629" s="6">
        <v>11.86</v>
      </c>
      <c r="R629" s="19">
        <v>0.5</v>
      </c>
      <c r="S629" s="20">
        <v>14</v>
      </c>
      <c r="T629" s="6">
        <v>11.27</v>
      </c>
      <c r="U629" s="6">
        <v>11.59</v>
      </c>
      <c r="V629" s="6">
        <v>11.86</v>
      </c>
      <c r="W629" s="19">
        <v>0.85089999999999999</v>
      </c>
      <c r="X629" s="6">
        <v>51.5</v>
      </c>
      <c r="Y629" s="21">
        <v>113924.25323022901</v>
      </c>
      <c r="Z629" s="6">
        <v>2764</v>
      </c>
      <c r="AA629" s="6">
        <v>1.32540168133249</v>
      </c>
    </row>
    <row r="630" spans="1:27" x14ac:dyDescent="0.25">
      <c r="A630" s="7" t="str">
        <f t="shared" si="9"/>
        <v>3852Providence Sacred Heart Medical Center3399Laboratory Services Administration</v>
      </c>
      <c r="B630" s="7"/>
      <c r="C630" s="29" t="s">
        <v>297</v>
      </c>
      <c r="D630" s="29" t="s">
        <v>349</v>
      </c>
      <c r="E630" s="29" t="s">
        <v>186</v>
      </c>
      <c r="F630" s="29">
        <v>3852</v>
      </c>
      <c r="G630" s="4" t="s">
        <v>397</v>
      </c>
      <c r="H630" s="5">
        <v>3399</v>
      </c>
      <c r="I630" s="4" t="s">
        <v>52</v>
      </c>
      <c r="J630" s="4" t="s">
        <v>53</v>
      </c>
      <c r="K630" s="4" t="s">
        <v>52</v>
      </c>
      <c r="L630" s="4" t="s">
        <v>55</v>
      </c>
      <c r="M630" s="6">
        <v>27742.22</v>
      </c>
      <c r="N630" s="6">
        <v>27991.25</v>
      </c>
      <c r="O630" s="19">
        <v>0.61539999999999995</v>
      </c>
      <c r="P630" s="6">
        <v>1.63</v>
      </c>
      <c r="Q630" s="6">
        <v>1.39</v>
      </c>
      <c r="R630" s="19">
        <v>0.41670000000000001</v>
      </c>
      <c r="S630" s="20">
        <v>14</v>
      </c>
      <c r="T630" s="6">
        <v>1.07</v>
      </c>
      <c r="U630" s="6">
        <v>1.21</v>
      </c>
      <c r="V630" s="6">
        <v>1.41</v>
      </c>
      <c r="W630" s="19">
        <v>0.85699999999999998</v>
      </c>
      <c r="X630" s="6">
        <v>21.8</v>
      </c>
      <c r="Y630" s="21">
        <v>191810.30621653699</v>
      </c>
      <c r="Z630" s="6">
        <v>5947</v>
      </c>
      <c r="AA630" s="6">
        <v>2.85149283203079</v>
      </c>
    </row>
    <row r="631" spans="1:27" x14ac:dyDescent="0.25">
      <c r="A631" s="7" t="str">
        <f t="shared" si="9"/>
        <v>3852Providence Sacred Heart Medical Center449034582500, PHARMACIST RESIDENCY PROG</v>
      </c>
      <c r="B631" s="7"/>
      <c r="C631" s="29" t="s">
        <v>297</v>
      </c>
      <c r="D631" s="29" t="s">
        <v>349</v>
      </c>
      <c r="E631" s="29" t="s">
        <v>186</v>
      </c>
      <c r="F631" s="29">
        <v>3852</v>
      </c>
      <c r="G631" s="4" t="s">
        <v>397</v>
      </c>
      <c r="H631" s="5">
        <v>4490</v>
      </c>
      <c r="I631" s="4" t="s">
        <v>36</v>
      </c>
      <c r="J631" s="4" t="s">
        <v>37</v>
      </c>
      <c r="K631" s="4" t="s">
        <v>438</v>
      </c>
      <c r="L631" s="4" t="s">
        <v>39</v>
      </c>
      <c r="M631" s="6">
        <v>80953.97</v>
      </c>
      <c r="N631" s="6">
        <v>81253.23</v>
      </c>
      <c r="O631" s="19">
        <v>0.61539999999999995</v>
      </c>
      <c r="P631" s="6">
        <v>0.43</v>
      </c>
      <c r="Q631" s="6">
        <v>0.26</v>
      </c>
      <c r="R631" s="19">
        <v>0.58330000000000004</v>
      </c>
      <c r="S631" s="20">
        <v>14</v>
      </c>
      <c r="T631" s="6">
        <v>0.15</v>
      </c>
      <c r="U631" s="6">
        <v>0.17</v>
      </c>
      <c r="V631" s="6">
        <v>0.24</v>
      </c>
      <c r="W631" s="19">
        <v>0.83389999999999997</v>
      </c>
      <c r="X631" s="6">
        <v>12.33</v>
      </c>
      <c r="Y631" s="21">
        <v>0</v>
      </c>
      <c r="Z631" s="6">
        <v>0</v>
      </c>
      <c r="AA631" s="6">
        <v>0</v>
      </c>
    </row>
    <row r="632" spans="1:27" x14ac:dyDescent="0.25">
      <c r="A632" s="7" t="str">
        <f t="shared" si="9"/>
        <v>3852Providence Sacred Heart Medical Center127634563801 ANTEPARTUM</v>
      </c>
      <c r="B632" s="7"/>
      <c r="C632" s="29" t="s">
        <v>297</v>
      </c>
      <c r="D632" s="29" t="s">
        <v>349</v>
      </c>
      <c r="E632" s="29" t="s">
        <v>186</v>
      </c>
      <c r="F632" s="29">
        <v>3852</v>
      </c>
      <c r="G632" s="4" t="s">
        <v>397</v>
      </c>
      <c r="H632" s="5">
        <v>1276</v>
      </c>
      <c r="I632" s="4" t="s">
        <v>175</v>
      </c>
      <c r="J632" s="4" t="s">
        <v>23</v>
      </c>
      <c r="K632" s="4" t="s">
        <v>414</v>
      </c>
      <c r="L632" s="4" t="s">
        <v>74</v>
      </c>
      <c r="M632" s="6">
        <v>2145.77</v>
      </c>
      <c r="N632" s="6">
        <v>2453</v>
      </c>
      <c r="O632" s="19">
        <v>0.61539999999999995</v>
      </c>
      <c r="P632" s="6">
        <v>9.15</v>
      </c>
      <c r="Q632" s="6">
        <v>8.9700000000000006</v>
      </c>
      <c r="R632" s="19">
        <v>0.3846</v>
      </c>
      <c r="S632" s="20">
        <v>14</v>
      </c>
      <c r="T632" s="6">
        <v>8.74</v>
      </c>
      <c r="U632" s="6">
        <v>8.91</v>
      </c>
      <c r="V632" s="6">
        <v>9.3000000000000007</v>
      </c>
      <c r="W632" s="19">
        <v>1</v>
      </c>
      <c r="X632" s="6">
        <v>10.58</v>
      </c>
      <c r="Y632" s="21">
        <v>10836.1938678351</v>
      </c>
      <c r="Z632" s="6">
        <v>210</v>
      </c>
      <c r="AA632" s="6">
        <v>0.100913841875629</v>
      </c>
    </row>
    <row r="633" spans="1:27" x14ac:dyDescent="0.25">
      <c r="A633" s="7" t="str">
        <f t="shared" si="9"/>
        <v>3852Providence Sacred Heart Medical Center471034572610, BEST PROGRAM</v>
      </c>
      <c r="B633" s="7"/>
      <c r="C633" s="29" t="s">
        <v>297</v>
      </c>
      <c r="D633" s="29" t="s">
        <v>349</v>
      </c>
      <c r="E633" s="29" t="s">
        <v>186</v>
      </c>
      <c r="F633" s="29">
        <v>3852</v>
      </c>
      <c r="G633" s="4" t="s">
        <v>397</v>
      </c>
      <c r="H633" s="5">
        <v>4710</v>
      </c>
      <c r="I633" s="4" t="s">
        <v>267</v>
      </c>
      <c r="J633" s="4" t="s">
        <v>268</v>
      </c>
      <c r="K633" s="4" t="s">
        <v>418</v>
      </c>
      <c r="L633" s="4" t="s">
        <v>269</v>
      </c>
      <c r="M633" s="6">
        <v>641</v>
      </c>
      <c r="N633" s="6">
        <v>17940</v>
      </c>
      <c r="O633" s="19">
        <v>0.61539999999999995</v>
      </c>
      <c r="P633" s="6">
        <v>14.95</v>
      </c>
      <c r="Q633" s="6">
        <v>0.55000000000000004</v>
      </c>
      <c r="R633" s="19">
        <v>0.1</v>
      </c>
      <c r="S633" s="20">
        <v>14</v>
      </c>
      <c r="T633" s="6">
        <v>0.67</v>
      </c>
      <c r="U633" s="6">
        <v>0.77</v>
      </c>
      <c r="V633" s="6">
        <v>0.88</v>
      </c>
      <c r="W633" s="19">
        <v>0.8639</v>
      </c>
      <c r="X633" s="6">
        <v>5.48</v>
      </c>
      <c r="Y633" s="21">
        <v>-143522.71313945099</v>
      </c>
      <c r="Z633" s="6">
        <v>-4560</v>
      </c>
      <c r="AA633" s="6">
        <v>-2.1865125109622201</v>
      </c>
    </row>
    <row r="634" spans="1:27" x14ac:dyDescent="0.25">
      <c r="A634" s="7" t="str">
        <f t="shared" si="9"/>
        <v>3852Providence Sacred Heart Medical Center504034584610, CLINICAL ENGINEERING</v>
      </c>
      <c r="B634" s="7"/>
      <c r="C634" s="29" t="s">
        <v>297</v>
      </c>
      <c r="D634" s="29" t="s">
        <v>349</v>
      </c>
      <c r="E634" s="29" t="s">
        <v>186</v>
      </c>
      <c r="F634" s="29">
        <v>3852</v>
      </c>
      <c r="G634" s="4" t="s">
        <v>397</v>
      </c>
      <c r="H634" s="5">
        <v>5040</v>
      </c>
      <c r="I634" s="4" t="s">
        <v>142</v>
      </c>
      <c r="J634" s="4" t="s">
        <v>62</v>
      </c>
      <c r="K634" s="4" t="s">
        <v>447</v>
      </c>
      <c r="L634" s="4" t="s">
        <v>143</v>
      </c>
      <c r="M634" s="6">
        <v>125</v>
      </c>
      <c r="N634" s="6">
        <v>135</v>
      </c>
      <c r="O634" s="19">
        <v>0.57140000000000002</v>
      </c>
      <c r="P634" s="6">
        <v>233.71</v>
      </c>
      <c r="Q634" s="6">
        <v>198.48</v>
      </c>
      <c r="R634" s="19">
        <v>0.91669999999999996</v>
      </c>
      <c r="S634" s="20">
        <v>15</v>
      </c>
      <c r="T634" s="6">
        <v>142.13999999999999</v>
      </c>
      <c r="U634" s="6">
        <v>157.13</v>
      </c>
      <c r="V634" s="6">
        <v>171.09</v>
      </c>
      <c r="W634" s="19">
        <v>0.81510000000000005</v>
      </c>
      <c r="X634" s="6">
        <v>15.8</v>
      </c>
      <c r="Y634" s="21">
        <v>255624.937184062</v>
      </c>
      <c r="Z634" s="6">
        <v>6930</v>
      </c>
      <c r="AA634" s="6">
        <v>3.3224262720067501</v>
      </c>
    </row>
    <row r="635" spans="1:27" x14ac:dyDescent="0.25">
      <c r="A635" s="7" t="str">
        <f t="shared" si="9"/>
        <v>3852Providence Sacred Heart Medical Center522034583500, LAUNDRY AND LINEN</v>
      </c>
      <c r="B635" s="7"/>
      <c r="C635" s="29" t="s">
        <v>297</v>
      </c>
      <c r="D635" s="29" t="s">
        <v>349</v>
      </c>
      <c r="E635" s="29" t="s">
        <v>186</v>
      </c>
      <c r="F635" s="29">
        <v>3852</v>
      </c>
      <c r="G635" s="4" t="s">
        <v>397</v>
      </c>
      <c r="H635" s="5">
        <v>5220</v>
      </c>
      <c r="I635" s="4" t="s">
        <v>167</v>
      </c>
      <c r="J635" s="4" t="s">
        <v>50</v>
      </c>
      <c r="K635" s="4" t="s">
        <v>440</v>
      </c>
      <c r="L635" s="4" t="s">
        <v>168</v>
      </c>
      <c r="M635" s="6">
        <v>60820.7</v>
      </c>
      <c r="N635" s="6">
        <v>61341.19</v>
      </c>
      <c r="O635" s="19">
        <v>0.73329999999999995</v>
      </c>
      <c r="P635" s="6">
        <v>1.4</v>
      </c>
      <c r="Q635" s="6">
        <v>1.43</v>
      </c>
      <c r="R635" s="19">
        <v>0.69230000000000003</v>
      </c>
      <c r="S635" s="20">
        <v>16</v>
      </c>
      <c r="T635" s="6">
        <v>1.1299999999999999</v>
      </c>
      <c r="U635" s="6">
        <v>1.17</v>
      </c>
      <c r="V635" s="6">
        <v>1.24</v>
      </c>
      <c r="W635" s="19">
        <v>0.87570000000000003</v>
      </c>
      <c r="X635" s="6">
        <v>48.3</v>
      </c>
      <c r="Y635" s="21">
        <v>340196.70401848701</v>
      </c>
      <c r="Z635" s="6">
        <v>18783</v>
      </c>
      <c r="AA635" s="6">
        <v>9.0055813578303194</v>
      </c>
    </row>
    <row r="636" spans="1:27" x14ac:dyDescent="0.25">
      <c r="A636" s="7" t="str">
        <f t="shared" si="9"/>
        <v>3852Providence Sacred Heart Medical Center307134574704, STERILE PROCESSING</v>
      </c>
      <c r="B636" s="7"/>
      <c r="C636" s="29" t="s">
        <v>297</v>
      </c>
      <c r="D636" s="29" t="s">
        <v>349</v>
      </c>
      <c r="E636" s="29" t="s">
        <v>186</v>
      </c>
      <c r="F636" s="29">
        <v>3852</v>
      </c>
      <c r="G636" s="4" t="s">
        <v>397</v>
      </c>
      <c r="H636" s="5">
        <v>3071</v>
      </c>
      <c r="I636" s="4" t="s">
        <v>290</v>
      </c>
      <c r="J636" s="4" t="s">
        <v>47</v>
      </c>
      <c r="K636" s="4" t="s">
        <v>426</v>
      </c>
      <c r="L636" s="4" t="s">
        <v>92</v>
      </c>
      <c r="M636" s="6">
        <v>2363.42</v>
      </c>
      <c r="N636" s="6">
        <v>2463.9699999999998</v>
      </c>
      <c r="O636" s="19">
        <v>0.6</v>
      </c>
      <c r="P636" s="6">
        <v>27.08</v>
      </c>
      <c r="Q636" s="6">
        <v>26.37</v>
      </c>
      <c r="R636" s="19">
        <v>0.85709999999999997</v>
      </c>
      <c r="S636" s="20">
        <v>16</v>
      </c>
      <c r="T636" s="6">
        <v>19.149999999999999</v>
      </c>
      <c r="U636" s="6">
        <v>19.73</v>
      </c>
      <c r="V636" s="6">
        <v>19.989999999999998</v>
      </c>
      <c r="W636" s="19">
        <v>0.88770000000000004</v>
      </c>
      <c r="X636" s="6">
        <v>35.200000000000003</v>
      </c>
      <c r="Y636" s="21">
        <v>371840.94654259703</v>
      </c>
      <c r="Z636" s="6">
        <v>18653</v>
      </c>
      <c r="AA636" s="6">
        <v>8.9430401537661908</v>
      </c>
    </row>
    <row r="637" spans="1:27" x14ac:dyDescent="0.25">
      <c r="A637" s="7" t="str">
        <f t="shared" si="9"/>
        <v>3852Providence Sacred Heart Medical Center422034575900, CARDIOLOGY (U)</v>
      </c>
      <c r="B637" s="7"/>
      <c r="C637" s="29" t="s">
        <v>297</v>
      </c>
      <c r="D637" s="29" t="s">
        <v>349</v>
      </c>
      <c r="E637" s="29" t="s">
        <v>186</v>
      </c>
      <c r="F637" s="29">
        <v>3852</v>
      </c>
      <c r="G637" s="4" t="s">
        <v>397</v>
      </c>
      <c r="H637" s="5">
        <v>4220</v>
      </c>
      <c r="I637" s="4" t="s">
        <v>98</v>
      </c>
      <c r="J637" s="4" t="s">
        <v>60</v>
      </c>
      <c r="K637" s="4" t="s">
        <v>429</v>
      </c>
      <c r="L637" s="4" t="s">
        <v>99</v>
      </c>
      <c r="M637" s="6">
        <v>60488.59</v>
      </c>
      <c r="N637" s="6">
        <v>93214.84</v>
      </c>
      <c r="O637" s="19">
        <v>0.40550000000000003</v>
      </c>
      <c r="P637" s="6">
        <v>0.45</v>
      </c>
      <c r="Q637" s="6">
        <v>0.28999999999999998</v>
      </c>
      <c r="R637" s="19">
        <v>0.50980000000000003</v>
      </c>
      <c r="S637" s="20">
        <v>17</v>
      </c>
      <c r="T637" s="6">
        <v>0.25</v>
      </c>
      <c r="U637" s="6">
        <v>0.27</v>
      </c>
      <c r="V637" s="6">
        <v>0.28000000000000003</v>
      </c>
      <c r="W637" s="19">
        <v>0.87290000000000001</v>
      </c>
      <c r="X637" s="6">
        <v>14.77</v>
      </c>
      <c r="Y637" s="21">
        <v>67809.677099689696</v>
      </c>
      <c r="Z637" s="6">
        <v>1973</v>
      </c>
      <c r="AA637" s="6">
        <v>0.94603937955809803</v>
      </c>
    </row>
    <row r="638" spans="1:27" x14ac:dyDescent="0.25">
      <c r="A638" s="7" t="str">
        <f t="shared" si="9"/>
        <v>3852Providence Sacred Heart Medical Center5111Clinical Nutrition Services (U,N)</v>
      </c>
      <c r="B638" s="7"/>
      <c r="C638" s="29" t="s">
        <v>297</v>
      </c>
      <c r="D638" s="29" t="s">
        <v>349</v>
      </c>
      <c r="E638" s="29" t="s">
        <v>186</v>
      </c>
      <c r="F638" s="29">
        <v>3852</v>
      </c>
      <c r="G638" s="4" t="s">
        <v>397</v>
      </c>
      <c r="H638" s="5">
        <v>5111</v>
      </c>
      <c r="I638" s="4" t="s">
        <v>64</v>
      </c>
      <c r="J638" s="4" t="s">
        <v>65</v>
      </c>
      <c r="K638" s="4" t="s">
        <v>66</v>
      </c>
      <c r="L638" s="4" t="s">
        <v>67</v>
      </c>
      <c r="M638" s="7"/>
      <c r="N638" s="6">
        <v>90126</v>
      </c>
      <c r="O638" s="7"/>
      <c r="P638" s="7"/>
      <c r="Q638" s="6">
        <v>0.45</v>
      </c>
      <c r="R638" s="19">
        <v>0.48559999999999998</v>
      </c>
      <c r="S638" s="20">
        <v>18</v>
      </c>
      <c r="T638" s="6">
        <v>0.39</v>
      </c>
      <c r="U638" s="6">
        <v>0.44</v>
      </c>
      <c r="V638" s="6">
        <v>0.45</v>
      </c>
      <c r="W638" s="19">
        <v>0.87450000000000006</v>
      </c>
      <c r="X638" s="6">
        <v>22.17</v>
      </c>
      <c r="Y638" s="21">
        <v>24024.783343086601</v>
      </c>
      <c r="Z638" s="6">
        <v>894</v>
      </c>
      <c r="AA638" s="6">
        <v>0.42841919051655403</v>
      </c>
    </row>
    <row r="639" spans="1:27" x14ac:dyDescent="0.25">
      <c r="A639" s="7" t="str">
        <f t="shared" si="9"/>
        <v>3852Providence Sacred Heart Medical Center633034590300, FOUNDATION</v>
      </c>
      <c r="B639" s="7"/>
      <c r="C639" s="29" t="s">
        <v>297</v>
      </c>
      <c r="D639" s="29" t="s">
        <v>349</v>
      </c>
      <c r="E639" s="29" t="s">
        <v>186</v>
      </c>
      <c r="F639" s="29">
        <v>3852</v>
      </c>
      <c r="G639" s="4" t="s">
        <v>397</v>
      </c>
      <c r="H639" s="5">
        <v>6330</v>
      </c>
      <c r="I639" s="4" t="s">
        <v>169</v>
      </c>
      <c r="J639" s="4" t="s">
        <v>16</v>
      </c>
      <c r="K639" s="4" t="s">
        <v>457</v>
      </c>
      <c r="L639" s="4" t="s">
        <v>170</v>
      </c>
      <c r="M639" s="6">
        <v>153.1</v>
      </c>
      <c r="N639" s="6">
        <v>1169.49</v>
      </c>
      <c r="O639" s="19">
        <v>0.82350000000000001</v>
      </c>
      <c r="P639" s="6">
        <v>95.62</v>
      </c>
      <c r="Q639" s="6">
        <v>15.24</v>
      </c>
      <c r="R639" s="19">
        <v>0.3125</v>
      </c>
      <c r="S639" s="20">
        <v>18</v>
      </c>
      <c r="T639" s="6">
        <v>14.29</v>
      </c>
      <c r="U639" s="6">
        <v>16.09</v>
      </c>
      <c r="V639" s="6">
        <v>22.68</v>
      </c>
      <c r="W639" s="19">
        <v>0.90969999999999995</v>
      </c>
      <c r="X639" s="6">
        <v>9.42</v>
      </c>
      <c r="Y639" s="21">
        <v>-34109.0658646335</v>
      </c>
      <c r="Z639" s="6">
        <v>-1038</v>
      </c>
      <c r="AA639" s="6">
        <v>-0.497507118530915</v>
      </c>
    </row>
    <row r="640" spans="1:27" x14ac:dyDescent="0.25">
      <c r="A640" s="7" t="str">
        <f t="shared" si="9"/>
        <v>3852Providence Sacred Heart Medical Center661034586100, 86103 ADMINISTRATION</v>
      </c>
      <c r="B640" s="7"/>
      <c r="C640" s="29" t="s">
        <v>297</v>
      </c>
      <c r="D640" s="29" t="s">
        <v>349</v>
      </c>
      <c r="E640" s="29" t="s">
        <v>186</v>
      </c>
      <c r="F640" s="29">
        <v>3852</v>
      </c>
      <c r="G640" s="4" t="s">
        <v>397</v>
      </c>
      <c r="H640" s="5">
        <v>6610</v>
      </c>
      <c r="I640" s="4" t="s">
        <v>72</v>
      </c>
      <c r="J640" s="4" t="s">
        <v>72</v>
      </c>
      <c r="K640" s="4" t="s">
        <v>449</v>
      </c>
      <c r="L640" s="4" t="s">
        <v>14</v>
      </c>
      <c r="M640" s="6">
        <v>432.91</v>
      </c>
      <c r="N640" s="6">
        <v>421</v>
      </c>
      <c r="O640" s="19">
        <v>0.4118</v>
      </c>
      <c r="P640" s="6">
        <v>27.04</v>
      </c>
      <c r="Q640" s="6">
        <v>30.53</v>
      </c>
      <c r="R640" s="19">
        <v>0</v>
      </c>
      <c r="S640" s="20">
        <v>18</v>
      </c>
      <c r="T640" s="6">
        <v>53.31</v>
      </c>
      <c r="U640" s="6">
        <v>57.99</v>
      </c>
      <c r="V640" s="6">
        <v>63.3</v>
      </c>
      <c r="W640" s="19">
        <v>0.88759999999999994</v>
      </c>
      <c r="X640" s="6">
        <v>6.96</v>
      </c>
      <c r="Y640" s="21">
        <v>-924506.98698065802</v>
      </c>
      <c r="Z640" s="6">
        <v>-12989</v>
      </c>
      <c r="AA640" s="94">
        <v>-6.2276092319287502</v>
      </c>
    </row>
    <row r="641" spans="1:27" x14ac:dyDescent="0.25">
      <c r="A641" s="7" t="str">
        <f t="shared" si="9"/>
        <v>3852Providence Sacred Heart Medical Center511234583400, DIETARY</v>
      </c>
      <c r="B641" s="7"/>
      <c r="C641" s="29" t="s">
        <v>297</v>
      </c>
      <c r="D641" s="29" t="s">
        <v>349</v>
      </c>
      <c r="E641" s="29" t="s">
        <v>186</v>
      </c>
      <c r="F641" s="29">
        <v>3852</v>
      </c>
      <c r="G641" s="4" t="s">
        <v>397</v>
      </c>
      <c r="H641" s="5">
        <v>5112</v>
      </c>
      <c r="I641" s="4" t="s">
        <v>281</v>
      </c>
      <c r="J641" s="4" t="s">
        <v>65</v>
      </c>
      <c r="K641" s="4" t="s">
        <v>439</v>
      </c>
      <c r="L641" s="4" t="s">
        <v>282</v>
      </c>
      <c r="M641" s="6">
        <v>1870430.88</v>
      </c>
      <c r="N641" s="6">
        <v>2000825.45</v>
      </c>
      <c r="O641" s="19">
        <v>0.77780000000000005</v>
      </c>
      <c r="P641" s="6">
        <v>0.09</v>
      </c>
      <c r="Q641" s="6">
        <v>0.09</v>
      </c>
      <c r="R641" s="19">
        <v>0.4118</v>
      </c>
      <c r="S641" s="20">
        <v>19</v>
      </c>
      <c r="T641" s="6">
        <v>0.08</v>
      </c>
      <c r="U641" s="6">
        <v>0.09</v>
      </c>
      <c r="V641" s="6">
        <v>0.1</v>
      </c>
      <c r="W641" s="19">
        <v>0.88759999999999994</v>
      </c>
      <c r="X641" s="6">
        <v>99.62</v>
      </c>
      <c r="Y641" s="21">
        <v>86698.235126552201</v>
      </c>
      <c r="Z641" s="6">
        <v>4900</v>
      </c>
      <c r="AA641" s="6">
        <v>2.34917986798362</v>
      </c>
    </row>
    <row r="642" spans="1:27" x14ac:dyDescent="0.25">
      <c r="A642" s="7" t="str">
        <f t="shared" si="9"/>
        <v>3852Providence Sacred Heart Medical Center101034560100, ICU</v>
      </c>
      <c r="B642" s="7"/>
      <c r="C642" s="29" t="s">
        <v>297</v>
      </c>
      <c r="D642" s="29" t="s">
        <v>349</v>
      </c>
      <c r="E642" s="29" t="s">
        <v>186</v>
      </c>
      <c r="F642" s="29">
        <v>3852</v>
      </c>
      <c r="G642" s="4" t="s">
        <v>397</v>
      </c>
      <c r="H642" s="5">
        <v>1010</v>
      </c>
      <c r="I642" s="4" t="s">
        <v>287</v>
      </c>
      <c r="J642" s="4" t="s">
        <v>23</v>
      </c>
      <c r="K642" s="4" t="s">
        <v>407</v>
      </c>
      <c r="L642" s="4" t="s">
        <v>74</v>
      </c>
      <c r="M642" s="6">
        <v>7107.63</v>
      </c>
      <c r="N642" s="6">
        <v>7075.27</v>
      </c>
      <c r="O642" s="19">
        <v>0.55559999999999998</v>
      </c>
      <c r="P642" s="6">
        <v>19.45</v>
      </c>
      <c r="Q642" s="6">
        <v>20.07</v>
      </c>
      <c r="R642" s="19">
        <v>0.75</v>
      </c>
      <c r="S642" s="20">
        <v>19</v>
      </c>
      <c r="T642" s="6">
        <v>18.170000000000002</v>
      </c>
      <c r="U642" s="6">
        <v>19.07</v>
      </c>
      <c r="V642" s="6">
        <v>20.12</v>
      </c>
      <c r="W642" s="19">
        <v>0.85670000000000002</v>
      </c>
      <c r="X642" s="6">
        <v>79.7</v>
      </c>
      <c r="Y642" s="56">
        <f>Z642*48.57</f>
        <v>401127.42371892149</v>
      </c>
      <c r="Z642" s="55">
        <f>SUM((Q642-U642)*N642)/W642</f>
        <v>8258.7486868215256</v>
      </c>
      <c r="AA642" s="53">
        <f>+Z642/2085.7</f>
        <v>3.9597011491688767</v>
      </c>
    </row>
    <row r="643" spans="1:27" x14ac:dyDescent="0.25">
      <c r="A643" s="7" t="str">
        <f t="shared" ref="A643:A706" si="10">F643&amp;G643&amp;H643&amp;K643</f>
        <v>3852Providence Sacred Heart Medical Center106034560500, PICU</v>
      </c>
      <c r="B643" s="7"/>
      <c r="C643" s="29" t="s">
        <v>297</v>
      </c>
      <c r="D643" s="29" t="s">
        <v>349</v>
      </c>
      <c r="E643" s="29" t="s">
        <v>186</v>
      </c>
      <c r="F643" s="29">
        <v>3852</v>
      </c>
      <c r="G643" s="149" t="s">
        <v>397</v>
      </c>
      <c r="H643" s="150">
        <v>1060</v>
      </c>
      <c r="I643" s="149" t="s">
        <v>159</v>
      </c>
      <c r="J643" s="149" t="s">
        <v>23</v>
      </c>
      <c r="K643" s="149" t="s">
        <v>411</v>
      </c>
      <c r="L643" s="149" t="s">
        <v>74</v>
      </c>
      <c r="M643" s="137">
        <v>3063.53</v>
      </c>
      <c r="N643" s="137">
        <v>3496</v>
      </c>
      <c r="O643" s="151">
        <v>0.9</v>
      </c>
      <c r="P643" s="137">
        <v>23.89</v>
      </c>
      <c r="Q643" s="137">
        <v>23.66</v>
      </c>
      <c r="R643" s="151">
        <v>0.7</v>
      </c>
      <c r="S643" s="152">
        <v>19</v>
      </c>
      <c r="T643" s="137">
        <v>18.59</v>
      </c>
      <c r="U643" s="137">
        <v>19.059999999999999</v>
      </c>
      <c r="V643" s="137">
        <v>20.350000000000001</v>
      </c>
      <c r="W643" s="151">
        <v>0.86339999999999995</v>
      </c>
      <c r="X643" s="137">
        <v>46.06</v>
      </c>
      <c r="Y643" s="136">
        <f>Z643*47.65</f>
        <v>887524.02131109615</v>
      </c>
      <c r="Z643" s="137">
        <f>SUM((Q643-U643)*N643)/W643</f>
        <v>18625.897614083864</v>
      </c>
      <c r="AA643" s="137">
        <f>+Z643/2085.7</f>
        <v>8.9302860498076733</v>
      </c>
    </row>
    <row r="644" spans="1:27" x14ac:dyDescent="0.25">
      <c r="A644" s="7" t="str">
        <f t="shared" si="10"/>
        <v>3852Providence Sacred Heart Medical Center651034587100, MEDICAL STAFF SERVICES</v>
      </c>
      <c r="B644" s="7"/>
      <c r="C644" s="29" t="s">
        <v>297</v>
      </c>
      <c r="D644" s="29" t="s">
        <v>349</v>
      </c>
      <c r="E644" s="29" t="s">
        <v>186</v>
      </c>
      <c r="F644" s="29">
        <v>3852</v>
      </c>
      <c r="G644" s="4" t="s">
        <v>397</v>
      </c>
      <c r="H644" s="5">
        <v>6510</v>
      </c>
      <c r="I644" s="4" t="s">
        <v>19</v>
      </c>
      <c r="J644" s="4" t="s">
        <v>19</v>
      </c>
      <c r="K644" s="4" t="s">
        <v>451</v>
      </c>
      <c r="L644" s="4" t="s">
        <v>20</v>
      </c>
      <c r="M644" s="6">
        <v>657</v>
      </c>
      <c r="N644" s="6">
        <v>651</v>
      </c>
      <c r="O644" s="19">
        <v>0.72219999999999995</v>
      </c>
      <c r="P644" s="6">
        <v>12.18</v>
      </c>
      <c r="Q644" s="6">
        <v>12.21</v>
      </c>
      <c r="R644" s="19">
        <v>0.1</v>
      </c>
      <c r="S644" s="20">
        <v>19</v>
      </c>
      <c r="T644" s="6">
        <v>12.84</v>
      </c>
      <c r="U644" s="6">
        <v>21.16</v>
      </c>
      <c r="V644" s="6">
        <v>24.34</v>
      </c>
      <c r="W644" s="19">
        <v>0.86919999999999997</v>
      </c>
      <c r="X644" s="6">
        <v>4.4000000000000004</v>
      </c>
      <c r="Y644" s="21">
        <v>-178359.617230681</v>
      </c>
      <c r="Z644" s="6">
        <v>-6671</v>
      </c>
      <c r="AA644" s="6">
        <v>-3.1984514541319999</v>
      </c>
    </row>
    <row r="645" spans="1:27" x14ac:dyDescent="0.25">
      <c r="A645" s="7" t="str">
        <f t="shared" si="10"/>
        <v>3852Providence Sacred Heart Medical Center111034561770, TRAUMA ORTHO</v>
      </c>
      <c r="B645" s="7"/>
      <c r="C645" s="29" t="s">
        <v>297</v>
      </c>
      <c r="D645" s="29" t="s">
        <v>349</v>
      </c>
      <c r="E645" s="29" t="s">
        <v>186</v>
      </c>
      <c r="F645" s="29">
        <v>3852</v>
      </c>
      <c r="G645" s="4" t="s">
        <v>397</v>
      </c>
      <c r="H645" s="5">
        <v>1110</v>
      </c>
      <c r="I645" s="4" t="s">
        <v>111</v>
      </c>
      <c r="J645" s="4" t="s">
        <v>23</v>
      </c>
      <c r="K645" s="4" t="s">
        <v>413</v>
      </c>
      <c r="L645" s="4" t="s">
        <v>74</v>
      </c>
      <c r="M645" s="6">
        <v>13177.52</v>
      </c>
      <c r="N645" s="6">
        <v>14141</v>
      </c>
      <c r="O645" s="7"/>
      <c r="P645" s="6">
        <v>10.11</v>
      </c>
      <c r="Q645" s="6">
        <v>10.46</v>
      </c>
      <c r="R645" s="19">
        <v>0.23080000000000001</v>
      </c>
      <c r="S645" s="20">
        <v>21</v>
      </c>
      <c r="T645" s="6">
        <v>10.61</v>
      </c>
      <c r="U645" s="6">
        <v>10.89</v>
      </c>
      <c r="V645" s="6">
        <v>11.18</v>
      </c>
      <c r="W645" s="19">
        <v>0.87319999999999998</v>
      </c>
      <c r="X645" s="6">
        <v>81.45</v>
      </c>
      <c r="Y645" s="21">
        <v>-237716.75969101701</v>
      </c>
      <c r="Z645" s="6">
        <v>-6477</v>
      </c>
      <c r="AA645" s="6">
        <v>-3.1056113394899501</v>
      </c>
    </row>
    <row r="646" spans="1:27" x14ac:dyDescent="0.25">
      <c r="A646" s="7" t="str">
        <f t="shared" si="10"/>
        <v>3852Providence Sacred Heart Medical Center441034577100, PHARMACY</v>
      </c>
      <c r="B646" s="7"/>
      <c r="C646" s="29" t="s">
        <v>297</v>
      </c>
      <c r="D646" s="29" t="s">
        <v>349</v>
      </c>
      <c r="E646" s="29" t="s">
        <v>186</v>
      </c>
      <c r="F646" s="29">
        <v>3852</v>
      </c>
      <c r="G646" s="4" t="s">
        <v>397</v>
      </c>
      <c r="H646" s="5">
        <v>4410</v>
      </c>
      <c r="I646" s="4" t="s">
        <v>37</v>
      </c>
      <c r="J646" s="4" t="s">
        <v>37</v>
      </c>
      <c r="K646" s="4" t="s">
        <v>436</v>
      </c>
      <c r="L646" s="4" t="s">
        <v>100</v>
      </c>
      <c r="M646" s="6">
        <v>70822.84</v>
      </c>
      <c r="N646" s="6">
        <v>77687.48</v>
      </c>
      <c r="O646" s="19">
        <v>0.5</v>
      </c>
      <c r="P646" s="6">
        <v>1.83</v>
      </c>
      <c r="Q646" s="6">
        <v>1.76</v>
      </c>
      <c r="R646" s="19">
        <v>0.83330000000000004</v>
      </c>
      <c r="S646" s="20">
        <v>21</v>
      </c>
      <c r="T646" s="6">
        <v>1.37</v>
      </c>
      <c r="U646" s="6">
        <v>1.55</v>
      </c>
      <c r="V646" s="6">
        <v>1.6</v>
      </c>
      <c r="W646" s="19">
        <v>0.87839999999999996</v>
      </c>
      <c r="X646" s="6">
        <v>74.69</v>
      </c>
      <c r="Y646" s="21">
        <v>884664.43939566601</v>
      </c>
      <c r="Z646" s="6">
        <v>18696</v>
      </c>
      <c r="AA646" s="6">
        <v>8.9637939318420603</v>
      </c>
    </row>
    <row r="647" spans="1:27" x14ac:dyDescent="0.25">
      <c r="A647" s="7" t="str">
        <f t="shared" si="10"/>
        <v>3852Providence Sacred Heart Medical Center500134584500 &amp; 34584600-34584605 Plant Ops Combined</v>
      </c>
      <c r="B647" s="7"/>
      <c r="C647" s="29" t="s">
        <v>297</v>
      </c>
      <c r="D647" s="29" t="s">
        <v>349</v>
      </c>
      <c r="E647" s="29" t="s">
        <v>186</v>
      </c>
      <c r="F647" s="29">
        <v>3852</v>
      </c>
      <c r="G647" s="4" t="s">
        <v>397</v>
      </c>
      <c r="H647" s="5">
        <v>5001</v>
      </c>
      <c r="I647" s="4" t="s">
        <v>141</v>
      </c>
      <c r="J647" s="4" t="s">
        <v>62</v>
      </c>
      <c r="K647" s="4" t="s">
        <v>446</v>
      </c>
      <c r="L647" s="4" t="s">
        <v>63</v>
      </c>
      <c r="M647" s="7"/>
      <c r="N647" s="6">
        <v>2456.77</v>
      </c>
      <c r="O647" s="19">
        <v>0.47620000000000001</v>
      </c>
      <c r="P647" s="7"/>
      <c r="Q647" s="6">
        <v>26.03</v>
      </c>
      <c r="R647" s="19">
        <v>0.39129999999999998</v>
      </c>
      <c r="S647" s="20">
        <v>22</v>
      </c>
      <c r="T647" s="6">
        <v>22.29</v>
      </c>
      <c r="U647" s="6">
        <v>24.02</v>
      </c>
      <c r="V647" s="6">
        <v>27.18</v>
      </c>
      <c r="W647" s="19">
        <v>0.8498</v>
      </c>
      <c r="X647" s="6">
        <v>36.18</v>
      </c>
      <c r="Y647" s="21">
        <v>205792.40383799601</v>
      </c>
      <c r="Z647" s="6">
        <v>6019</v>
      </c>
      <c r="AA647" s="6">
        <v>2.8857730631699798</v>
      </c>
    </row>
    <row r="648" spans="1:27" x14ac:dyDescent="0.25">
      <c r="A648" s="7" t="str">
        <f t="shared" si="10"/>
        <v>3852Providence Sacred Heart Medical Center183034560343, CARDIAC REHAB SERVICE</v>
      </c>
      <c r="B648" s="7"/>
      <c r="C648" s="29" t="s">
        <v>297</v>
      </c>
      <c r="D648" s="29" t="s">
        <v>349</v>
      </c>
      <c r="E648" s="29" t="s">
        <v>186</v>
      </c>
      <c r="F648" s="29">
        <v>3852</v>
      </c>
      <c r="G648" s="4" t="s">
        <v>397</v>
      </c>
      <c r="H648" s="5">
        <v>1830</v>
      </c>
      <c r="I648" s="4" t="s">
        <v>22</v>
      </c>
      <c r="J648" s="4" t="s">
        <v>23</v>
      </c>
      <c r="K648" s="4" t="s">
        <v>410</v>
      </c>
      <c r="L648" s="4" t="s">
        <v>24</v>
      </c>
      <c r="M648" s="6">
        <v>37220</v>
      </c>
      <c r="N648" s="6">
        <v>33987</v>
      </c>
      <c r="O648" s="19">
        <v>0.33329999999999999</v>
      </c>
      <c r="P648" s="6">
        <v>0.56000000000000005</v>
      </c>
      <c r="Q648" s="6">
        <v>0.63</v>
      </c>
      <c r="R648" s="19">
        <v>0.47620000000000001</v>
      </c>
      <c r="S648" s="20">
        <v>22</v>
      </c>
      <c r="T648" s="6">
        <v>0.53</v>
      </c>
      <c r="U648" s="6">
        <v>0.56000000000000005</v>
      </c>
      <c r="V648" s="6">
        <v>0.64</v>
      </c>
      <c r="W648" s="19">
        <v>0.8841</v>
      </c>
      <c r="X648" s="6">
        <v>11.58</v>
      </c>
      <c r="Y648" s="21">
        <v>68890.038602900197</v>
      </c>
      <c r="Z648" s="6">
        <v>2625</v>
      </c>
      <c r="AA648" s="6">
        <v>1.2583856864018099</v>
      </c>
    </row>
    <row r="649" spans="1:27" x14ac:dyDescent="0.25">
      <c r="A649" s="7" t="str">
        <f t="shared" si="10"/>
        <v>3852Providence Sacred Heart Medical Center349934576350, RADIOLOGY-ADMIN</v>
      </c>
      <c r="B649" s="7"/>
      <c r="C649" s="29" t="s">
        <v>297</v>
      </c>
      <c r="D649" s="29" t="s">
        <v>349</v>
      </c>
      <c r="E649" s="29" t="s">
        <v>186</v>
      </c>
      <c r="F649" s="29">
        <v>3852</v>
      </c>
      <c r="G649" s="4" t="s">
        <v>397</v>
      </c>
      <c r="H649" s="5">
        <v>3499</v>
      </c>
      <c r="I649" s="4" t="s">
        <v>56</v>
      </c>
      <c r="J649" s="4" t="s">
        <v>57</v>
      </c>
      <c r="K649" s="4" t="s">
        <v>431</v>
      </c>
      <c r="L649" s="4" t="s">
        <v>58</v>
      </c>
      <c r="M649" s="6">
        <v>510063.63</v>
      </c>
      <c r="N649" s="6">
        <v>509742</v>
      </c>
      <c r="O649" s="19">
        <v>0.81820000000000004</v>
      </c>
      <c r="P649" s="6">
        <v>0.04</v>
      </c>
      <c r="Q649" s="6">
        <v>0.03</v>
      </c>
      <c r="R649" s="19">
        <v>4.5499999999999999E-2</v>
      </c>
      <c r="S649" s="20">
        <v>23</v>
      </c>
      <c r="T649" s="6">
        <v>0.05</v>
      </c>
      <c r="U649" s="6">
        <v>0.06</v>
      </c>
      <c r="V649" s="6">
        <v>7.0000000000000007E-2</v>
      </c>
      <c r="W649" s="19">
        <v>0.80840000000000001</v>
      </c>
      <c r="X649" s="6">
        <v>10.15</v>
      </c>
      <c r="Y649" s="21">
        <v>-488111.52886976203</v>
      </c>
      <c r="Z649" s="6">
        <v>-16664</v>
      </c>
      <c r="AA649" s="6">
        <v>-7.9894252803728403</v>
      </c>
    </row>
    <row r="650" spans="1:27" x14ac:dyDescent="0.25">
      <c r="A650" s="7" t="str">
        <f t="shared" si="10"/>
        <v>3852Providence Sacred Heart Medical Center637034586700, VOLUNTEER SERVICES</v>
      </c>
      <c r="B650" s="7"/>
      <c r="C650" s="29" t="s">
        <v>297</v>
      </c>
      <c r="D650" s="29" t="s">
        <v>349</v>
      </c>
      <c r="E650" s="29" t="s">
        <v>186</v>
      </c>
      <c r="F650" s="29">
        <v>3852</v>
      </c>
      <c r="G650" s="4" t="s">
        <v>397</v>
      </c>
      <c r="H650" s="5">
        <v>6370</v>
      </c>
      <c r="I650" s="4" t="s">
        <v>15</v>
      </c>
      <c r="J650" s="4" t="s">
        <v>16</v>
      </c>
      <c r="K650" s="4" t="s">
        <v>450</v>
      </c>
      <c r="L650" s="4" t="s">
        <v>17</v>
      </c>
      <c r="M650" s="6">
        <v>532.78</v>
      </c>
      <c r="N650" s="6">
        <v>564.38</v>
      </c>
      <c r="O650" s="19">
        <v>0.40910000000000002</v>
      </c>
      <c r="P650" s="6">
        <v>10.58</v>
      </c>
      <c r="Q650" s="6">
        <v>11.92</v>
      </c>
      <c r="R650" s="19">
        <v>0.82609999999999995</v>
      </c>
      <c r="S650" s="20">
        <v>23</v>
      </c>
      <c r="T650" s="6">
        <v>4.17</v>
      </c>
      <c r="U650" s="6">
        <v>5.38</v>
      </c>
      <c r="V650" s="6">
        <v>9.08</v>
      </c>
      <c r="W650" s="19">
        <v>0.86550000000000005</v>
      </c>
      <c r="X650" s="6">
        <v>3.74</v>
      </c>
      <c r="Y650" s="21">
        <v>119380.172962688</v>
      </c>
      <c r="Z650" s="6">
        <v>4292</v>
      </c>
      <c r="AA650" s="6">
        <v>2.0579651970820398</v>
      </c>
    </row>
    <row r="651" spans="1:27" x14ac:dyDescent="0.25">
      <c r="A651" s="7" t="str">
        <f t="shared" si="10"/>
        <v>3852Providence Sacred Heart Medical Center591034584200, SECURITY</v>
      </c>
      <c r="B651" s="7"/>
      <c r="C651" s="29" t="s">
        <v>297</v>
      </c>
      <c r="D651" s="29" t="s">
        <v>349</v>
      </c>
      <c r="E651" s="29" t="s">
        <v>186</v>
      </c>
      <c r="F651" s="29">
        <v>3852</v>
      </c>
      <c r="G651" s="4" t="s">
        <v>397</v>
      </c>
      <c r="H651" s="5">
        <v>5910</v>
      </c>
      <c r="I651" s="4" t="s">
        <v>139</v>
      </c>
      <c r="J651" s="4" t="s">
        <v>136</v>
      </c>
      <c r="K651" s="4" t="s">
        <v>444</v>
      </c>
      <c r="L651" s="4" t="s">
        <v>140</v>
      </c>
      <c r="M651" s="6">
        <v>5470.79</v>
      </c>
      <c r="N651" s="6">
        <v>5484.79</v>
      </c>
      <c r="O651" s="19">
        <v>0.66669999999999996</v>
      </c>
      <c r="P651" s="6">
        <v>8.56</v>
      </c>
      <c r="Q651" s="6">
        <v>8.89</v>
      </c>
      <c r="R651" s="19">
        <v>9.0899999999999995E-2</v>
      </c>
      <c r="S651" s="20">
        <v>25</v>
      </c>
      <c r="T651" s="6">
        <v>9.91</v>
      </c>
      <c r="U651" s="6">
        <v>11.35</v>
      </c>
      <c r="V651" s="6">
        <v>13.98</v>
      </c>
      <c r="W651" s="19">
        <v>0.87150000000000005</v>
      </c>
      <c r="X651" s="6">
        <v>26.91</v>
      </c>
      <c r="Y651" s="21">
        <v>-340929.32502488501</v>
      </c>
      <c r="Z651" s="6">
        <v>-15305</v>
      </c>
      <c r="AA651" s="6">
        <v>-7.3381118385830399</v>
      </c>
    </row>
    <row r="652" spans="1:27" x14ac:dyDescent="0.25">
      <c r="A652" s="7" t="str">
        <f t="shared" si="10"/>
        <v>3852Providence Sacred Heart Medical Center521134584400, ENVIRONMENTAL SERVICES</v>
      </c>
      <c r="B652" s="7"/>
      <c r="C652" s="29" t="s">
        <v>297</v>
      </c>
      <c r="D652" s="29" t="s">
        <v>349</v>
      </c>
      <c r="E652" s="29" t="s">
        <v>186</v>
      </c>
      <c r="F652" s="29">
        <v>3852</v>
      </c>
      <c r="G652" s="4" t="s">
        <v>397</v>
      </c>
      <c r="H652" s="5">
        <v>5211</v>
      </c>
      <c r="I652" s="4" t="s">
        <v>50</v>
      </c>
      <c r="J652" s="4" t="s">
        <v>50</v>
      </c>
      <c r="K652" s="4" t="s">
        <v>445</v>
      </c>
      <c r="L652" s="4" t="s">
        <v>51</v>
      </c>
      <c r="M652" s="6">
        <v>1239.5</v>
      </c>
      <c r="N652" s="6">
        <v>1402.711</v>
      </c>
      <c r="O652" s="19">
        <v>0.44440000000000002</v>
      </c>
      <c r="P652" s="6">
        <v>210.14</v>
      </c>
      <c r="Q652" s="6">
        <f>261570.71/N652</f>
        <v>186.47512566736839</v>
      </c>
      <c r="R652" s="19">
        <v>0.60709999999999997</v>
      </c>
      <c r="S652" s="20">
        <v>28</v>
      </c>
      <c r="T652" s="6">
        <v>175.04</v>
      </c>
      <c r="U652" s="6">
        <v>181.42</v>
      </c>
      <c r="V652" s="6">
        <v>198.1</v>
      </c>
      <c r="W652" s="19">
        <v>0.88500000000000001</v>
      </c>
      <c r="X652" s="6">
        <v>142.1</v>
      </c>
      <c r="Y652" s="27">
        <f>Z652*17.47</f>
        <v>139974.77993062139</v>
      </c>
      <c r="Z652" s="26">
        <f>SUM((Q652-U652)*N652)/W652</f>
        <v>8012.2942146892619</v>
      </c>
      <c r="AA652" s="26">
        <f>+Z652/2085.7</f>
        <v>3.8415372367498981</v>
      </c>
    </row>
    <row r="653" spans="1:27" x14ac:dyDescent="0.25">
      <c r="A653" s="7" t="str">
        <f t="shared" si="10"/>
        <v>3852Providence Sacred Heart Medical Center111034561720, SURGICAL FLOOR</v>
      </c>
      <c r="B653" s="7"/>
      <c r="C653" s="29" t="s">
        <v>297</v>
      </c>
      <c r="D653" s="29" t="s">
        <v>349</v>
      </c>
      <c r="E653" s="29" t="s">
        <v>186</v>
      </c>
      <c r="F653" s="29">
        <v>3852</v>
      </c>
      <c r="G653" s="4" t="s">
        <v>397</v>
      </c>
      <c r="H653" s="5">
        <v>1110</v>
      </c>
      <c r="I653" s="4" t="s">
        <v>111</v>
      </c>
      <c r="J653" s="4" t="s">
        <v>23</v>
      </c>
      <c r="K653" s="4" t="s">
        <v>403</v>
      </c>
      <c r="L653" s="4" t="s">
        <v>74</v>
      </c>
      <c r="M653" s="6">
        <v>10831.68</v>
      </c>
      <c r="N653" s="6">
        <v>11129</v>
      </c>
      <c r="O653" s="19">
        <v>0.70369999999999999</v>
      </c>
      <c r="P653" s="6">
        <v>9.58</v>
      </c>
      <c r="Q653" s="6">
        <v>10.16</v>
      </c>
      <c r="R653" s="19">
        <v>7.6899999999999996E-2</v>
      </c>
      <c r="S653" s="20">
        <v>28</v>
      </c>
      <c r="T653" s="6">
        <v>10.6</v>
      </c>
      <c r="U653" s="6">
        <v>10.9</v>
      </c>
      <c r="V653" s="6">
        <v>11.18</v>
      </c>
      <c r="W653" s="19">
        <v>0.88849999999999996</v>
      </c>
      <c r="X653" s="6">
        <v>61.19</v>
      </c>
      <c r="Y653" s="21">
        <v>-327369.76494157902</v>
      </c>
      <c r="Z653" s="6">
        <v>-8905</v>
      </c>
      <c r="AA653" s="6">
        <v>-4.2696030007266899</v>
      </c>
    </row>
    <row r="654" spans="1:27" x14ac:dyDescent="0.25">
      <c r="A654" s="7" t="str">
        <f t="shared" si="10"/>
        <v>3852Providence Sacred Heart Medical Center111034561710, 7N MEDICAL</v>
      </c>
      <c r="B654" s="7"/>
      <c r="C654" s="29" t="s">
        <v>297</v>
      </c>
      <c r="D654" s="29" t="s">
        <v>349</v>
      </c>
      <c r="E654" s="29" t="s">
        <v>186</v>
      </c>
      <c r="F654" s="29">
        <v>3852</v>
      </c>
      <c r="G654" s="4" t="s">
        <v>397</v>
      </c>
      <c r="H654" s="5">
        <v>1110</v>
      </c>
      <c r="I654" s="4" t="s">
        <v>111</v>
      </c>
      <c r="J654" s="4" t="s">
        <v>23</v>
      </c>
      <c r="K654" s="4" t="s">
        <v>402</v>
      </c>
      <c r="L654" s="4" t="s">
        <v>74</v>
      </c>
      <c r="M654" s="6">
        <v>10027.23</v>
      </c>
      <c r="N654" s="6">
        <v>10557</v>
      </c>
      <c r="O654" s="19">
        <v>0.44440000000000002</v>
      </c>
      <c r="P654" s="6">
        <v>10.220000000000001</v>
      </c>
      <c r="Q654" s="6">
        <v>10.45</v>
      </c>
      <c r="R654" s="19">
        <v>0.23080000000000001</v>
      </c>
      <c r="S654" s="20">
        <v>28</v>
      </c>
      <c r="T654" s="6">
        <v>10.6</v>
      </c>
      <c r="U654" s="6">
        <v>10.9</v>
      </c>
      <c r="V654" s="6">
        <v>11.18</v>
      </c>
      <c r="W654" s="19">
        <v>0.87070000000000003</v>
      </c>
      <c r="X654" s="6">
        <v>60.93</v>
      </c>
      <c r="Y654" s="21">
        <v>-189998.30257401901</v>
      </c>
      <c r="Z654" s="6">
        <v>-5078</v>
      </c>
      <c r="AA654" s="6">
        <v>-2.4345906973693201</v>
      </c>
    </row>
    <row r="655" spans="1:27" x14ac:dyDescent="0.25">
      <c r="A655" s="7" t="str">
        <f t="shared" si="10"/>
        <v>3852Providence Sacred Heart Medical Center128534574000, LABOR AND DELIVERY</v>
      </c>
      <c r="B655" s="7"/>
      <c r="C655" s="29" t="s">
        <v>297</v>
      </c>
      <c r="D655" s="29" t="s">
        <v>349</v>
      </c>
      <c r="E655" s="29" t="s">
        <v>186</v>
      </c>
      <c r="F655" s="29">
        <v>3852</v>
      </c>
      <c r="G655" s="4" t="s">
        <v>397</v>
      </c>
      <c r="H655" s="5">
        <v>1285</v>
      </c>
      <c r="I655" s="4" t="s">
        <v>85</v>
      </c>
      <c r="J655" s="4" t="s">
        <v>23</v>
      </c>
      <c r="K655" s="4" t="s">
        <v>419</v>
      </c>
      <c r="L655" s="4" t="s">
        <v>86</v>
      </c>
      <c r="M655" s="6">
        <v>3024</v>
      </c>
      <c r="N655" s="6">
        <v>3308</v>
      </c>
      <c r="O655" s="19">
        <v>0.51849999999999996</v>
      </c>
      <c r="P655" s="6">
        <v>35.770000000000003</v>
      </c>
      <c r="Q655" s="6">
        <v>33.380000000000003</v>
      </c>
      <c r="R655" s="19">
        <v>0.33329999999999999</v>
      </c>
      <c r="S655" s="20">
        <v>28</v>
      </c>
      <c r="T655" s="6">
        <v>31.38</v>
      </c>
      <c r="U655" s="6">
        <v>33.4</v>
      </c>
      <c r="V655" s="6">
        <v>34.9</v>
      </c>
      <c r="W655" s="19">
        <v>0.83650000000000002</v>
      </c>
      <c r="X655" s="6">
        <v>53.08</v>
      </c>
      <c r="Y655" s="21">
        <v>-980353.63546461205</v>
      </c>
      <c r="Z655" s="6">
        <v>-21374</v>
      </c>
      <c r="AA655" s="6">
        <v>-10.2477679640209</v>
      </c>
    </row>
    <row r="656" spans="1:27" x14ac:dyDescent="0.25">
      <c r="A656" s="7" t="str">
        <f t="shared" si="10"/>
        <v>3852Providence Sacred Heart Medical Center304034574300, DAY SURGERY</v>
      </c>
      <c r="B656" s="7"/>
      <c r="C656" s="29" t="s">
        <v>297</v>
      </c>
      <c r="D656" s="29" t="s">
        <v>349</v>
      </c>
      <c r="E656" s="29" t="s">
        <v>186</v>
      </c>
      <c r="F656" s="29">
        <v>3852</v>
      </c>
      <c r="G656" s="4" t="s">
        <v>397</v>
      </c>
      <c r="H656" s="5">
        <v>3040</v>
      </c>
      <c r="I656" s="4" t="s">
        <v>277</v>
      </c>
      <c r="J656" s="4" t="s">
        <v>47</v>
      </c>
      <c r="K656" s="4" t="s">
        <v>425</v>
      </c>
      <c r="L656" s="4" t="s">
        <v>88</v>
      </c>
      <c r="M656" s="6">
        <v>2627.68</v>
      </c>
      <c r="N656" s="6">
        <v>2694.38</v>
      </c>
      <c r="O656" s="19">
        <v>0.51849999999999996</v>
      </c>
      <c r="P656" s="6">
        <v>17.079999999999998</v>
      </c>
      <c r="Q656" s="6">
        <v>16.98</v>
      </c>
      <c r="R656" s="19">
        <v>0.43480000000000002</v>
      </c>
      <c r="S656" s="20">
        <v>28</v>
      </c>
      <c r="T656" s="6">
        <v>15.64</v>
      </c>
      <c r="U656" s="6">
        <v>16.77</v>
      </c>
      <c r="V656" s="6">
        <v>17.149999999999999</v>
      </c>
      <c r="W656" s="19">
        <v>0.86099999999999999</v>
      </c>
      <c r="X656" s="6">
        <v>25.54</v>
      </c>
      <c r="Y656" s="21">
        <v>32184.7405429588</v>
      </c>
      <c r="Z656" s="6">
        <v>789</v>
      </c>
      <c r="AA656" s="6">
        <v>0.37847751045404399</v>
      </c>
    </row>
    <row r="657" spans="1:27" x14ac:dyDescent="0.25">
      <c r="A657" s="7" t="str">
        <f t="shared" si="10"/>
        <v>3852Providence Sacred Heart Medical Center121334561703, CARDIAC MEDICAL</v>
      </c>
      <c r="B657" s="7"/>
      <c r="C657" s="29" t="s">
        <v>297</v>
      </c>
      <c r="D657" s="29" t="s">
        <v>349</v>
      </c>
      <c r="E657" s="29" t="s">
        <v>186</v>
      </c>
      <c r="F657" s="29">
        <v>3852</v>
      </c>
      <c r="G657" s="4" t="s">
        <v>397</v>
      </c>
      <c r="H657" s="5">
        <v>1213</v>
      </c>
      <c r="I657" s="4" t="s">
        <v>108</v>
      </c>
      <c r="J657" s="4" t="s">
        <v>23</v>
      </c>
      <c r="K657" s="4" t="s">
        <v>400</v>
      </c>
      <c r="L657" s="4" t="s">
        <v>74</v>
      </c>
      <c r="M657" s="6">
        <v>7651.87</v>
      </c>
      <c r="N657" s="6">
        <v>7572</v>
      </c>
      <c r="O657" s="19">
        <v>0.46429999999999999</v>
      </c>
      <c r="P657" s="6">
        <v>11.97</v>
      </c>
      <c r="Q657" s="6">
        <v>12.18</v>
      </c>
      <c r="R657" s="19">
        <v>0.92589999999999995</v>
      </c>
      <c r="S657" s="20">
        <v>29</v>
      </c>
      <c r="T657" s="6">
        <v>10.4</v>
      </c>
      <c r="U657" s="6">
        <v>10.53</v>
      </c>
      <c r="V657" s="6">
        <v>10.86</v>
      </c>
      <c r="W657" s="19">
        <v>0.89759999999999995</v>
      </c>
      <c r="X657" s="6">
        <v>49.39</v>
      </c>
      <c r="Y657" s="21">
        <v>528740.60492495098</v>
      </c>
      <c r="Z657" s="6">
        <v>14184</v>
      </c>
      <c r="AA657" s="6">
        <v>6.8003283910119903</v>
      </c>
    </row>
    <row r="658" spans="1:27" x14ac:dyDescent="0.25">
      <c r="A658" s="7" t="str">
        <f t="shared" si="10"/>
        <v>3852Providence Sacred Heart Medical Center111034561730, ONCOLOGY</v>
      </c>
      <c r="B658" s="7"/>
      <c r="C658" s="29" t="s">
        <v>297</v>
      </c>
      <c r="D658" s="29" t="s">
        <v>349</v>
      </c>
      <c r="E658" s="29" t="s">
        <v>186</v>
      </c>
      <c r="F658" s="29">
        <v>3852</v>
      </c>
      <c r="G658" s="4" t="s">
        <v>397</v>
      </c>
      <c r="H658" s="5">
        <v>1110</v>
      </c>
      <c r="I658" s="4" t="s">
        <v>111</v>
      </c>
      <c r="J658" s="4" t="s">
        <v>23</v>
      </c>
      <c r="K658" s="4" t="s">
        <v>404</v>
      </c>
      <c r="L658" s="4" t="s">
        <v>74</v>
      </c>
      <c r="M658" s="6">
        <v>10006.1</v>
      </c>
      <c r="N658" s="6">
        <v>10225</v>
      </c>
      <c r="O658" s="19">
        <v>0.4667</v>
      </c>
      <c r="P658" s="6">
        <v>9.6999999999999993</v>
      </c>
      <c r="Q658" s="6">
        <v>10.44</v>
      </c>
      <c r="R658" s="19">
        <v>0.1724</v>
      </c>
      <c r="S658" s="20">
        <v>31</v>
      </c>
      <c r="T658" s="6">
        <v>10.79</v>
      </c>
      <c r="U658" s="6">
        <v>11.06</v>
      </c>
      <c r="V658" s="6">
        <v>11.23</v>
      </c>
      <c r="W658" s="19">
        <v>0.88480000000000003</v>
      </c>
      <c r="X658" s="6">
        <v>57.98</v>
      </c>
      <c r="Y658" s="21">
        <v>-246880.32165612999</v>
      </c>
      <c r="Z658" s="6">
        <v>-6884</v>
      </c>
      <c r="AA658" s="6">
        <v>-3.3003854820923499</v>
      </c>
    </row>
    <row r="659" spans="1:27" x14ac:dyDescent="0.25">
      <c r="A659" s="7" t="str">
        <f t="shared" si="10"/>
        <v>3852Providence Sacred Heart Medical Center302034574270, PACU</v>
      </c>
      <c r="B659" s="7"/>
      <c r="C659" s="29" t="s">
        <v>297</v>
      </c>
      <c r="D659" s="29" t="s">
        <v>349</v>
      </c>
      <c r="E659" s="29" t="s">
        <v>186</v>
      </c>
      <c r="F659" s="29">
        <v>3852</v>
      </c>
      <c r="G659" s="4" t="s">
        <v>397</v>
      </c>
      <c r="H659" s="5">
        <v>3020</v>
      </c>
      <c r="I659" s="4" t="s">
        <v>89</v>
      </c>
      <c r="J659" s="4" t="s">
        <v>47</v>
      </c>
      <c r="K659" s="4" t="s">
        <v>422</v>
      </c>
      <c r="L659" s="4" t="s">
        <v>90</v>
      </c>
      <c r="M659" s="6">
        <v>11565.6</v>
      </c>
      <c r="N659" s="6">
        <v>13409.14</v>
      </c>
      <c r="O659" s="19">
        <v>0.7429</v>
      </c>
      <c r="P659" s="6">
        <v>3.74</v>
      </c>
      <c r="Q659" s="6">
        <v>2.81</v>
      </c>
      <c r="R659" s="19">
        <v>0.2</v>
      </c>
      <c r="S659" s="20">
        <v>36</v>
      </c>
      <c r="T659" s="6">
        <v>3.12</v>
      </c>
      <c r="U659" s="6">
        <v>3.38</v>
      </c>
      <c r="V659" s="6">
        <v>3.49</v>
      </c>
      <c r="W659" s="19">
        <v>0.88260000000000005</v>
      </c>
      <c r="X659" s="6">
        <v>20.53</v>
      </c>
      <c r="Y659" s="21">
        <v>-423843.73737155501</v>
      </c>
      <c r="Z659" s="6">
        <v>-8532</v>
      </c>
      <c r="AA659" s="6">
        <v>-4.0907830406357899</v>
      </c>
    </row>
    <row r="660" spans="1:27" x14ac:dyDescent="0.25">
      <c r="A660" s="7" t="str">
        <f t="shared" si="10"/>
        <v>3852Providence Sacred Heart Medical Center127234565300, MOTHER BABY</v>
      </c>
      <c r="B660" s="7"/>
      <c r="C660" s="29" t="s">
        <v>297</v>
      </c>
      <c r="D660" s="29" t="s">
        <v>349</v>
      </c>
      <c r="E660" s="29" t="s">
        <v>186</v>
      </c>
      <c r="F660" s="29">
        <v>3852</v>
      </c>
      <c r="G660" s="4" t="s">
        <v>397</v>
      </c>
      <c r="H660" s="5">
        <v>1272</v>
      </c>
      <c r="I660" s="4" t="s">
        <v>112</v>
      </c>
      <c r="J660" s="4" t="s">
        <v>23</v>
      </c>
      <c r="K660" s="4" t="s">
        <v>415</v>
      </c>
      <c r="L660" s="4" t="s">
        <v>74</v>
      </c>
      <c r="M660" s="6">
        <v>8462.25</v>
      </c>
      <c r="N660" s="6">
        <v>9090</v>
      </c>
      <c r="O660" s="19">
        <v>0.375</v>
      </c>
      <c r="P660" s="6">
        <v>6.55</v>
      </c>
      <c r="Q660" s="6">
        <v>6.52</v>
      </c>
      <c r="R660" s="19">
        <v>0.1351</v>
      </c>
      <c r="S660" s="20">
        <v>41</v>
      </c>
      <c r="T660" s="6">
        <v>7.2</v>
      </c>
      <c r="U660" s="6">
        <v>7.46</v>
      </c>
      <c r="V660" s="6">
        <v>7.65</v>
      </c>
      <c r="W660" s="19">
        <v>0.8659</v>
      </c>
      <c r="X660" s="6">
        <v>32.9</v>
      </c>
      <c r="Y660" s="21">
        <v>-425410.89496067498</v>
      </c>
      <c r="Z660" s="6">
        <v>-9694</v>
      </c>
      <c r="AA660" s="6">
        <v>-4.6476818998821203</v>
      </c>
    </row>
    <row r="661" spans="1:27" x14ac:dyDescent="0.25">
      <c r="A661" s="7" t="str">
        <f t="shared" si="10"/>
        <v>3852Providence Sacred Heart Medical Center346034576500, NUCLEAR MEDICINE</v>
      </c>
      <c r="B661" s="7"/>
      <c r="C661" s="29" t="s">
        <v>297</v>
      </c>
      <c r="D661" s="29" t="s">
        <v>349</v>
      </c>
      <c r="E661" s="29" t="s">
        <v>186</v>
      </c>
      <c r="F661" s="29">
        <v>3852</v>
      </c>
      <c r="G661" s="4" t="s">
        <v>397</v>
      </c>
      <c r="H661" s="5">
        <v>3460</v>
      </c>
      <c r="I661" s="4" t="s">
        <v>120</v>
      </c>
      <c r="J661" s="4" t="s">
        <v>57</v>
      </c>
      <c r="K661" s="4" t="s">
        <v>435</v>
      </c>
      <c r="L661" s="4" t="s">
        <v>99</v>
      </c>
      <c r="M661" s="6">
        <v>29875.39</v>
      </c>
      <c r="N661" s="6">
        <v>31219.27</v>
      </c>
      <c r="O661" s="19">
        <v>0.52380000000000004</v>
      </c>
      <c r="P661" s="6">
        <v>0.22</v>
      </c>
      <c r="Q661" s="6">
        <v>0.21</v>
      </c>
      <c r="R661" s="19">
        <v>0.33329999999999999</v>
      </c>
      <c r="S661" s="20">
        <v>43</v>
      </c>
      <c r="T661" s="6">
        <v>0.2</v>
      </c>
      <c r="U661" s="6">
        <v>0.21</v>
      </c>
      <c r="V661" s="6">
        <v>0.22</v>
      </c>
      <c r="W661" s="19">
        <v>0.87470000000000003</v>
      </c>
      <c r="X661" s="6">
        <v>3.57</v>
      </c>
      <c r="Y661" s="21">
        <v>-2636.3717044647201</v>
      </c>
      <c r="Z661" s="6">
        <v>-49</v>
      </c>
      <c r="AA661" s="6">
        <v>-2.3611056719183399E-2</v>
      </c>
    </row>
    <row r="662" spans="1:27" x14ac:dyDescent="0.25">
      <c r="A662" s="7" t="str">
        <f t="shared" si="10"/>
        <v>3852Providence Sacred Heart Medical Center112234560340, CARDIAC ADVANCED CARE UNIT</v>
      </c>
      <c r="B662" s="7"/>
      <c r="C662" s="29" t="s">
        <v>297</v>
      </c>
      <c r="D662" s="29" t="s">
        <v>349</v>
      </c>
      <c r="E662" s="29" t="s">
        <v>186</v>
      </c>
      <c r="F662" s="29">
        <v>3852</v>
      </c>
      <c r="G662" s="4" t="s">
        <v>397</v>
      </c>
      <c r="H662" s="5">
        <v>1122</v>
      </c>
      <c r="I662" s="4" t="s">
        <v>105</v>
      </c>
      <c r="J662" s="4" t="s">
        <v>23</v>
      </c>
      <c r="K662" s="4" t="s">
        <v>408</v>
      </c>
      <c r="L662" s="4" t="s">
        <v>74</v>
      </c>
      <c r="M662" s="6">
        <v>10830.35</v>
      </c>
      <c r="N662" s="6">
        <v>11095</v>
      </c>
      <c r="O662" s="19">
        <v>0.63639999999999997</v>
      </c>
      <c r="P662" s="6">
        <v>10.79</v>
      </c>
      <c r="Q662" s="6">
        <v>11.43</v>
      </c>
      <c r="R662" s="19">
        <v>0.63039999999999996</v>
      </c>
      <c r="S662" s="20">
        <v>45</v>
      </c>
      <c r="T662" s="6">
        <v>10.050000000000001</v>
      </c>
      <c r="U662" s="6">
        <v>10.91</v>
      </c>
      <c r="V662" s="6">
        <v>11.27</v>
      </c>
      <c r="W662" s="19">
        <v>0.88270000000000004</v>
      </c>
      <c r="X662" s="6">
        <v>69.09</v>
      </c>
      <c r="Y662" s="21">
        <v>267649.55205264501</v>
      </c>
      <c r="Z662" s="6">
        <v>6969</v>
      </c>
      <c r="AA662" s="6">
        <v>3.3413122380842002</v>
      </c>
    </row>
    <row r="663" spans="1:27" x14ac:dyDescent="0.25">
      <c r="A663" s="7" t="str">
        <f t="shared" si="10"/>
        <v>3852Providence Sacred Heart Medical Center112234560341, CARDIAC CARE</v>
      </c>
      <c r="B663" s="7"/>
      <c r="C663" s="29" t="s">
        <v>297</v>
      </c>
      <c r="D663" s="29" t="s">
        <v>349</v>
      </c>
      <c r="E663" s="29" t="s">
        <v>186</v>
      </c>
      <c r="F663" s="29">
        <v>3852</v>
      </c>
      <c r="G663" s="4" t="s">
        <v>397</v>
      </c>
      <c r="H663" s="5">
        <v>1122</v>
      </c>
      <c r="I663" s="4" t="s">
        <v>105</v>
      </c>
      <c r="J663" s="4" t="s">
        <v>23</v>
      </c>
      <c r="K663" s="4" t="s">
        <v>409</v>
      </c>
      <c r="L663" s="4" t="s">
        <v>74</v>
      </c>
      <c r="M663" s="6">
        <v>9883.68</v>
      </c>
      <c r="N663" s="6">
        <v>10205</v>
      </c>
      <c r="O663" s="19">
        <v>0.59570000000000001</v>
      </c>
      <c r="P663" s="6">
        <v>10.53</v>
      </c>
      <c r="Q663" s="6">
        <v>10.76</v>
      </c>
      <c r="R663" s="19">
        <v>0.26669999999999999</v>
      </c>
      <c r="S663" s="20">
        <v>48</v>
      </c>
      <c r="T663" s="6">
        <v>10.74</v>
      </c>
      <c r="U663" s="6">
        <v>10.99</v>
      </c>
      <c r="V663" s="6">
        <v>11.29</v>
      </c>
      <c r="W663" s="19">
        <v>0.86970000000000003</v>
      </c>
      <c r="X663" s="6">
        <v>60.71</v>
      </c>
      <c r="Y663" s="21">
        <v>-96404.914738366497</v>
      </c>
      <c r="Z663" s="6">
        <v>-2333</v>
      </c>
      <c r="AA663" s="6">
        <v>-1.1185967947586399</v>
      </c>
    </row>
    <row r="664" spans="1:27" x14ac:dyDescent="0.25">
      <c r="A664" s="7" t="str">
        <f t="shared" si="10"/>
        <v>3852Providence Sacred Heart Medical Center111034561702, NEPHROLOGY</v>
      </c>
      <c r="B664" s="7"/>
      <c r="C664" s="29" t="s">
        <v>297</v>
      </c>
      <c r="D664" s="29" t="s">
        <v>349</v>
      </c>
      <c r="E664" s="29" t="s">
        <v>186</v>
      </c>
      <c r="F664" s="29">
        <v>3852</v>
      </c>
      <c r="G664" s="4" t="s">
        <v>397</v>
      </c>
      <c r="H664" s="5">
        <v>1110</v>
      </c>
      <c r="I664" s="4" t="s">
        <v>111</v>
      </c>
      <c r="J664" s="4" t="s">
        <v>23</v>
      </c>
      <c r="K664" s="4" t="s">
        <v>399</v>
      </c>
      <c r="L664" s="4" t="s">
        <v>74</v>
      </c>
      <c r="M664" s="6">
        <v>8483.25</v>
      </c>
      <c r="N664" s="6">
        <v>9456</v>
      </c>
      <c r="O664" s="19">
        <v>0.47060000000000002</v>
      </c>
      <c r="P664" s="6">
        <v>9.81</v>
      </c>
      <c r="Q664" s="6">
        <v>10.39</v>
      </c>
      <c r="R664" s="19">
        <v>0.1429</v>
      </c>
      <c r="S664" s="20">
        <v>52</v>
      </c>
      <c r="T664" s="6">
        <v>10.88</v>
      </c>
      <c r="U664" s="6">
        <v>11.1</v>
      </c>
      <c r="V664" s="6">
        <v>11.35</v>
      </c>
      <c r="W664" s="19">
        <v>0.90049999999999997</v>
      </c>
      <c r="X664" s="6">
        <v>52.47</v>
      </c>
      <c r="Y664" s="21">
        <v>-263172.89456133102</v>
      </c>
      <c r="Z664" s="6">
        <v>-7123</v>
      </c>
      <c r="AA664" s="6">
        <v>-3.4149522289708298</v>
      </c>
    </row>
    <row r="665" spans="1:27" x14ac:dyDescent="0.25">
      <c r="A665" s="7" t="str">
        <f t="shared" si="10"/>
        <v>3852Providence Sacred Heart Medical Center301134574200, SURGICAL SERVICES</v>
      </c>
      <c r="B665" s="7"/>
      <c r="C665" s="29" t="s">
        <v>297</v>
      </c>
      <c r="D665" s="29" t="s">
        <v>349</v>
      </c>
      <c r="E665" s="29" t="s">
        <v>186</v>
      </c>
      <c r="F665" s="29">
        <v>3852</v>
      </c>
      <c r="G665" s="149" t="s">
        <v>397</v>
      </c>
      <c r="H665" s="150">
        <v>3011</v>
      </c>
      <c r="I665" s="149" t="s">
        <v>87</v>
      </c>
      <c r="J665" s="149" t="s">
        <v>47</v>
      </c>
      <c r="K665" s="149" t="s">
        <v>420</v>
      </c>
      <c r="L665" s="149" t="s">
        <v>88</v>
      </c>
      <c r="M665" s="137">
        <v>23094.44</v>
      </c>
      <c r="N665" s="137">
        <v>24161.99</v>
      </c>
      <c r="O665" s="151">
        <v>1</v>
      </c>
      <c r="P665" s="137">
        <v>11.63</v>
      </c>
      <c r="Q665" s="137">
        <v>11.48</v>
      </c>
      <c r="R665" s="151">
        <v>0.42109999999999997</v>
      </c>
      <c r="S665" s="152">
        <v>58</v>
      </c>
      <c r="T665" s="137">
        <v>10.69</v>
      </c>
      <c r="U665" s="137">
        <v>11.14</v>
      </c>
      <c r="V665" s="137">
        <v>11.56</v>
      </c>
      <c r="W665" s="151">
        <v>0.85940000000000005</v>
      </c>
      <c r="X665" s="137">
        <v>155.13</v>
      </c>
      <c r="Y665" s="136">
        <f>Z665*35.92</f>
        <v>343362.28935536405</v>
      </c>
      <c r="Z665" s="137">
        <f>SUM((Q665-U665)*N665)/W665</f>
        <v>9559.0837793809587</v>
      </c>
      <c r="AA665" s="137">
        <f>+Z665/2085.7</f>
        <v>4.5831537514412233</v>
      </c>
    </row>
    <row r="666" spans="1:27" x14ac:dyDescent="0.25">
      <c r="A666" s="7" t="str">
        <f t="shared" si="10"/>
        <v>3854Providence Saint Mary Medical Center163032560100, INTENSIVE CARE UNIT</v>
      </c>
      <c r="B666" s="7"/>
      <c r="C666" s="105" t="s">
        <v>297</v>
      </c>
      <c r="D666" s="105" t="s">
        <v>470</v>
      </c>
      <c r="E666" s="105" t="s">
        <v>186</v>
      </c>
      <c r="F666" s="105" t="s">
        <v>1741</v>
      </c>
      <c r="G666" s="99" t="s">
        <v>471</v>
      </c>
      <c r="H666" s="100">
        <v>1630</v>
      </c>
      <c r="I666" s="99" t="s">
        <v>1742</v>
      </c>
      <c r="J666" s="99" t="s">
        <v>23</v>
      </c>
      <c r="K666" s="99" t="s">
        <v>1743</v>
      </c>
      <c r="L666" s="99" t="s">
        <v>74</v>
      </c>
      <c r="M666" s="101">
        <v>3000</v>
      </c>
      <c r="N666" s="101">
        <v>3251</v>
      </c>
      <c r="O666" s="102">
        <v>0.6</v>
      </c>
      <c r="P666" s="101">
        <v>19.39</v>
      </c>
      <c r="Q666" s="101">
        <v>19.12</v>
      </c>
      <c r="R666" s="102">
        <v>0.8</v>
      </c>
      <c r="S666" s="103">
        <v>6</v>
      </c>
      <c r="T666" s="101">
        <v>12.78</v>
      </c>
      <c r="U666" s="101">
        <v>13.53</v>
      </c>
      <c r="V666" s="101">
        <v>15.92</v>
      </c>
      <c r="W666" s="102">
        <v>0.90210000000000001</v>
      </c>
      <c r="X666" s="101">
        <v>33.130000000000003</v>
      </c>
      <c r="Y666" s="104">
        <v>790131.60249149101</v>
      </c>
      <c r="Z666" s="101">
        <v>20340</v>
      </c>
      <c r="AA666" s="101">
        <v>9.7519522078854592</v>
      </c>
    </row>
    <row r="667" spans="1:27" x14ac:dyDescent="0.25">
      <c r="A667" s="7" t="str">
        <f t="shared" si="10"/>
        <v>3854Providence Saint Mary Medical Center633032590300, FOUNDATION OPERATIONS</v>
      </c>
      <c r="B667" s="7"/>
      <c r="C667" s="29" t="s">
        <v>297</v>
      </c>
      <c r="D667" s="29" t="s">
        <v>470</v>
      </c>
      <c r="E667" s="29" t="s">
        <v>186</v>
      </c>
      <c r="F667" s="29">
        <v>3854</v>
      </c>
      <c r="G667" s="4" t="s">
        <v>471</v>
      </c>
      <c r="H667" s="5">
        <v>6330</v>
      </c>
      <c r="I667" s="4" t="s">
        <v>169</v>
      </c>
      <c r="J667" s="4" t="s">
        <v>16</v>
      </c>
      <c r="K667" s="4" t="s">
        <v>507</v>
      </c>
      <c r="L667" s="4" t="s">
        <v>170</v>
      </c>
      <c r="M667" s="6">
        <v>444.85</v>
      </c>
      <c r="N667" s="6">
        <v>455.59</v>
      </c>
      <c r="O667" s="19">
        <v>0.85709999999999997</v>
      </c>
      <c r="P667" s="6">
        <v>10.6</v>
      </c>
      <c r="Q667" s="6">
        <v>10.83</v>
      </c>
      <c r="R667" s="19">
        <v>0.1429</v>
      </c>
      <c r="S667" s="20">
        <v>8</v>
      </c>
      <c r="T667" s="6">
        <v>13.08</v>
      </c>
      <c r="U667" s="6">
        <v>14.04</v>
      </c>
      <c r="V667" s="6">
        <v>18.48</v>
      </c>
      <c r="W667" s="19">
        <v>0.90759999999999996</v>
      </c>
      <c r="X667" s="6">
        <v>2.61</v>
      </c>
      <c r="Y667" s="21">
        <v>-60550.502258222201</v>
      </c>
      <c r="Z667" s="6">
        <v>-1604</v>
      </c>
      <c r="AA667" s="6">
        <v>-0.76905267866034699</v>
      </c>
    </row>
    <row r="668" spans="1:27" x14ac:dyDescent="0.25">
      <c r="A668" s="7" t="str">
        <f t="shared" si="10"/>
        <v>3854Providence Saint Mary Medical Center141032564400, IP REHAB</v>
      </c>
      <c r="B668" s="7"/>
      <c r="C668" s="29" t="s">
        <v>297</v>
      </c>
      <c r="D668" s="29" t="s">
        <v>470</v>
      </c>
      <c r="E668" s="29" t="s">
        <v>186</v>
      </c>
      <c r="F668" s="29">
        <v>3854</v>
      </c>
      <c r="G668" s="4" t="s">
        <v>471</v>
      </c>
      <c r="H668" s="5">
        <v>1410</v>
      </c>
      <c r="I668" s="4" t="s">
        <v>113</v>
      </c>
      <c r="J668" s="4" t="s">
        <v>23</v>
      </c>
      <c r="K668" s="4" t="s">
        <v>483</v>
      </c>
      <c r="L668" s="4" t="s">
        <v>74</v>
      </c>
      <c r="M668" s="6">
        <v>1317</v>
      </c>
      <c r="N668" s="6">
        <v>1478</v>
      </c>
      <c r="O668" s="19">
        <v>0.625</v>
      </c>
      <c r="P668" s="6">
        <v>6.42</v>
      </c>
      <c r="Q668" s="6">
        <v>4.4800000000000004</v>
      </c>
      <c r="R668" s="7"/>
      <c r="S668" s="20">
        <v>9</v>
      </c>
      <c r="T668" s="6">
        <v>12.51</v>
      </c>
      <c r="U668" s="6">
        <v>12.59</v>
      </c>
      <c r="V668" s="6">
        <v>12.84</v>
      </c>
      <c r="W668" s="19">
        <v>0.85550000000000004</v>
      </c>
      <c r="X668" s="6">
        <v>3.72</v>
      </c>
      <c r="Y668" s="21">
        <v>-552850.50143072603</v>
      </c>
      <c r="Z668" s="6">
        <v>-13992</v>
      </c>
      <c r="AA668" s="6">
        <v>-6.70865521015934</v>
      </c>
    </row>
    <row r="669" spans="1:27" x14ac:dyDescent="0.25">
      <c r="A669" s="7" t="str">
        <f t="shared" si="10"/>
        <v>3854Providence Saint Mary Medical Center463032577610, ENDOSCOPY</v>
      </c>
      <c r="B669" s="7"/>
      <c r="C669" s="29" t="s">
        <v>297</v>
      </c>
      <c r="D669" s="29" t="s">
        <v>470</v>
      </c>
      <c r="E669" s="29" t="s">
        <v>186</v>
      </c>
      <c r="F669" s="29">
        <v>3854</v>
      </c>
      <c r="G669" s="4" t="s">
        <v>471</v>
      </c>
      <c r="H669" s="5">
        <v>4630</v>
      </c>
      <c r="I669" s="4" t="s">
        <v>104</v>
      </c>
      <c r="J669" s="4" t="s">
        <v>83</v>
      </c>
      <c r="K669" s="4" t="s">
        <v>496</v>
      </c>
      <c r="L669" s="4" t="s">
        <v>99</v>
      </c>
      <c r="M669" s="6">
        <v>3459.46</v>
      </c>
      <c r="N669" s="6">
        <v>182.61</v>
      </c>
      <c r="O669" s="19">
        <v>0.66669999999999996</v>
      </c>
      <c r="P669" s="6">
        <v>2.34</v>
      </c>
      <c r="Q669" s="6">
        <v>49.21</v>
      </c>
      <c r="R669" s="19">
        <v>0.1111</v>
      </c>
      <c r="S669" s="20">
        <v>10</v>
      </c>
      <c r="T669" s="6">
        <v>106.44</v>
      </c>
      <c r="U669" s="6">
        <v>127</v>
      </c>
      <c r="V669" s="6">
        <v>319.22000000000003</v>
      </c>
      <c r="W669" s="19">
        <v>0.8669</v>
      </c>
      <c r="X669" s="6">
        <v>4.9800000000000004</v>
      </c>
      <c r="Y669" s="21">
        <v>-627652.12651582796</v>
      </c>
      <c r="Z669" s="6">
        <v>-16365</v>
      </c>
      <c r="AA669" s="6">
        <v>-7.8464783765338098</v>
      </c>
    </row>
    <row r="670" spans="1:27" x14ac:dyDescent="0.25">
      <c r="A670" s="7" t="str">
        <f t="shared" si="10"/>
        <v>3854Providence Saint Mary Medical Center226732576430, MEDICAL ONCOLOGY CLINIC</v>
      </c>
      <c r="B670" s="7"/>
      <c r="C670" s="29" t="s">
        <v>297</v>
      </c>
      <c r="D670" s="29" t="s">
        <v>470</v>
      </c>
      <c r="E670" s="29" t="s">
        <v>186</v>
      </c>
      <c r="F670" s="29">
        <v>3854</v>
      </c>
      <c r="G670" s="4" t="s">
        <v>471</v>
      </c>
      <c r="H670" s="5">
        <v>2267</v>
      </c>
      <c r="I670" s="4" t="s">
        <v>183</v>
      </c>
      <c r="J670" s="4" t="s">
        <v>176</v>
      </c>
      <c r="K670" s="4" t="s">
        <v>490</v>
      </c>
      <c r="L670" s="4" t="s">
        <v>77</v>
      </c>
      <c r="M670" s="6">
        <v>13862</v>
      </c>
      <c r="N670" s="6">
        <v>8420</v>
      </c>
      <c r="O670" s="19">
        <v>0.5</v>
      </c>
      <c r="P670" s="6">
        <v>1.33</v>
      </c>
      <c r="Q670" s="6">
        <v>2.23</v>
      </c>
      <c r="R670" s="19">
        <v>0.8</v>
      </c>
      <c r="S670" s="20">
        <v>11</v>
      </c>
      <c r="T670" s="6">
        <v>1.42</v>
      </c>
      <c r="U670" s="6">
        <v>1.64</v>
      </c>
      <c r="V670" s="6">
        <v>1.88</v>
      </c>
      <c r="W670" s="19">
        <v>0.87070000000000003</v>
      </c>
      <c r="X670" s="6">
        <v>10.38</v>
      </c>
      <c r="Y670" s="21">
        <v>238965.60469219001</v>
      </c>
      <c r="Z670" s="6">
        <v>5790</v>
      </c>
      <c r="AA670" s="6">
        <v>2.77611475648721</v>
      </c>
    </row>
    <row r="671" spans="1:27" x14ac:dyDescent="0.25">
      <c r="A671" s="7" t="str">
        <f t="shared" si="10"/>
        <v>3854Providence Saint Mary Medical Center623032582908, 87101 ORGANIZATIONAL DEVELOPMENT</v>
      </c>
      <c r="B671" s="7"/>
      <c r="C671" s="29" t="s">
        <v>297</v>
      </c>
      <c r="D671" s="29" t="s">
        <v>470</v>
      </c>
      <c r="E671" s="29" t="s">
        <v>186</v>
      </c>
      <c r="F671" s="29">
        <v>3854</v>
      </c>
      <c r="G671" s="4" t="s">
        <v>471</v>
      </c>
      <c r="H671" s="5">
        <v>6230</v>
      </c>
      <c r="I671" s="4" t="s">
        <v>284</v>
      </c>
      <c r="J671" s="4" t="s">
        <v>21</v>
      </c>
      <c r="K671" s="4" t="s">
        <v>477</v>
      </c>
      <c r="L671" s="4" t="s">
        <v>18</v>
      </c>
      <c r="M671" s="6">
        <v>10301.549999999999</v>
      </c>
      <c r="N671" s="6">
        <v>10410.790000000001</v>
      </c>
      <c r="O671" s="19">
        <v>0.54549999999999998</v>
      </c>
      <c r="P671" s="6">
        <v>0.7</v>
      </c>
      <c r="Q671" s="6">
        <v>0.93</v>
      </c>
      <c r="R671" s="19">
        <v>0.72729999999999995</v>
      </c>
      <c r="S671" s="20">
        <v>12</v>
      </c>
      <c r="T671" s="6">
        <v>0.38</v>
      </c>
      <c r="U671" s="6">
        <v>0.4</v>
      </c>
      <c r="V671" s="6">
        <v>0.63</v>
      </c>
      <c r="W671" s="19">
        <v>0.91410000000000002</v>
      </c>
      <c r="X671" s="6">
        <v>5.07</v>
      </c>
      <c r="Y671" s="21">
        <v>209777.478132638</v>
      </c>
      <c r="Z671" s="6">
        <v>6019</v>
      </c>
      <c r="AA671" s="6">
        <v>2.8857712084231499</v>
      </c>
    </row>
    <row r="672" spans="1:27" x14ac:dyDescent="0.25">
      <c r="A672" s="7" t="str">
        <f t="shared" si="10"/>
        <v>3854Providence Saint Mary Medical Center121432561710, MEDICAL ACUTE</v>
      </c>
      <c r="B672" s="7"/>
      <c r="C672" s="29" t="s">
        <v>297</v>
      </c>
      <c r="D672" s="29" t="s">
        <v>470</v>
      </c>
      <c r="E672" s="29" t="s">
        <v>186</v>
      </c>
      <c r="F672" s="29">
        <v>3854</v>
      </c>
      <c r="G672" s="4" t="s">
        <v>471</v>
      </c>
      <c r="H672" s="5">
        <v>1214</v>
      </c>
      <c r="I672" s="4" t="s">
        <v>109</v>
      </c>
      <c r="J672" s="4" t="s">
        <v>23</v>
      </c>
      <c r="K672" s="4" t="s">
        <v>482</v>
      </c>
      <c r="L672" s="4" t="s">
        <v>74</v>
      </c>
      <c r="M672" s="6">
        <v>4513</v>
      </c>
      <c r="N672" s="6">
        <v>4771</v>
      </c>
      <c r="O672" s="19">
        <v>0.625</v>
      </c>
      <c r="P672" s="6">
        <v>12.13</v>
      </c>
      <c r="Q672" s="6">
        <v>11.26</v>
      </c>
      <c r="R672" s="19">
        <v>0.625</v>
      </c>
      <c r="S672" s="20">
        <v>17</v>
      </c>
      <c r="T672" s="6">
        <v>10.99</v>
      </c>
      <c r="U672" s="6">
        <v>11.08</v>
      </c>
      <c r="V672" s="6">
        <v>11.12</v>
      </c>
      <c r="W672" s="19">
        <v>0.89800000000000002</v>
      </c>
      <c r="X672" s="6">
        <v>28.75</v>
      </c>
      <c r="Y672" s="21">
        <v>37983.520105047901</v>
      </c>
      <c r="Z672" s="6">
        <v>1097</v>
      </c>
      <c r="AA672" s="6">
        <v>0.525841708407221</v>
      </c>
    </row>
    <row r="673" spans="1:27" x14ac:dyDescent="0.25">
      <c r="A673" s="7" t="str">
        <f t="shared" si="10"/>
        <v>3854Providence Saint Mary Medical Center413032577200, RESPIRATORY THERAPY COMBINED</v>
      </c>
      <c r="B673" s="7"/>
      <c r="C673" s="29" t="s">
        <v>297</v>
      </c>
      <c r="D673" s="29" t="s">
        <v>470</v>
      </c>
      <c r="E673" s="29" t="s">
        <v>186</v>
      </c>
      <c r="F673" s="29">
        <v>3854</v>
      </c>
      <c r="G673" s="4" t="s">
        <v>471</v>
      </c>
      <c r="H673" s="5">
        <v>4130</v>
      </c>
      <c r="I673" s="4" t="s">
        <v>184</v>
      </c>
      <c r="J673" s="4" t="s">
        <v>44</v>
      </c>
      <c r="K673" s="4" t="s">
        <v>495</v>
      </c>
      <c r="L673" s="4" t="s">
        <v>45</v>
      </c>
      <c r="M673" s="6">
        <v>7098.01</v>
      </c>
      <c r="N673" s="6">
        <v>8012.7</v>
      </c>
      <c r="O673" s="19">
        <v>0.625</v>
      </c>
      <c r="P673" s="6">
        <v>4.62</v>
      </c>
      <c r="Q673" s="6">
        <v>4.09</v>
      </c>
      <c r="R673" s="19">
        <v>0.6875</v>
      </c>
      <c r="S673" s="20">
        <v>17</v>
      </c>
      <c r="T673" s="6">
        <v>2.7</v>
      </c>
      <c r="U673" s="6">
        <v>2.91</v>
      </c>
      <c r="V673" s="6">
        <v>3.31</v>
      </c>
      <c r="W673" s="19">
        <v>0.8921</v>
      </c>
      <c r="X673" s="6">
        <v>17.670000000000002</v>
      </c>
      <c r="Y673" s="21">
        <v>394714.94311708101</v>
      </c>
      <c r="Z673" s="6">
        <v>10717</v>
      </c>
      <c r="AA673" s="6">
        <v>5.1384009452874997</v>
      </c>
    </row>
    <row r="674" spans="1:27" x14ac:dyDescent="0.25">
      <c r="A674" s="7" t="str">
        <f t="shared" si="10"/>
        <v>3854Providence Saint Mary Medical Center121232561701, SURGICAL FLOOR</v>
      </c>
      <c r="B674" s="7"/>
      <c r="C674" s="29" t="s">
        <v>297</v>
      </c>
      <c r="D674" s="29" t="s">
        <v>470</v>
      </c>
      <c r="E674" s="29" t="s">
        <v>186</v>
      </c>
      <c r="F674" s="29">
        <v>3854</v>
      </c>
      <c r="G674" s="4" t="s">
        <v>471</v>
      </c>
      <c r="H674" s="5">
        <v>1212</v>
      </c>
      <c r="I674" s="4" t="s">
        <v>160</v>
      </c>
      <c r="J674" s="4" t="s">
        <v>23</v>
      </c>
      <c r="K674" s="4" t="s">
        <v>481</v>
      </c>
      <c r="L674" s="4" t="s">
        <v>74</v>
      </c>
      <c r="M674" s="6">
        <v>4957</v>
      </c>
      <c r="N674" s="6">
        <v>5377</v>
      </c>
      <c r="O674" s="19">
        <v>0.625</v>
      </c>
      <c r="P674" s="6">
        <v>12.01</v>
      </c>
      <c r="Q674" s="6">
        <v>13.14</v>
      </c>
      <c r="R674" s="19">
        <v>0.92859999999999998</v>
      </c>
      <c r="S674" s="20">
        <v>17</v>
      </c>
      <c r="T674" s="6">
        <v>10.57</v>
      </c>
      <c r="U674" s="6">
        <v>10.96</v>
      </c>
      <c r="V674" s="6">
        <v>11.2</v>
      </c>
      <c r="W674" s="19">
        <v>0.90159999999999996</v>
      </c>
      <c r="X674" s="6">
        <v>37.68</v>
      </c>
      <c r="Y674" s="21">
        <v>427009.51908488898</v>
      </c>
      <c r="Z674" s="6">
        <v>13226</v>
      </c>
      <c r="AA674" s="6">
        <v>6.3410207787094901</v>
      </c>
    </row>
    <row r="675" spans="1:27" x14ac:dyDescent="0.25">
      <c r="A675" s="7" t="str">
        <f t="shared" si="10"/>
        <v>3854Providence Saint Mary Medical Center500132584600, 84602 PLANT SERVICES / GROUNDS</v>
      </c>
      <c r="B675" s="7"/>
      <c r="C675" s="29" t="s">
        <v>297</v>
      </c>
      <c r="D675" s="29" t="s">
        <v>470</v>
      </c>
      <c r="E675" s="29" t="s">
        <v>186</v>
      </c>
      <c r="F675" s="29">
        <v>3854</v>
      </c>
      <c r="G675" s="4" t="s">
        <v>471</v>
      </c>
      <c r="H675" s="5">
        <v>5001</v>
      </c>
      <c r="I675" s="4" t="s">
        <v>141</v>
      </c>
      <c r="J675" s="4" t="s">
        <v>62</v>
      </c>
      <c r="K675" s="4" t="s">
        <v>504</v>
      </c>
      <c r="L675" s="4" t="s">
        <v>63</v>
      </c>
      <c r="M675" s="6">
        <v>459.21</v>
      </c>
      <c r="N675" s="6">
        <v>459.21</v>
      </c>
      <c r="O675" s="19">
        <v>0.35289999999999999</v>
      </c>
      <c r="P675" s="6">
        <v>35.57</v>
      </c>
      <c r="Q675" s="6">
        <v>34.01</v>
      </c>
      <c r="R675" s="19">
        <v>0.64710000000000001</v>
      </c>
      <c r="S675" s="20">
        <v>18</v>
      </c>
      <c r="T675" s="6">
        <v>24.84</v>
      </c>
      <c r="U675" s="6">
        <v>26.45</v>
      </c>
      <c r="V675" s="6">
        <v>29.1</v>
      </c>
      <c r="W675" s="19">
        <v>0.88370000000000004</v>
      </c>
      <c r="X675" s="6">
        <v>8.5</v>
      </c>
      <c r="Y675" s="21">
        <v>111088.536804494</v>
      </c>
      <c r="Z675" s="6">
        <v>3984</v>
      </c>
      <c r="AA675" s="6">
        <v>1.91007734823968</v>
      </c>
    </row>
    <row r="676" spans="1:27" x14ac:dyDescent="0.25">
      <c r="A676" s="7" t="str">
        <f t="shared" si="10"/>
        <v>3854Providence Saint Mary Medical Center345032576700, ULTRASOUND</v>
      </c>
      <c r="B676" s="7"/>
      <c r="C676" s="29" t="s">
        <v>297</v>
      </c>
      <c r="D676" s="29" t="s">
        <v>470</v>
      </c>
      <c r="E676" s="29" t="s">
        <v>186</v>
      </c>
      <c r="F676" s="29">
        <v>3854</v>
      </c>
      <c r="G676" s="4" t="s">
        <v>471</v>
      </c>
      <c r="H676" s="5">
        <v>3450</v>
      </c>
      <c r="I676" s="4" t="s">
        <v>122</v>
      </c>
      <c r="J676" s="4" t="s">
        <v>57</v>
      </c>
      <c r="K676" s="4" t="s">
        <v>492</v>
      </c>
      <c r="L676" s="4" t="s">
        <v>99</v>
      </c>
      <c r="M676" s="6">
        <v>13601.81</v>
      </c>
      <c r="N676" s="6">
        <v>13617.97</v>
      </c>
      <c r="O676" s="19">
        <v>0.76190000000000002</v>
      </c>
      <c r="P676" s="6">
        <v>0.67</v>
      </c>
      <c r="Q676" s="6">
        <v>0.61</v>
      </c>
      <c r="R676" s="19">
        <v>0.73680000000000001</v>
      </c>
      <c r="S676" s="20">
        <v>22</v>
      </c>
      <c r="T676" s="6">
        <v>0.49</v>
      </c>
      <c r="U676" s="6">
        <v>0.52</v>
      </c>
      <c r="V676" s="6">
        <v>0.56999999999999995</v>
      </c>
      <c r="W676" s="19">
        <v>0.89300000000000002</v>
      </c>
      <c r="X676" s="6">
        <v>4.5</v>
      </c>
      <c r="Y676" s="21">
        <v>70890.480184998902</v>
      </c>
      <c r="Z676" s="6">
        <v>1456</v>
      </c>
      <c r="AA676" s="6">
        <v>0.69799733706317002</v>
      </c>
    </row>
    <row r="677" spans="1:27" x14ac:dyDescent="0.25">
      <c r="A677" s="7" t="str">
        <f t="shared" si="10"/>
        <v>3854Providence Saint Mary Medical Center651032587100, MEDICAL STAFF ADMINISTRATION</v>
      </c>
      <c r="B677" s="7"/>
      <c r="C677" s="29" t="s">
        <v>297</v>
      </c>
      <c r="D677" s="29" t="s">
        <v>470</v>
      </c>
      <c r="E677" s="29" t="s">
        <v>186</v>
      </c>
      <c r="F677" s="29">
        <v>3854</v>
      </c>
      <c r="G677" s="4" t="s">
        <v>471</v>
      </c>
      <c r="H677" s="5">
        <v>6510</v>
      </c>
      <c r="I677" s="4" t="s">
        <v>19</v>
      </c>
      <c r="J677" s="4" t="s">
        <v>19</v>
      </c>
      <c r="K677" s="4" t="s">
        <v>505</v>
      </c>
      <c r="L677" s="4" t="s">
        <v>20</v>
      </c>
      <c r="M677" s="6">
        <v>45</v>
      </c>
      <c r="N677" s="6">
        <v>76</v>
      </c>
      <c r="O677" s="19">
        <v>0.38100000000000001</v>
      </c>
      <c r="P677" s="6">
        <v>109.48</v>
      </c>
      <c r="Q677" s="6">
        <v>75.790000000000006</v>
      </c>
      <c r="R677" s="19">
        <v>0.6</v>
      </c>
      <c r="S677" s="20">
        <v>22</v>
      </c>
      <c r="T677" s="6">
        <v>53.23</v>
      </c>
      <c r="U677" s="6">
        <v>54.4</v>
      </c>
      <c r="V677" s="6">
        <v>61.97</v>
      </c>
      <c r="W677" s="19">
        <v>0.92679999999999996</v>
      </c>
      <c r="X677" s="6">
        <v>2.99</v>
      </c>
      <c r="Y677" s="21">
        <v>49082.5009493205</v>
      </c>
      <c r="Z677" s="6">
        <v>1775</v>
      </c>
      <c r="AA677" s="6">
        <v>0.85117808322529398</v>
      </c>
    </row>
    <row r="678" spans="1:27" x14ac:dyDescent="0.25">
      <c r="A678" s="7" t="str">
        <f t="shared" si="10"/>
        <v>3854Providence Saint Mary Medical Center482132577901, IP OCCUPATIONAL THERAPY</v>
      </c>
      <c r="B678" s="7"/>
      <c r="C678" s="29" t="s">
        <v>297</v>
      </c>
      <c r="D678" s="29" t="s">
        <v>470</v>
      </c>
      <c r="E678" s="29" t="s">
        <v>186</v>
      </c>
      <c r="F678" s="29">
        <v>3854</v>
      </c>
      <c r="G678" s="4" t="s">
        <v>471</v>
      </c>
      <c r="H678" s="5">
        <v>4821</v>
      </c>
      <c r="I678" s="4" t="s">
        <v>164</v>
      </c>
      <c r="J678" s="4" t="s">
        <v>41</v>
      </c>
      <c r="K678" s="4" t="s">
        <v>479</v>
      </c>
      <c r="L678" s="4" t="s">
        <v>79</v>
      </c>
      <c r="M678" s="6">
        <v>313.41000000000003</v>
      </c>
      <c r="N678" s="6">
        <v>404.28</v>
      </c>
      <c r="O678" s="19">
        <v>0.54549999999999998</v>
      </c>
      <c r="P678" s="6">
        <v>17.350000000000001</v>
      </c>
      <c r="Q678" s="6">
        <v>26.91</v>
      </c>
      <c r="R678" s="19">
        <v>0.54549999999999998</v>
      </c>
      <c r="S678" s="20">
        <v>23</v>
      </c>
      <c r="T678" s="6">
        <v>21.59</v>
      </c>
      <c r="U678" s="6">
        <v>23.63</v>
      </c>
      <c r="V678" s="6">
        <v>25.83</v>
      </c>
      <c r="W678" s="19">
        <v>0.93930000000000002</v>
      </c>
      <c r="X678" s="6">
        <v>5.57</v>
      </c>
      <c r="Y678" s="21">
        <v>51807.890817727202</v>
      </c>
      <c r="Z678" s="6">
        <v>1447</v>
      </c>
      <c r="AA678" s="6">
        <v>0.69370675114921998</v>
      </c>
    </row>
    <row r="679" spans="1:27" x14ac:dyDescent="0.25">
      <c r="A679" s="7" t="str">
        <f t="shared" si="10"/>
        <v>3854Providence Saint Mary Medical Center229932580100, CANCER CENTER ADMIN</v>
      </c>
      <c r="B679" s="7"/>
      <c r="C679" s="29" t="s">
        <v>297</v>
      </c>
      <c r="D679" s="29" t="s">
        <v>470</v>
      </c>
      <c r="E679" s="29" t="s">
        <v>186</v>
      </c>
      <c r="F679" s="29">
        <v>3854</v>
      </c>
      <c r="G679" s="4" t="s">
        <v>471</v>
      </c>
      <c r="H679" s="5">
        <v>2299</v>
      </c>
      <c r="I679" s="4" t="s">
        <v>187</v>
      </c>
      <c r="J679" s="4" t="s">
        <v>176</v>
      </c>
      <c r="K679" s="4" t="s">
        <v>476</v>
      </c>
      <c r="L679" s="4" t="s">
        <v>188</v>
      </c>
      <c r="M679" s="6">
        <v>20582</v>
      </c>
      <c r="N679" s="6">
        <v>18218</v>
      </c>
      <c r="O679" s="19">
        <v>0.54549999999999998</v>
      </c>
      <c r="P679" s="6">
        <v>0.81</v>
      </c>
      <c r="Q679" s="6">
        <v>1.06</v>
      </c>
      <c r="R679" s="19">
        <v>0.90910000000000002</v>
      </c>
      <c r="S679" s="20">
        <v>23</v>
      </c>
      <c r="T679" s="6">
        <v>0.2</v>
      </c>
      <c r="U679" s="6">
        <v>0.23</v>
      </c>
      <c r="V679" s="6">
        <v>0.31</v>
      </c>
      <c r="W679" s="19">
        <v>0.89729999999999999</v>
      </c>
      <c r="X679" s="6">
        <v>10.3</v>
      </c>
      <c r="Y679" s="21">
        <v>413653.95880234498</v>
      </c>
      <c r="Z679" s="6">
        <v>16813</v>
      </c>
      <c r="AA679" s="6">
        <v>8.0610776852246797</v>
      </c>
    </row>
    <row r="680" spans="1:27" x14ac:dyDescent="0.25">
      <c r="A680" s="7" t="str">
        <f t="shared" si="10"/>
        <v>3854Providence Saint Mary Medical Center307032574700, CENTRAL PROCESSING AND DISTRIB</v>
      </c>
      <c r="B680" s="7"/>
      <c r="C680" s="29" t="s">
        <v>297</v>
      </c>
      <c r="D680" s="29" t="s">
        <v>470</v>
      </c>
      <c r="E680" s="29" t="s">
        <v>186</v>
      </c>
      <c r="F680" s="29">
        <v>3854</v>
      </c>
      <c r="G680" s="4" t="s">
        <v>471</v>
      </c>
      <c r="H680" s="5">
        <v>3070</v>
      </c>
      <c r="I680" s="4" t="s">
        <v>91</v>
      </c>
      <c r="J680" s="4" t="s">
        <v>47</v>
      </c>
      <c r="K680" s="4" t="s">
        <v>486</v>
      </c>
      <c r="L680" s="4" t="s">
        <v>92</v>
      </c>
      <c r="M680" s="6">
        <v>2500</v>
      </c>
      <c r="N680" s="6">
        <v>2515</v>
      </c>
      <c r="O680" s="19">
        <v>0.6522</v>
      </c>
      <c r="P680" s="6">
        <v>8.32</v>
      </c>
      <c r="Q680" s="6">
        <v>7.3</v>
      </c>
      <c r="R680" s="19">
        <v>8.6999999999999994E-2</v>
      </c>
      <c r="S680" s="20">
        <v>24</v>
      </c>
      <c r="T680" s="6">
        <v>10.52</v>
      </c>
      <c r="U680" s="6">
        <v>11.06</v>
      </c>
      <c r="V680" s="6">
        <v>14.92</v>
      </c>
      <c r="W680" s="19">
        <v>0.87160000000000004</v>
      </c>
      <c r="X680" s="6">
        <v>10.130000000000001</v>
      </c>
      <c r="Y680" s="21">
        <v>-194519.78584590199</v>
      </c>
      <c r="Z680" s="6">
        <v>-10786</v>
      </c>
      <c r="AA680" s="6">
        <v>-5.1711493307989498</v>
      </c>
    </row>
    <row r="681" spans="1:27" x14ac:dyDescent="0.25">
      <c r="A681" s="7" t="str">
        <f t="shared" si="10"/>
        <v>3854Providence Saint Mary Medical Center481232577700, OP PHYSICAL THERAPY</v>
      </c>
      <c r="B681" s="7"/>
      <c r="C681" s="29" t="s">
        <v>297</v>
      </c>
      <c r="D681" s="29" t="s">
        <v>470</v>
      </c>
      <c r="E681" s="29" t="s">
        <v>186</v>
      </c>
      <c r="F681" s="29">
        <v>3854</v>
      </c>
      <c r="G681" s="4" t="s">
        <v>471</v>
      </c>
      <c r="H681" s="5">
        <v>4812</v>
      </c>
      <c r="I681" s="4" t="s">
        <v>78</v>
      </c>
      <c r="J681" s="4" t="s">
        <v>41</v>
      </c>
      <c r="K681" s="4" t="s">
        <v>497</v>
      </c>
      <c r="L681" s="4" t="s">
        <v>79</v>
      </c>
      <c r="M681" s="6">
        <v>829.91</v>
      </c>
      <c r="N681" s="6">
        <v>1101.07</v>
      </c>
      <c r="O681" s="19">
        <v>0.29170000000000001</v>
      </c>
      <c r="P681" s="6">
        <v>28.91</v>
      </c>
      <c r="Q681" s="6">
        <v>27.4</v>
      </c>
      <c r="R681" s="19">
        <v>0.73909999999999998</v>
      </c>
      <c r="S681" s="20">
        <v>25</v>
      </c>
      <c r="T681" s="6">
        <v>22.06</v>
      </c>
      <c r="U681" s="6">
        <v>22.22</v>
      </c>
      <c r="V681" s="6">
        <v>22.77</v>
      </c>
      <c r="W681" s="19">
        <v>0.88549999999999995</v>
      </c>
      <c r="X681" s="6">
        <v>16.38</v>
      </c>
      <c r="Y681" s="21">
        <v>221738.03375049899</v>
      </c>
      <c r="Z681" s="6">
        <v>6534</v>
      </c>
      <c r="AA681" s="6">
        <v>3.1329682305745399</v>
      </c>
    </row>
    <row r="682" spans="1:27" x14ac:dyDescent="0.25">
      <c r="A682" s="7" t="str">
        <f t="shared" si="10"/>
        <v>3854Providence Saint Mary Medical Center127032565390, 32570753, WHS / SPECIAL CARE NURSERY</v>
      </c>
      <c r="B682" s="7"/>
      <c r="C682" s="29" t="s">
        <v>297</v>
      </c>
      <c r="D682" s="29" t="s">
        <v>470</v>
      </c>
      <c r="E682" s="29" t="s">
        <v>186</v>
      </c>
      <c r="F682" s="29">
        <v>3854</v>
      </c>
      <c r="G682" s="4" t="s">
        <v>471</v>
      </c>
      <c r="H682" s="5">
        <v>1270</v>
      </c>
      <c r="I682" s="4" t="s">
        <v>199</v>
      </c>
      <c r="J682" s="4" t="s">
        <v>23</v>
      </c>
      <c r="K682" s="4" t="s">
        <v>506</v>
      </c>
      <c r="L682" s="4" t="s">
        <v>86</v>
      </c>
      <c r="M682" s="6">
        <v>588</v>
      </c>
      <c r="N682" s="6">
        <v>588</v>
      </c>
      <c r="O682" s="19">
        <v>0.57689999999999997</v>
      </c>
      <c r="P682" s="6">
        <v>80.52</v>
      </c>
      <c r="Q682" s="6">
        <v>73.540000000000006</v>
      </c>
      <c r="R682" s="19">
        <v>0.46150000000000002</v>
      </c>
      <c r="S682" s="20">
        <v>27</v>
      </c>
      <c r="T682" s="6">
        <v>65.17</v>
      </c>
      <c r="U682" s="6">
        <v>69.66</v>
      </c>
      <c r="V682" s="6">
        <v>75.14</v>
      </c>
      <c r="W682" s="19">
        <v>0.86170000000000002</v>
      </c>
      <c r="X682" s="6">
        <v>24.13</v>
      </c>
      <c r="Y682" s="21">
        <v>108917.736711943</v>
      </c>
      <c r="Z682" s="6">
        <v>2794</v>
      </c>
      <c r="AA682" s="6">
        <v>1.33955201227717</v>
      </c>
    </row>
    <row r="683" spans="1:27" x14ac:dyDescent="0.25">
      <c r="A683" s="7" t="str">
        <f t="shared" si="10"/>
        <v>3854Providence Saint Mary Medical Center482232577900, OP OCCUPATIONAL THERAPY</v>
      </c>
      <c r="B683" s="7"/>
      <c r="C683" s="29" t="s">
        <v>297</v>
      </c>
      <c r="D683" s="29" t="s">
        <v>470</v>
      </c>
      <c r="E683" s="29" t="s">
        <v>186</v>
      </c>
      <c r="F683" s="29">
        <v>3854</v>
      </c>
      <c r="G683" s="4" t="s">
        <v>471</v>
      </c>
      <c r="H683" s="5">
        <v>4822</v>
      </c>
      <c r="I683" s="4" t="s">
        <v>165</v>
      </c>
      <c r="J683" s="4" t="s">
        <v>41</v>
      </c>
      <c r="K683" s="4" t="s">
        <v>501</v>
      </c>
      <c r="L683" s="4" t="s">
        <v>79</v>
      </c>
      <c r="M683" s="6">
        <v>195.54</v>
      </c>
      <c r="N683" s="6">
        <v>248.34</v>
      </c>
      <c r="O683" s="19">
        <v>0.51849999999999996</v>
      </c>
      <c r="P683" s="6">
        <v>21.1</v>
      </c>
      <c r="Q683" s="6">
        <v>17.39</v>
      </c>
      <c r="R683" s="19">
        <v>3.6999999999999998E-2</v>
      </c>
      <c r="S683" s="20">
        <v>28</v>
      </c>
      <c r="T683" s="6">
        <v>22.17</v>
      </c>
      <c r="U683" s="6">
        <v>22.74</v>
      </c>
      <c r="V683" s="6">
        <v>24.52</v>
      </c>
      <c r="W683" s="19">
        <v>0.89649999999999996</v>
      </c>
      <c r="X683" s="6">
        <v>2.3199999999999998</v>
      </c>
      <c r="Y683" s="21">
        <v>-55526.113178606502</v>
      </c>
      <c r="Z683" s="6">
        <v>-1460</v>
      </c>
      <c r="AA683" s="6">
        <v>-0.70019512415045404</v>
      </c>
    </row>
    <row r="684" spans="1:27" x14ac:dyDescent="0.25">
      <c r="A684" s="7" t="str">
        <f t="shared" si="10"/>
        <v>3854Providence Saint Mary Medical Center481132577702, IP PHYSICAL THERAPY</v>
      </c>
      <c r="B684" s="7"/>
      <c r="C684" s="29" t="s">
        <v>297</v>
      </c>
      <c r="D684" s="29" t="s">
        <v>470</v>
      </c>
      <c r="E684" s="29" t="s">
        <v>186</v>
      </c>
      <c r="F684" s="29">
        <v>3854</v>
      </c>
      <c r="G684" s="4" t="s">
        <v>471</v>
      </c>
      <c r="H684" s="5">
        <v>4811</v>
      </c>
      <c r="I684" s="4" t="s">
        <v>124</v>
      </c>
      <c r="J684" s="4" t="s">
        <v>41</v>
      </c>
      <c r="K684" s="4" t="s">
        <v>499</v>
      </c>
      <c r="L684" s="4" t="s">
        <v>79</v>
      </c>
      <c r="M684" s="6">
        <v>350.76</v>
      </c>
      <c r="N684" s="6">
        <v>472.46</v>
      </c>
      <c r="O684" s="19">
        <v>0.70369999999999999</v>
      </c>
      <c r="P684" s="6">
        <v>38.81</v>
      </c>
      <c r="Q684" s="6">
        <v>32.270000000000003</v>
      </c>
      <c r="R684" s="19">
        <v>0.83330000000000004</v>
      </c>
      <c r="S684" s="20">
        <v>28</v>
      </c>
      <c r="T684" s="6">
        <v>25.17</v>
      </c>
      <c r="U684" s="6">
        <v>26.03</v>
      </c>
      <c r="V684" s="6">
        <v>27.3</v>
      </c>
      <c r="W684" s="19">
        <v>0.91549999999999998</v>
      </c>
      <c r="X684" s="6">
        <v>8.01</v>
      </c>
      <c r="Y684" s="21">
        <v>100394.63841212299</v>
      </c>
      <c r="Z684" s="6">
        <v>3273</v>
      </c>
      <c r="AA684" s="6">
        <v>1.5693600143202899</v>
      </c>
    </row>
    <row r="685" spans="1:27" x14ac:dyDescent="0.25">
      <c r="A685" s="7" t="str">
        <f t="shared" si="10"/>
        <v>3854Providence Saint Mary Medical Center432032578740, SLEEP LABORATORY</v>
      </c>
      <c r="B685" s="7"/>
      <c r="C685" s="29" t="s">
        <v>297</v>
      </c>
      <c r="D685" s="29" t="s">
        <v>470</v>
      </c>
      <c r="E685" s="29" t="s">
        <v>186</v>
      </c>
      <c r="F685" s="29">
        <v>3854</v>
      </c>
      <c r="G685" s="4" t="s">
        <v>471</v>
      </c>
      <c r="H685" s="5">
        <v>4320</v>
      </c>
      <c r="I685" s="4" t="s">
        <v>166</v>
      </c>
      <c r="J685" s="4" t="s">
        <v>116</v>
      </c>
      <c r="K685" s="4" t="s">
        <v>502</v>
      </c>
      <c r="L685" s="4" t="s">
        <v>99</v>
      </c>
      <c r="M685" s="6">
        <v>7926.46</v>
      </c>
      <c r="N685" s="6">
        <v>8103.73</v>
      </c>
      <c r="O685" s="19">
        <v>0.46429999999999999</v>
      </c>
      <c r="P685" s="6">
        <v>1.37</v>
      </c>
      <c r="Q685" s="6">
        <v>1.45</v>
      </c>
      <c r="R685" s="19">
        <v>0.92589999999999995</v>
      </c>
      <c r="S685" s="20">
        <v>29</v>
      </c>
      <c r="T685" s="6">
        <v>0.92</v>
      </c>
      <c r="U685" s="6">
        <v>0.95</v>
      </c>
      <c r="V685" s="6">
        <v>1.01</v>
      </c>
      <c r="W685" s="19">
        <v>0.86629999999999996</v>
      </c>
      <c r="X685" s="6">
        <v>6.5</v>
      </c>
      <c r="Y685" s="21">
        <v>145152.068767994</v>
      </c>
      <c r="Z685" s="6">
        <v>4670</v>
      </c>
      <c r="AA685" s="6">
        <v>2.23922684802015</v>
      </c>
    </row>
    <row r="686" spans="1:27" x14ac:dyDescent="0.25">
      <c r="A686" s="7" t="str">
        <f t="shared" si="10"/>
        <v>3854Providence Saint Mary Medical Center335032575000, 75400 CLINICAL LAB SERVICES / BLOOD BANK</v>
      </c>
      <c r="B686" s="7"/>
      <c r="C686" s="29" t="s">
        <v>297</v>
      </c>
      <c r="D686" s="29" t="s">
        <v>470</v>
      </c>
      <c r="E686" s="29" t="s">
        <v>186</v>
      </c>
      <c r="F686" s="29">
        <v>3854</v>
      </c>
      <c r="G686" s="4" t="s">
        <v>471</v>
      </c>
      <c r="H686" s="5">
        <v>3350</v>
      </c>
      <c r="I686" s="4" t="s">
        <v>93</v>
      </c>
      <c r="J686" s="4" t="s">
        <v>53</v>
      </c>
      <c r="K686" s="4" t="s">
        <v>487</v>
      </c>
      <c r="L686" s="4" t="s">
        <v>94</v>
      </c>
      <c r="M686" s="6">
        <v>2318.9499999999998</v>
      </c>
      <c r="N686" s="6">
        <v>2339.7199999999998</v>
      </c>
      <c r="O686" s="19">
        <v>0.64290000000000003</v>
      </c>
      <c r="P686" s="6">
        <v>19.75</v>
      </c>
      <c r="Q686" s="6">
        <v>21.44</v>
      </c>
      <c r="R686" s="19">
        <v>0.75</v>
      </c>
      <c r="S686" s="20">
        <v>29</v>
      </c>
      <c r="T686" s="6">
        <v>15.13</v>
      </c>
      <c r="U686" s="6">
        <v>17.57</v>
      </c>
      <c r="V686" s="6">
        <v>18.12</v>
      </c>
      <c r="W686" s="19">
        <v>0.91139999999999999</v>
      </c>
      <c r="X686" s="6">
        <v>26.46</v>
      </c>
      <c r="Y686" s="21">
        <v>303285.896114167</v>
      </c>
      <c r="Z686" s="6">
        <v>10082</v>
      </c>
      <c r="AA686" s="6">
        <v>4.8340704660887797</v>
      </c>
    </row>
    <row r="687" spans="1:27" x14ac:dyDescent="0.25">
      <c r="A687" s="7" t="str">
        <f t="shared" si="10"/>
        <v>3854Providence Saint Mary Medical Center464032572340, INFUSION SERVICES</v>
      </c>
      <c r="B687" s="7"/>
      <c r="C687" s="29" t="s">
        <v>297</v>
      </c>
      <c r="D687" s="29" t="s">
        <v>470</v>
      </c>
      <c r="E687" s="29" t="s">
        <v>186</v>
      </c>
      <c r="F687" s="29">
        <v>3854</v>
      </c>
      <c r="G687" s="4" t="s">
        <v>471</v>
      </c>
      <c r="H687" s="5">
        <v>4640</v>
      </c>
      <c r="I687" s="4" t="s">
        <v>82</v>
      </c>
      <c r="J687" s="4" t="s">
        <v>83</v>
      </c>
      <c r="K687" s="4" t="s">
        <v>485</v>
      </c>
      <c r="L687" s="4" t="s">
        <v>84</v>
      </c>
      <c r="M687" s="6">
        <v>1872</v>
      </c>
      <c r="N687" s="6">
        <v>2402</v>
      </c>
      <c r="O687" s="19">
        <v>0.75860000000000005</v>
      </c>
      <c r="P687" s="6">
        <v>2.6</v>
      </c>
      <c r="Q687" s="6">
        <v>2.23</v>
      </c>
      <c r="R687" s="19">
        <v>0.32140000000000002</v>
      </c>
      <c r="S687" s="20">
        <v>30</v>
      </c>
      <c r="T687" s="6">
        <v>2.0699999999999998</v>
      </c>
      <c r="U687" s="6">
        <v>2.2799999999999998</v>
      </c>
      <c r="V687" s="6">
        <v>2.9</v>
      </c>
      <c r="W687" s="19">
        <v>0.90969999999999995</v>
      </c>
      <c r="X687" s="6">
        <v>2.84</v>
      </c>
      <c r="Y687" s="21">
        <v>-4035.8158017466599</v>
      </c>
      <c r="Z687" s="6">
        <v>-97</v>
      </c>
      <c r="AA687" s="6">
        <v>-4.6408629112487401E-2</v>
      </c>
    </row>
    <row r="688" spans="1:27" x14ac:dyDescent="0.25">
      <c r="A688" s="7" t="str">
        <f t="shared" si="10"/>
        <v>3854Providence Saint Mary Medical Center521132584400, ENVIRONMENTAL SERVICES</v>
      </c>
      <c r="B688" s="7"/>
      <c r="C688" s="29" t="s">
        <v>297</v>
      </c>
      <c r="D688" s="29" t="s">
        <v>470</v>
      </c>
      <c r="E688" s="29" t="s">
        <v>186</v>
      </c>
      <c r="F688" s="29">
        <v>3854</v>
      </c>
      <c r="G688" s="4" t="s">
        <v>471</v>
      </c>
      <c r="H688" s="5">
        <v>5211</v>
      </c>
      <c r="I688" s="4" t="s">
        <v>50</v>
      </c>
      <c r="J688" s="4" t="s">
        <v>50</v>
      </c>
      <c r="K688" s="4" t="s">
        <v>503</v>
      </c>
      <c r="L688" s="4" t="s">
        <v>51</v>
      </c>
      <c r="M688" s="6">
        <v>308</v>
      </c>
      <c r="N688" s="6">
        <v>308</v>
      </c>
      <c r="O688" s="19">
        <v>0.3871</v>
      </c>
      <c r="P688" s="6">
        <v>190.41</v>
      </c>
      <c r="Q688" s="6">
        <v>192.76</v>
      </c>
      <c r="R688" s="19">
        <v>0.5</v>
      </c>
      <c r="S688" s="20">
        <v>32</v>
      </c>
      <c r="T688" s="6">
        <v>168.08</v>
      </c>
      <c r="U688" s="6">
        <v>179.01</v>
      </c>
      <c r="V688" s="6">
        <v>192.76</v>
      </c>
      <c r="W688" s="19">
        <v>0.88119999999999998</v>
      </c>
      <c r="X688" s="6">
        <v>32.39</v>
      </c>
      <c r="Y688" s="21">
        <v>68329.959754393101</v>
      </c>
      <c r="Z688" s="6">
        <v>4988</v>
      </c>
      <c r="AA688" s="6">
        <v>2.39135218157947</v>
      </c>
    </row>
    <row r="689" spans="1:27" x14ac:dyDescent="0.25">
      <c r="A689" s="7" t="str">
        <f t="shared" si="10"/>
        <v>3854Providence Saint Mary Medical Center231032573900, HOME HEALTH CARE SVS</v>
      </c>
      <c r="B689" s="7"/>
      <c r="C689" s="29" t="s">
        <v>297</v>
      </c>
      <c r="D689" s="29" t="s">
        <v>470</v>
      </c>
      <c r="E689" s="29" t="s">
        <v>186</v>
      </c>
      <c r="F689" s="29">
        <v>3854</v>
      </c>
      <c r="G689" s="4" t="s">
        <v>471</v>
      </c>
      <c r="H689" s="5">
        <v>2310</v>
      </c>
      <c r="I689" s="4" t="s">
        <v>149</v>
      </c>
      <c r="J689" s="4" t="s">
        <v>150</v>
      </c>
      <c r="K689" s="4" t="s">
        <v>472</v>
      </c>
      <c r="L689" s="4" t="s">
        <v>151</v>
      </c>
      <c r="M689" s="6">
        <v>11936</v>
      </c>
      <c r="N689" s="6">
        <v>15349</v>
      </c>
      <c r="O689" s="19">
        <v>0.46879999999999999</v>
      </c>
      <c r="P689" s="6">
        <v>2.89</v>
      </c>
      <c r="Q689" s="6">
        <v>2.54</v>
      </c>
      <c r="R689" s="19">
        <v>0.1724</v>
      </c>
      <c r="S689" s="20">
        <v>33</v>
      </c>
      <c r="T689" s="6">
        <v>2.6</v>
      </c>
      <c r="U689" s="6">
        <v>2.68</v>
      </c>
      <c r="V689" s="6">
        <v>2.91</v>
      </c>
      <c r="W689" s="19">
        <v>0.88980000000000004</v>
      </c>
      <c r="X689" s="6">
        <v>21.09</v>
      </c>
      <c r="Y689" s="21">
        <v>-108973.593353524</v>
      </c>
      <c r="Z689" s="6">
        <v>-2242</v>
      </c>
      <c r="AA689" s="6">
        <v>-1.07514810584482</v>
      </c>
    </row>
    <row r="690" spans="1:27" x14ac:dyDescent="0.25">
      <c r="A690" s="7" t="str">
        <f t="shared" si="10"/>
        <v>3854Providence Saint Mary Medical Center401032576428, RADIATION ONCOLOGY</v>
      </c>
      <c r="B690" s="7"/>
      <c r="C690" s="29" t="s">
        <v>297</v>
      </c>
      <c r="D690" s="29" t="s">
        <v>470</v>
      </c>
      <c r="E690" s="29" t="s">
        <v>186</v>
      </c>
      <c r="F690" s="29">
        <v>3854</v>
      </c>
      <c r="G690" s="4" t="s">
        <v>471</v>
      </c>
      <c r="H690" s="5">
        <v>4010</v>
      </c>
      <c r="I690" s="4" t="s">
        <v>152</v>
      </c>
      <c r="J690" s="4" t="s">
        <v>153</v>
      </c>
      <c r="K690" s="4" t="s">
        <v>489</v>
      </c>
      <c r="L690" s="4" t="s">
        <v>99</v>
      </c>
      <c r="M690" s="6">
        <v>47062.400000000001</v>
      </c>
      <c r="N690" s="6">
        <v>36997.9</v>
      </c>
      <c r="O690" s="19">
        <v>0.5</v>
      </c>
      <c r="P690" s="6">
        <v>0.28000000000000003</v>
      </c>
      <c r="Q690" s="6">
        <v>0.32</v>
      </c>
      <c r="R690" s="19">
        <v>0.25</v>
      </c>
      <c r="S690" s="20">
        <v>37</v>
      </c>
      <c r="T690" s="6">
        <v>0.32</v>
      </c>
      <c r="U690" s="6">
        <v>0.36</v>
      </c>
      <c r="V690" s="6">
        <v>0.4</v>
      </c>
      <c r="W690" s="19">
        <v>0.89859999999999995</v>
      </c>
      <c r="X690" s="6">
        <v>6.4</v>
      </c>
      <c r="Y690" s="21">
        <v>-65736.413310637305</v>
      </c>
      <c r="Z690" s="6">
        <v>-1474</v>
      </c>
      <c r="AA690" s="6">
        <v>-0.70659096785748798</v>
      </c>
    </row>
    <row r="691" spans="1:27" x14ac:dyDescent="0.25">
      <c r="A691" s="7" t="str">
        <f t="shared" si="10"/>
        <v>3854Providence Saint Mary Medical Center201032570100, 70102 EMERGENCY SERVICES</v>
      </c>
      <c r="B691" s="7"/>
      <c r="C691" s="29" t="s">
        <v>297</v>
      </c>
      <c r="D691" s="29" t="s">
        <v>470</v>
      </c>
      <c r="E691" s="29" t="s">
        <v>186</v>
      </c>
      <c r="F691" s="29">
        <v>3854</v>
      </c>
      <c r="G691" s="4" t="s">
        <v>471</v>
      </c>
      <c r="H691" s="5">
        <v>2010</v>
      </c>
      <c r="I691" s="4" t="s">
        <v>75</v>
      </c>
      <c r="J691" s="4" t="s">
        <v>76</v>
      </c>
      <c r="K691" s="4" t="s">
        <v>484</v>
      </c>
      <c r="L691" s="4" t="s">
        <v>77</v>
      </c>
      <c r="M691" s="6">
        <v>18897</v>
      </c>
      <c r="N691" s="6">
        <v>20824</v>
      </c>
      <c r="O691" s="19">
        <v>0.39529999999999998</v>
      </c>
      <c r="P691" s="6">
        <v>2.48</v>
      </c>
      <c r="Q691" s="6">
        <v>2.4300000000000002</v>
      </c>
      <c r="R691" s="19">
        <v>0.2195</v>
      </c>
      <c r="S691" s="20">
        <v>44</v>
      </c>
      <c r="T691" s="6">
        <v>2.48</v>
      </c>
      <c r="U691" s="6">
        <v>2.6</v>
      </c>
      <c r="V691" s="6">
        <v>2.77</v>
      </c>
      <c r="W691" s="19">
        <v>0.91400000000000003</v>
      </c>
      <c r="X691" s="6">
        <v>26.67</v>
      </c>
      <c r="Y691" s="21">
        <v>-132112.47347065699</v>
      </c>
      <c r="Z691" s="6">
        <v>-3611</v>
      </c>
      <c r="AA691" s="6">
        <v>-1.7313815447883201</v>
      </c>
    </row>
    <row r="692" spans="1:27" x14ac:dyDescent="0.25">
      <c r="A692" s="7" t="str">
        <f t="shared" si="10"/>
        <v>3854Providence Saint Mary Medical Center342032576800, CT SCAN</v>
      </c>
      <c r="B692" s="7"/>
      <c r="C692" s="29" t="s">
        <v>297</v>
      </c>
      <c r="D692" s="29" t="s">
        <v>470</v>
      </c>
      <c r="E692" s="29" t="s">
        <v>186</v>
      </c>
      <c r="F692" s="29">
        <v>3854</v>
      </c>
      <c r="G692" s="4" t="s">
        <v>471</v>
      </c>
      <c r="H692" s="5">
        <v>3420</v>
      </c>
      <c r="I692" s="4" t="s">
        <v>123</v>
      </c>
      <c r="J692" s="4" t="s">
        <v>57</v>
      </c>
      <c r="K692" s="4" t="s">
        <v>493</v>
      </c>
      <c r="L692" s="4" t="s">
        <v>99</v>
      </c>
      <c r="M692" s="6">
        <v>27332.36</v>
      </c>
      <c r="N692" s="6">
        <v>29374.1</v>
      </c>
      <c r="O692" s="19">
        <v>0.51919999999999999</v>
      </c>
      <c r="P692" s="6">
        <v>0.35</v>
      </c>
      <c r="Q692" s="6">
        <v>0.35</v>
      </c>
      <c r="R692" s="19">
        <v>0.79169999999999996</v>
      </c>
      <c r="S692" s="20">
        <v>53</v>
      </c>
      <c r="T692" s="6">
        <v>0.27</v>
      </c>
      <c r="U692" s="6">
        <v>0.27</v>
      </c>
      <c r="V692" s="6">
        <v>0.31</v>
      </c>
      <c r="W692" s="19">
        <v>0.90629999999999999</v>
      </c>
      <c r="X692" s="6">
        <v>5.52</v>
      </c>
      <c r="Y692" s="21">
        <v>106813.35889028999</v>
      </c>
      <c r="Z692" s="6">
        <v>2762</v>
      </c>
      <c r="AA692" s="6">
        <v>1.32429918603529</v>
      </c>
    </row>
    <row r="693" spans="1:27" x14ac:dyDescent="0.25">
      <c r="A693" s="7" t="str">
        <f t="shared" si="10"/>
        <v>3854Providence Saint Mary Medical Center301132574200, 74210 OPERATING ROOM</v>
      </c>
      <c r="B693" s="7"/>
      <c r="C693" s="29" t="s">
        <v>297</v>
      </c>
      <c r="D693" s="29" t="s">
        <v>470</v>
      </c>
      <c r="E693" s="29" t="s">
        <v>186</v>
      </c>
      <c r="F693" s="29">
        <v>3854</v>
      </c>
      <c r="G693" s="4" t="s">
        <v>471</v>
      </c>
      <c r="H693" s="5">
        <v>3011</v>
      </c>
      <c r="I693" s="4" t="s">
        <v>87</v>
      </c>
      <c r="J693" s="4" t="s">
        <v>47</v>
      </c>
      <c r="K693" s="4" t="s">
        <v>473</v>
      </c>
      <c r="L693" s="4" t="s">
        <v>88</v>
      </c>
      <c r="M693" s="6">
        <v>4388.3999999999996</v>
      </c>
      <c r="N693" s="6">
        <v>4403.0600000000004</v>
      </c>
      <c r="O693" s="19">
        <v>0.57140000000000002</v>
      </c>
      <c r="P693" s="6">
        <v>10.6</v>
      </c>
      <c r="Q693" s="6">
        <v>12.22</v>
      </c>
      <c r="R693" s="19">
        <v>0.53569999999999995</v>
      </c>
      <c r="S693" s="20">
        <v>57</v>
      </c>
      <c r="T693" s="6">
        <v>10.49</v>
      </c>
      <c r="U693" s="6">
        <v>10.74</v>
      </c>
      <c r="V693" s="6">
        <v>11.53</v>
      </c>
      <c r="W693" s="19">
        <v>0.90190000000000003</v>
      </c>
      <c r="X693" s="6">
        <v>28.68</v>
      </c>
      <c r="Y693" s="21">
        <v>254304.185176122</v>
      </c>
      <c r="Z693" s="6">
        <v>7385</v>
      </c>
      <c r="AA693" s="6">
        <v>3.5409618590699701</v>
      </c>
    </row>
    <row r="694" spans="1:27" x14ac:dyDescent="0.25">
      <c r="A694" s="7" t="str">
        <f t="shared" si="10"/>
        <v>3854Providence Saint Mary Medical Center489932577701, PT OT ADMIN</v>
      </c>
      <c r="B694" s="7"/>
      <c r="C694" s="29" t="s">
        <v>297</v>
      </c>
      <c r="D694" s="29" t="s">
        <v>470</v>
      </c>
      <c r="E694" s="29" t="s">
        <v>186</v>
      </c>
      <c r="F694" s="29">
        <v>3854</v>
      </c>
      <c r="G694" s="4" t="s">
        <v>471</v>
      </c>
      <c r="H694" s="5">
        <v>4899</v>
      </c>
      <c r="I694" s="4" t="s">
        <v>40</v>
      </c>
      <c r="J694" s="4" t="s">
        <v>41</v>
      </c>
      <c r="K694" s="4" t="s">
        <v>498</v>
      </c>
      <c r="L694" s="4" t="s">
        <v>43</v>
      </c>
      <c r="M694" s="6">
        <v>1851.31</v>
      </c>
      <c r="N694" s="6">
        <v>2471.0300000000002</v>
      </c>
      <c r="O694" s="19">
        <v>0.53449999999999998</v>
      </c>
      <c r="P694" s="6">
        <v>10.15</v>
      </c>
      <c r="Q694" s="6">
        <v>6.49</v>
      </c>
      <c r="R694" s="19">
        <v>0.8448</v>
      </c>
      <c r="S694" s="20">
        <v>59</v>
      </c>
      <c r="T694" s="6">
        <v>2.38</v>
      </c>
      <c r="U694" s="6">
        <v>2.95</v>
      </c>
      <c r="V694" s="6">
        <v>3.8</v>
      </c>
      <c r="W694" s="19">
        <v>0.89610000000000001</v>
      </c>
      <c r="X694" s="6">
        <v>8.61</v>
      </c>
      <c r="Y694" s="21">
        <v>259437.00002318199</v>
      </c>
      <c r="Z694" s="6">
        <v>9823</v>
      </c>
      <c r="AA694" s="6">
        <v>4.7097565553612801</v>
      </c>
    </row>
    <row r="695" spans="1:27" x14ac:dyDescent="0.25">
      <c r="A695" s="7" t="str">
        <f t="shared" si="10"/>
        <v>3854Providence Saint Mary Medical Center441032577100, PHARMACY</v>
      </c>
      <c r="B695" s="7"/>
      <c r="C695" s="29" t="s">
        <v>297</v>
      </c>
      <c r="D695" s="29" t="s">
        <v>470</v>
      </c>
      <c r="E695" s="29" t="s">
        <v>186</v>
      </c>
      <c r="F695" s="29">
        <v>3854</v>
      </c>
      <c r="G695" s="4" t="s">
        <v>471</v>
      </c>
      <c r="H695" s="5">
        <v>4410</v>
      </c>
      <c r="I695" s="4" t="s">
        <v>37</v>
      </c>
      <c r="J695" s="4" t="s">
        <v>37</v>
      </c>
      <c r="K695" s="4" t="s">
        <v>494</v>
      </c>
      <c r="L695" s="4" t="s">
        <v>100</v>
      </c>
      <c r="M695" s="6">
        <v>36412.11</v>
      </c>
      <c r="N695" s="6">
        <v>38892.370000000003</v>
      </c>
      <c r="O695" s="19">
        <v>0.67800000000000005</v>
      </c>
      <c r="P695" s="6">
        <v>0.9</v>
      </c>
      <c r="Q695" s="6">
        <v>0.96</v>
      </c>
      <c r="R695" s="7"/>
      <c r="S695" s="20">
        <v>60</v>
      </c>
      <c r="T695" s="6">
        <v>1.72</v>
      </c>
      <c r="U695" s="6">
        <v>1.89</v>
      </c>
      <c r="V695" s="6">
        <v>2.0299999999999998</v>
      </c>
      <c r="W695" s="19">
        <v>0.91139999999999999</v>
      </c>
      <c r="X695" s="6">
        <v>19.75</v>
      </c>
      <c r="Y695" s="21">
        <v>-1598893.04878788</v>
      </c>
      <c r="Z695" s="6">
        <v>-39460</v>
      </c>
      <c r="AA695" s="6">
        <v>-18.9192142610787</v>
      </c>
    </row>
    <row r="696" spans="1:27" x14ac:dyDescent="0.25">
      <c r="A696" s="7" t="str">
        <f t="shared" si="10"/>
        <v>3854Providence Saint Mary Medical Center449004490, Pharmacy Administration and Support</v>
      </c>
      <c r="B696" s="7"/>
      <c r="C696" s="29" t="s">
        <v>297</v>
      </c>
      <c r="D696" s="29" t="s">
        <v>470</v>
      </c>
      <c r="E696" s="29" t="s">
        <v>186</v>
      </c>
      <c r="F696" s="29">
        <v>3854</v>
      </c>
      <c r="G696" s="4" t="s">
        <v>471</v>
      </c>
      <c r="H696" s="5">
        <v>4490</v>
      </c>
      <c r="I696" s="4" t="s">
        <v>36</v>
      </c>
      <c r="J696" s="4" t="s">
        <v>37</v>
      </c>
      <c r="K696" s="4" t="s">
        <v>480</v>
      </c>
      <c r="L696" s="4" t="s">
        <v>39</v>
      </c>
      <c r="M696" s="6">
        <v>18193.72</v>
      </c>
      <c r="N696" s="6">
        <v>18114.78</v>
      </c>
      <c r="O696" s="19">
        <v>0.33900000000000002</v>
      </c>
      <c r="P696" s="6">
        <v>0.59</v>
      </c>
      <c r="Q696" s="6">
        <v>0.6</v>
      </c>
      <c r="R696" s="19">
        <v>1</v>
      </c>
      <c r="S696" s="20">
        <v>60</v>
      </c>
      <c r="T696" s="6">
        <v>0.19</v>
      </c>
      <c r="U696" s="6">
        <v>0.23</v>
      </c>
      <c r="V696" s="6">
        <v>0.3</v>
      </c>
      <c r="W696" s="19">
        <v>0.9345</v>
      </c>
      <c r="X696" s="6">
        <v>5.64</v>
      </c>
      <c r="Y696" s="21">
        <v>297496.04808208399</v>
      </c>
      <c r="Z696" s="6">
        <v>7305</v>
      </c>
      <c r="AA696" s="6">
        <v>3.5023836964867598</v>
      </c>
    </row>
    <row r="697" spans="1:27" x14ac:dyDescent="0.25">
      <c r="A697" s="7" t="str">
        <f t="shared" si="10"/>
        <v>3854Providence Saint Mary Medical Center591032584200, SECURITY</v>
      </c>
      <c r="B697" s="7"/>
      <c r="C697" s="29" t="s">
        <v>297</v>
      </c>
      <c r="D697" s="29" t="s">
        <v>470</v>
      </c>
      <c r="E697" s="29" t="s">
        <v>186</v>
      </c>
      <c r="F697" s="29">
        <v>3854</v>
      </c>
      <c r="G697" s="4" t="s">
        <v>471</v>
      </c>
      <c r="H697" s="5">
        <v>5910</v>
      </c>
      <c r="I697" s="4" t="s">
        <v>139</v>
      </c>
      <c r="J697" s="4" t="s">
        <v>136</v>
      </c>
      <c r="K697" s="4" t="s">
        <v>475</v>
      </c>
      <c r="L697" s="4" t="s">
        <v>140</v>
      </c>
      <c r="M697" s="6">
        <v>1331.71</v>
      </c>
      <c r="N697" s="6">
        <v>1331.71</v>
      </c>
      <c r="O697" s="19">
        <v>0.41539999999999999</v>
      </c>
      <c r="P697" s="6">
        <v>6.21</v>
      </c>
      <c r="Q697" s="6">
        <v>6.47</v>
      </c>
      <c r="R697" s="19">
        <v>6.9000000000000006E-2</v>
      </c>
      <c r="S697" s="20">
        <v>66</v>
      </c>
      <c r="T697" s="6">
        <v>11.64</v>
      </c>
      <c r="U697" s="6">
        <v>14.05</v>
      </c>
      <c r="V697" s="6">
        <v>15.92</v>
      </c>
      <c r="W697" s="19">
        <v>0.93579999999999997</v>
      </c>
      <c r="X697" s="6">
        <v>4.42</v>
      </c>
      <c r="Y697" s="21">
        <v>-258217.871596093</v>
      </c>
      <c r="Z697" s="6">
        <v>-10775</v>
      </c>
      <c r="AA697" s="6">
        <v>-5.1663019251079696</v>
      </c>
    </row>
    <row r="698" spans="1:27" x14ac:dyDescent="0.25">
      <c r="A698" s="7" t="str">
        <f t="shared" si="10"/>
        <v>3854Providence Saint Mary Medical Center302032574270, PACU</v>
      </c>
      <c r="B698" s="7"/>
      <c r="C698" s="29" t="s">
        <v>297</v>
      </c>
      <c r="D698" s="29" t="s">
        <v>470</v>
      </c>
      <c r="E698" s="29" t="s">
        <v>186</v>
      </c>
      <c r="F698" s="29">
        <v>3854</v>
      </c>
      <c r="G698" s="4" t="s">
        <v>471</v>
      </c>
      <c r="H698" s="5">
        <v>3020</v>
      </c>
      <c r="I698" s="4" t="s">
        <v>89</v>
      </c>
      <c r="J698" s="4" t="s">
        <v>47</v>
      </c>
      <c r="K698" s="4" t="s">
        <v>474</v>
      </c>
      <c r="L698" s="4" t="s">
        <v>90</v>
      </c>
      <c r="M698" s="6">
        <v>2493.6</v>
      </c>
      <c r="N698" s="6">
        <v>4569.45</v>
      </c>
      <c r="O698" s="19">
        <v>0.50719999999999998</v>
      </c>
      <c r="P698" s="6">
        <v>14.01</v>
      </c>
      <c r="Q698" s="6">
        <v>8.4</v>
      </c>
      <c r="R698" s="7"/>
      <c r="S698" s="20">
        <v>70</v>
      </c>
      <c r="T698" s="6">
        <v>3.05</v>
      </c>
      <c r="U698" s="6">
        <v>3.26</v>
      </c>
      <c r="V698" s="6">
        <v>3.73</v>
      </c>
      <c r="W698" s="19">
        <v>0.89629999999999999</v>
      </c>
      <c r="X698" s="6">
        <v>20.58</v>
      </c>
      <c r="Y698" s="21">
        <v>1182824.4470567701</v>
      </c>
      <c r="Z698" s="6">
        <v>26304</v>
      </c>
      <c r="AA698" s="6">
        <v>12.611505228023701</v>
      </c>
    </row>
    <row r="699" spans="1:27" x14ac:dyDescent="0.25">
      <c r="A699" s="7" t="str">
        <f t="shared" si="10"/>
        <v>3854Providence Saint Mary Medical Center343032576608, MRI</v>
      </c>
      <c r="B699" s="7"/>
      <c r="C699" s="29" t="s">
        <v>297</v>
      </c>
      <c r="D699" s="29" t="s">
        <v>470</v>
      </c>
      <c r="E699" s="29" t="s">
        <v>186</v>
      </c>
      <c r="F699" s="29">
        <v>3854</v>
      </c>
      <c r="G699" s="4" t="s">
        <v>471</v>
      </c>
      <c r="H699" s="5">
        <v>3430</v>
      </c>
      <c r="I699" s="4" t="s">
        <v>121</v>
      </c>
      <c r="J699" s="4" t="s">
        <v>57</v>
      </c>
      <c r="K699" s="4" t="s">
        <v>491</v>
      </c>
      <c r="L699" s="4" t="s">
        <v>99</v>
      </c>
      <c r="M699" s="6">
        <v>20403.650000000001</v>
      </c>
      <c r="N699" s="6">
        <v>20002.099999999999</v>
      </c>
      <c r="O699" s="19">
        <v>0.64790000000000003</v>
      </c>
      <c r="P699" s="6">
        <v>0.25</v>
      </c>
      <c r="Q699" s="6">
        <v>0.24</v>
      </c>
      <c r="R699" s="19">
        <v>5.7099999999999998E-2</v>
      </c>
      <c r="S699" s="20">
        <v>72</v>
      </c>
      <c r="T699" s="6">
        <v>0.28999999999999998</v>
      </c>
      <c r="U699" s="6">
        <v>0.3</v>
      </c>
      <c r="V699" s="6">
        <v>0.33</v>
      </c>
      <c r="W699" s="19">
        <v>0.88519999999999999</v>
      </c>
      <c r="X699" s="6">
        <v>2.59</v>
      </c>
      <c r="Y699" s="21">
        <v>-74345.754901307897</v>
      </c>
      <c r="Z699" s="6">
        <v>-1377</v>
      </c>
      <c r="AA699" s="6">
        <v>-0.66015147907205596</v>
      </c>
    </row>
    <row r="700" spans="1:27" x14ac:dyDescent="0.25">
      <c r="A700" s="7" t="str">
        <f t="shared" si="10"/>
        <v>3854Providence Saint Mary Medical Center486132577800, SPEECH THERAPY</v>
      </c>
      <c r="B700" s="7"/>
      <c r="C700" s="29" t="s">
        <v>297</v>
      </c>
      <c r="D700" s="29" t="s">
        <v>470</v>
      </c>
      <c r="E700" s="29" t="s">
        <v>186</v>
      </c>
      <c r="F700" s="29">
        <v>3854</v>
      </c>
      <c r="G700" s="4" t="s">
        <v>471</v>
      </c>
      <c r="H700" s="5">
        <v>4861</v>
      </c>
      <c r="I700" s="4" t="s">
        <v>125</v>
      </c>
      <c r="J700" s="4" t="s">
        <v>41</v>
      </c>
      <c r="K700" s="4" t="s">
        <v>500</v>
      </c>
      <c r="L700" s="4" t="s">
        <v>79</v>
      </c>
      <c r="M700" s="6">
        <v>161.69</v>
      </c>
      <c r="N700" s="6">
        <v>244.89</v>
      </c>
      <c r="O700" s="19">
        <v>0.55259999999999998</v>
      </c>
      <c r="P700" s="6">
        <v>26.19</v>
      </c>
      <c r="Q700" s="6">
        <v>23.26</v>
      </c>
      <c r="R700" s="19">
        <v>0.20269999999999999</v>
      </c>
      <c r="S700" s="20">
        <v>77</v>
      </c>
      <c r="T700" s="6">
        <v>23.55</v>
      </c>
      <c r="U700" s="6">
        <v>25.78</v>
      </c>
      <c r="V700" s="6">
        <v>28.09</v>
      </c>
      <c r="W700" s="19">
        <v>0.94840000000000002</v>
      </c>
      <c r="X700" s="6">
        <v>2.89</v>
      </c>
      <c r="Y700" s="21">
        <v>-24798.8692922351</v>
      </c>
      <c r="Z700" s="6">
        <v>-629</v>
      </c>
      <c r="AA700" s="6">
        <v>-0.30161558997869198</v>
      </c>
    </row>
    <row r="701" spans="1:27" x14ac:dyDescent="0.25">
      <c r="A701" s="7" t="str">
        <f t="shared" si="10"/>
        <v>3854Providence Saint Mary Medical Center341132576305, DIAGNOSTIC IMAGING</v>
      </c>
      <c r="B701" s="7"/>
      <c r="C701" s="29" t="s">
        <v>297</v>
      </c>
      <c r="D701" s="29" t="s">
        <v>470</v>
      </c>
      <c r="E701" s="29" t="s">
        <v>186</v>
      </c>
      <c r="F701" s="29">
        <v>3854</v>
      </c>
      <c r="G701" s="4" t="s">
        <v>471</v>
      </c>
      <c r="H701" s="5">
        <v>3411</v>
      </c>
      <c r="I701" s="4" t="s">
        <v>117</v>
      </c>
      <c r="J701" s="4" t="s">
        <v>57</v>
      </c>
      <c r="K701" s="4" t="s">
        <v>488</v>
      </c>
      <c r="L701" s="4" t="s">
        <v>99</v>
      </c>
      <c r="M701" s="6">
        <v>54514.55</v>
      </c>
      <c r="N701" s="6">
        <v>62314.44</v>
      </c>
      <c r="O701" s="19">
        <v>0.67069999999999996</v>
      </c>
      <c r="P701" s="6">
        <v>0.85</v>
      </c>
      <c r="Q701" s="6">
        <v>0.88</v>
      </c>
      <c r="R701" s="19">
        <v>0.83330000000000004</v>
      </c>
      <c r="S701" s="20">
        <v>83</v>
      </c>
      <c r="T701" s="6">
        <v>0.57999999999999996</v>
      </c>
      <c r="U701" s="6">
        <v>0.61</v>
      </c>
      <c r="V701" s="6">
        <v>0.66</v>
      </c>
      <c r="W701" s="19">
        <v>0.90720000000000001</v>
      </c>
      <c r="X701" s="6">
        <v>29.08</v>
      </c>
      <c r="Y701" s="21">
        <v>583845.24508881802</v>
      </c>
      <c r="Z701" s="6">
        <v>18752</v>
      </c>
      <c r="AA701" s="6">
        <v>8.9907534475756101</v>
      </c>
    </row>
    <row r="702" spans="1:27" x14ac:dyDescent="0.25">
      <c r="A702" s="7" t="str">
        <f t="shared" si="10"/>
        <v>3854Providence Saint Mary Medical Center522132583500, LAUNDRY AND LINEN</v>
      </c>
      <c r="B702" s="7"/>
      <c r="C702" s="29" t="s">
        <v>297</v>
      </c>
      <c r="D702" s="29" t="s">
        <v>470</v>
      </c>
      <c r="E702" s="29" t="s">
        <v>186</v>
      </c>
      <c r="F702" s="29">
        <v>3854</v>
      </c>
      <c r="G702" s="4" t="s">
        <v>471</v>
      </c>
      <c r="H702" s="5">
        <v>5221</v>
      </c>
      <c r="I702" s="4" t="s">
        <v>131</v>
      </c>
      <c r="J702" s="4" t="s">
        <v>50</v>
      </c>
      <c r="K702" s="4" t="s">
        <v>478</v>
      </c>
      <c r="L702" s="4" t="s">
        <v>132</v>
      </c>
      <c r="M702" s="6">
        <v>5814.31</v>
      </c>
      <c r="N702" s="6">
        <v>6350.72</v>
      </c>
      <c r="O702" s="19">
        <v>0.1118</v>
      </c>
      <c r="P702" s="6">
        <v>0.68</v>
      </c>
      <c r="Q702" s="6">
        <v>0.67</v>
      </c>
      <c r="R702" s="19">
        <v>0.78059999999999996</v>
      </c>
      <c r="S702" s="20">
        <v>162</v>
      </c>
      <c r="T702" s="6">
        <v>0.33</v>
      </c>
      <c r="U702" s="6">
        <v>0.38</v>
      </c>
      <c r="V702" s="6">
        <v>0.45</v>
      </c>
      <c r="W702" s="19">
        <v>0.88</v>
      </c>
      <c r="X702" s="6">
        <v>2.31</v>
      </c>
      <c r="Y702" s="21">
        <v>29312.7254998969</v>
      </c>
      <c r="Z702" s="6">
        <v>2076</v>
      </c>
      <c r="AA702" s="6">
        <v>0.99516260074010499</v>
      </c>
    </row>
    <row r="703" spans="1:27" x14ac:dyDescent="0.25">
      <c r="A703" s="7" t="str">
        <f t="shared" si="10"/>
        <v>3533Providence San Pedro Peninsula Hospital136077264200, SPH CDU IP</v>
      </c>
      <c r="B703" s="7"/>
      <c r="C703" s="29" t="s">
        <v>924</v>
      </c>
      <c r="D703" s="29" t="s">
        <v>924</v>
      </c>
      <c r="E703" s="29" t="s">
        <v>924</v>
      </c>
      <c r="F703" s="29">
        <v>3533</v>
      </c>
      <c r="G703" s="4" t="s">
        <v>1037</v>
      </c>
      <c r="H703" s="5">
        <v>1360</v>
      </c>
      <c r="I703" s="4" t="s">
        <v>189</v>
      </c>
      <c r="J703" s="4" t="s">
        <v>23</v>
      </c>
      <c r="K703" s="4" t="s">
        <v>1038</v>
      </c>
      <c r="L703" s="4" t="s">
        <v>114</v>
      </c>
      <c r="M703" s="39">
        <v>2909</v>
      </c>
      <c r="N703" s="39">
        <v>3602</v>
      </c>
      <c r="O703" s="38">
        <v>0.57140000000000002</v>
      </c>
      <c r="P703" s="39">
        <v>2.94</v>
      </c>
      <c r="Q703" s="39">
        <v>2.46</v>
      </c>
      <c r="R703" s="7"/>
      <c r="S703" s="40">
        <v>8</v>
      </c>
      <c r="T703" s="39">
        <v>6.86</v>
      </c>
      <c r="U703" s="39">
        <v>7.33</v>
      </c>
      <c r="V703" s="39">
        <v>9.73</v>
      </c>
      <c r="W703" s="52">
        <v>0.90620000000000001</v>
      </c>
      <c r="X703" s="39">
        <v>4.7</v>
      </c>
      <c r="Y703" s="41">
        <v>-902329.43385452405</v>
      </c>
      <c r="Z703" s="40">
        <v>-19333</v>
      </c>
      <c r="AA703" s="39">
        <v>-9.2692080046460301</v>
      </c>
    </row>
    <row r="704" spans="1:27" x14ac:dyDescent="0.25">
      <c r="A704" s="7" t="str">
        <f t="shared" si="10"/>
        <v>3533Providence San Pedro Peninsula Hospital341277275700 SPH CATH LAB</v>
      </c>
      <c r="B704" s="7"/>
      <c r="C704" s="29" t="s">
        <v>924</v>
      </c>
      <c r="D704" s="29" t="s">
        <v>924</v>
      </c>
      <c r="E704" s="29" t="s">
        <v>924</v>
      </c>
      <c r="F704" s="29">
        <v>3533</v>
      </c>
      <c r="G704" s="4" t="s">
        <v>1037</v>
      </c>
      <c r="H704" s="5">
        <v>3412</v>
      </c>
      <c r="I704" s="4" t="s">
        <v>118</v>
      </c>
      <c r="J704" s="4" t="s">
        <v>57</v>
      </c>
      <c r="K704" s="4" t="s">
        <v>1039</v>
      </c>
      <c r="L704" s="4" t="s">
        <v>99</v>
      </c>
      <c r="M704" s="39">
        <v>8868.2000000000007</v>
      </c>
      <c r="N704" s="39">
        <v>14204.01</v>
      </c>
      <c r="O704" s="38">
        <v>0.42859999999999998</v>
      </c>
      <c r="P704" s="39">
        <v>0.28000000000000003</v>
      </c>
      <c r="Q704" s="39">
        <v>0.31</v>
      </c>
      <c r="R704" s="38">
        <v>0</v>
      </c>
      <c r="S704" s="40">
        <v>8</v>
      </c>
      <c r="T704" s="39">
        <v>0.42</v>
      </c>
      <c r="U704" s="39">
        <v>0.44</v>
      </c>
      <c r="V704" s="39">
        <v>0.52</v>
      </c>
      <c r="W704" s="52">
        <v>0.93049999999999999</v>
      </c>
      <c r="X704" s="39">
        <v>2.2999999999999998</v>
      </c>
      <c r="Y704" s="56">
        <f>Z704*78.16</f>
        <v>-155103.82032025792</v>
      </c>
      <c r="Z704" s="55">
        <f>SUM((Q704-U704)*N704)/W704</f>
        <v>-1984.439871037077</v>
      </c>
      <c r="AA704" s="53">
        <f>+Z704/2085.7</f>
        <v>-0.95145029056771213</v>
      </c>
    </row>
    <row r="705" spans="1:27" x14ac:dyDescent="0.25">
      <c r="A705" s="7" t="str">
        <f t="shared" si="10"/>
        <v>3533Providence San Pedro Peninsula Hospital486177277800 SPH SPEECH THERAPY (U)</v>
      </c>
      <c r="B705" s="7"/>
      <c r="C705" s="29" t="s">
        <v>924</v>
      </c>
      <c r="D705" s="29" t="s">
        <v>924</v>
      </c>
      <c r="E705" s="29" t="s">
        <v>924</v>
      </c>
      <c r="F705" s="29">
        <v>3533</v>
      </c>
      <c r="G705" s="4" t="s">
        <v>1037</v>
      </c>
      <c r="H705" s="5">
        <v>4861</v>
      </c>
      <c r="I705" s="4" t="s">
        <v>125</v>
      </c>
      <c r="J705" s="4" t="s">
        <v>41</v>
      </c>
      <c r="K705" s="4" t="s">
        <v>1041</v>
      </c>
      <c r="L705" s="4" t="s">
        <v>79</v>
      </c>
      <c r="M705" s="39">
        <v>274.48</v>
      </c>
      <c r="N705" s="39">
        <v>507.09</v>
      </c>
      <c r="O705" s="38">
        <v>0.74370000000000003</v>
      </c>
      <c r="P705" s="39">
        <v>29.49</v>
      </c>
      <c r="Q705" s="39">
        <v>16.22</v>
      </c>
      <c r="R705" s="7"/>
      <c r="S705" s="40">
        <v>9</v>
      </c>
      <c r="T705" s="39">
        <v>19.61</v>
      </c>
      <c r="U705" s="39">
        <v>19.73</v>
      </c>
      <c r="V705" s="39">
        <v>22.87</v>
      </c>
      <c r="W705" s="52">
        <v>0.96309999999999996</v>
      </c>
      <c r="X705" s="39">
        <v>4.1100000000000003</v>
      </c>
      <c r="Y705" s="41">
        <v>-89739.969142600501</v>
      </c>
      <c r="Z705" s="39">
        <v>-1816</v>
      </c>
      <c r="AA705" s="39">
        <v>-0.87068306749083701</v>
      </c>
    </row>
    <row r="706" spans="1:27" x14ac:dyDescent="0.25">
      <c r="A706" s="7" t="str">
        <f t="shared" si="10"/>
        <v>3533Providence San Pedro Peninsula Hospital482577277900, SPH OCCUPAT THERAPY</v>
      </c>
      <c r="B706" s="7"/>
      <c r="C706" s="29" t="s">
        <v>924</v>
      </c>
      <c r="D706" s="29" t="s">
        <v>924</v>
      </c>
      <c r="E706" s="29" t="s">
        <v>924</v>
      </c>
      <c r="F706" s="29">
        <v>3533</v>
      </c>
      <c r="G706" s="4" t="s">
        <v>1037</v>
      </c>
      <c r="H706" s="5">
        <v>4825</v>
      </c>
      <c r="I706" s="4" t="s">
        <v>128</v>
      </c>
      <c r="J706" s="4" t="s">
        <v>41</v>
      </c>
      <c r="K706" s="4" t="s">
        <v>1040</v>
      </c>
      <c r="L706" s="4" t="s">
        <v>79</v>
      </c>
      <c r="M706" s="39">
        <v>796.72</v>
      </c>
      <c r="N706" s="39">
        <v>1042.6099999999999</v>
      </c>
      <c r="O706" s="38">
        <v>0.625</v>
      </c>
      <c r="P706" s="39">
        <v>29.52</v>
      </c>
      <c r="Q706" s="39">
        <v>26.98</v>
      </c>
      <c r="R706" s="38">
        <v>0.85709999999999997</v>
      </c>
      <c r="S706" s="40">
        <v>9</v>
      </c>
      <c r="T706" s="39">
        <v>21.41</v>
      </c>
      <c r="U706" s="39">
        <v>21.9</v>
      </c>
      <c r="V706" s="39">
        <v>22.77</v>
      </c>
      <c r="W706" s="52">
        <v>0.88580000000000003</v>
      </c>
      <c r="X706" s="39">
        <v>15.27</v>
      </c>
      <c r="Y706" s="41">
        <v>242883.054786714</v>
      </c>
      <c r="Z706" s="39">
        <v>6072</v>
      </c>
      <c r="AA706" s="39">
        <v>2.9111379738771701</v>
      </c>
    </row>
    <row r="707" spans="1:27" x14ac:dyDescent="0.25">
      <c r="A707" s="7" t="str">
        <f t="shared" ref="A707:A770" si="11">F707&amp;G707&amp;H707&amp;K707</f>
        <v>3533Providence San Pedro Peninsula Hospital411077277200 SPH RESPIRATORY CARE</v>
      </c>
      <c r="B707" s="7"/>
      <c r="C707" s="29" t="s">
        <v>924</v>
      </c>
      <c r="D707" s="29" t="s">
        <v>924</v>
      </c>
      <c r="E707" s="29" t="s">
        <v>924</v>
      </c>
      <c r="F707" s="29">
        <v>3533</v>
      </c>
      <c r="G707" s="43" t="s">
        <v>1037</v>
      </c>
      <c r="H707" s="42">
        <v>4110</v>
      </c>
      <c r="I707" s="43" t="s">
        <v>145</v>
      </c>
      <c r="J707" s="43" t="s">
        <v>44</v>
      </c>
      <c r="K707" s="43" t="s">
        <v>1043</v>
      </c>
      <c r="L707" s="43" t="s">
        <v>99</v>
      </c>
      <c r="M707" s="46">
        <v>257393.4</v>
      </c>
      <c r="N707" s="46">
        <v>467581.16</v>
      </c>
      <c r="O707" s="45">
        <v>0.5</v>
      </c>
      <c r="P707" s="46">
        <v>0.31</v>
      </c>
      <c r="Q707" s="46">
        <v>0.18</v>
      </c>
      <c r="R707" s="145">
        <v>0.33329999999999999</v>
      </c>
      <c r="S707" s="47">
        <v>10</v>
      </c>
      <c r="T707" s="46">
        <v>0.16</v>
      </c>
      <c r="U707" s="46">
        <v>0.19</v>
      </c>
      <c r="V707" s="46">
        <v>0.25</v>
      </c>
      <c r="W707" s="138">
        <v>0.90449999999999997</v>
      </c>
      <c r="X707" s="46">
        <v>44.98</v>
      </c>
      <c r="Y707" s="48">
        <f>Z707*35.43</f>
        <v>-183155.33995356565</v>
      </c>
      <c r="Z707" s="46">
        <f>SUM((Q707-U707)*N707)/W707</f>
        <v>-5169.4987285793295</v>
      </c>
      <c r="AA707" s="46">
        <f>+Z707/2085.7</f>
        <v>-2.4785437640021719</v>
      </c>
    </row>
    <row r="708" spans="1:27" x14ac:dyDescent="0.25">
      <c r="A708" s="7" t="str">
        <f t="shared" si="11"/>
        <v>3533Providence San Pedro Peninsula Hospital441177283901 SPH PHARMACY WEST</v>
      </c>
      <c r="B708" s="7"/>
      <c r="C708" s="29" t="s">
        <v>924</v>
      </c>
      <c r="D708" s="29" t="s">
        <v>924</v>
      </c>
      <c r="E708" s="29" t="s">
        <v>924</v>
      </c>
      <c r="F708" s="29">
        <v>3533</v>
      </c>
      <c r="G708" s="4" t="s">
        <v>1037</v>
      </c>
      <c r="H708" s="5">
        <v>4411</v>
      </c>
      <c r="I708" s="4" t="s">
        <v>154</v>
      </c>
      <c r="J708" s="4" t="s">
        <v>37</v>
      </c>
      <c r="K708" s="4" t="s">
        <v>1042</v>
      </c>
      <c r="L708" s="4" t="s">
        <v>155</v>
      </c>
      <c r="M708" s="39">
        <v>173238</v>
      </c>
      <c r="N708" s="39">
        <v>92582</v>
      </c>
      <c r="O708" s="38">
        <v>0.55559999999999998</v>
      </c>
      <c r="P708" s="39">
        <v>0.08</v>
      </c>
      <c r="Q708" s="39">
        <v>0.15</v>
      </c>
      <c r="R708" s="38">
        <v>0.125</v>
      </c>
      <c r="S708" s="40">
        <v>10</v>
      </c>
      <c r="T708" s="39">
        <v>0.17</v>
      </c>
      <c r="U708" s="39">
        <v>0.19</v>
      </c>
      <c r="V708" s="39">
        <v>0.19</v>
      </c>
      <c r="W708" s="52">
        <v>0.91769999999999996</v>
      </c>
      <c r="X708" s="39">
        <v>7.44</v>
      </c>
      <c r="Y708" s="41">
        <v>-150556.52596258899</v>
      </c>
      <c r="Z708" s="39">
        <v>-3651</v>
      </c>
      <c r="AA708" s="39">
        <v>-1.7502555219010301</v>
      </c>
    </row>
    <row r="709" spans="1:27" x14ac:dyDescent="0.25">
      <c r="A709" s="7" t="str">
        <f t="shared" si="11"/>
        <v>3533Providence San Pedro Peninsula Hospital581077283600 SPH PAT. &amp; FAM. SERV</v>
      </c>
      <c r="B709" s="7"/>
      <c r="C709" s="29" t="s">
        <v>924</v>
      </c>
      <c r="D709" s="29" t="s">
        <v>924</v>
      </c>
      <c r="E709" s="29" t="s">
        <v>924</v>
      </c>
      <c r="F709" s="29">
        <v>3533</v>
      </c>
      <c r="G709" s="4" t="s">
        <v>1037</v>
      </c>
      <c r="H709" s="5">
        <v>5810</v>
      </c>
      <c r="I709" s="4" t="s">
        <v>133</v>
      </c>
      <c r="J709" s="4" t="s">
        <v>26</v>
      </c>
      <c r="K709" s="4" t="s">
        <v>1047</v>
      </c>
      <c r="L709" s="4" t="s">
        <v>134</v>
      </c>
      <c r="M709" s="39">
        <v>8063</v>
      </c>
      <c r="N709" s="39">
        <v>13490</v>
      </c>
      <c r="O709" s="38">
        <v>0.5</v>
      </c>
      <c r="P709" s="39">
        <v>0.96</v>
      </c>
      <c r="Q709" s="39">
        <v>0.67</v>
      </c>
      <c r="R709" s="38">
        <v>0.2</v>
      </c>
      <c r="S709" s="40">
        <v>11</v>
      </c>
      <c r="T709" s="39">
        <v>0.7</v>
      </c>
      <c r="U709" s="39">
        <v>0.77</v>
      </c>
      <c r="V709" s="39">
        <v>0.86</v>
      </c>
      <c r="W709" s="52">
        <v>0.94399999999999995</v>
      </c>
      <c r="X709" s="39">
        <v>4.59</v>
      </c>
      <c r="Y709" s="41">
        <v>-53772.558835904398</v>
      </c>
      <c r="Z709" s="40">
        <v>-1430</v>
      </c>
      <c r="AA709" s="39">
        <v>-0.68568478818232104</v>
      </c>
    </row>
    <row r="710" spans="1:27" x14ac:dyDescent="0.25">
      <c r="A710" s="7" t="str">
        <f t="shared" si="11"/>
        <v>3533Providence San Pedro Peninsula Hospital481577277700 PHYSICAL THERAPY</v>
      </c>
      <c r="B710" s="7"/>
      <c r="C710" s="29" t="s">
        <v>924</v>
      </c>
      <c r="D710" s="29" t="s">
        <v>924</v>
      </c>
      <c r="E710" s="29" t="s">
        <v>924</v>
      </c>
      <c r="F710" s="29">
        <v>3533</v>
      </c>
      <c r="G710" s="4" t="s">
        <v>1037</v>
      </c>
      <c r="H710" s="5">
        <v>4815</v>
      </c>
      <c r="I710" s="4" t="s">
        <v>280</v>
      </c>
      <c r="J710" s="4" t="s">
        <v>41</v>
      </c>
      <c r="K710" s="4" t="s">
        <v>1045</v>
      </c>
      <c r="L710" s="4" t="s">
        <v>79</v>
      </c>
      <c r="M710" s="39">
        <v>1117.45</v>
      </c>
      <c r="N710" s="39">
        <v>1359.61</v>
      </c>
      <c r="O710" s="38">
        <v>0.7</v>
      </c>
      <c r="P710" s="39">
        <v>29.21</v>
      </c>
      <c r="Q710" s="39">
        <v>25.67</v>
      </c>
      <c r="R710" s="38">
        <v>0.44440000000000002</v>
      </c>
      <c r="S710" s="40">
        <v>11</v>
      </c>
      <c r="T710" s="39">
        <v>25.12</v>
      </c>
      <c r="U710" s="39">
        <v>25.37</v>
      </c>
      <c r="V710" s="39">
        <v>26.17</v>
      </c>
      <c r="W710" s="52">
        <v>0.88749999999999996</v>
      </c>
      <c r="X710" s="39">
        <v>18.899999999999999</v>
      </c>
      <c r="Y710" s="41">
        <v>20675.847977036901</v>
      </c>
      <c r="Z710" s="39">
        <v>554</v>
      </c>
      <c r="AA710" s="39">
        <v>0.26563428902512998</v>
      </c>
    </row>
    <row r="711" spans="1:27" x14ac:dyDescent="0.25">
      <c r="A711" s="7" t="str">
        <f t="shared" si="11"/>
        <v>3533Providence San Pedro Peninsula Hospital111177261713, SPH 3W TELE</v>
      </c>
      <c r="B711" s="7"/>
      <c r="C711" s="29" t="s">
        <v>924</v>
      </c>
      <c r="D711" s="29" t="s">
        <v>924</v>
      </c>
      <c r="E711" s="29" t="s">
        <v>924</v>
      </c>
      <c r="F711" s="29">
        <v>3533</v>
      </c>
      <c r="G711" s="4" t="s">
        <v>1037</v>
      </c>
      <c r="H711" s="5">
        <v>1111</v>
      </c>
      <c r="I711" s="4" t="s">
        <v>146</v>
      </c>
      <c r="J711" s="4" t="s">
        <v>23</v>
      </c>
      <c r="K711" s="4" t="s">
        <v>1044</v>
      </c>
      <c r="L711" s="4" t="s">
        <v>74</v>
      </c>
      <c r="M711" s="39">
        <v>7079</v>
      </c>
      <c r="N711" s="39">
        <v>7999</v>
      </c>
      <c r="O711" s="38">
        <v>0.5</v>
      </c>
      <c r="P711" s="39">
        <v>13.08</v>
      </c>
      <c r="Q711" s="39">
        <v>12.88</v>
      </c>
      <c r="R711" s="38">
        <v>0.55559999999999998</v>
      </c>
      <c r="S711" s="40">
        <v>11</v>
      </c>
      <c r="T711" s="39">
        <v>12.32</v>
      </c>
      <c r="U711" s="39">
        <v>12.74</v>
      </c>
      <c r="V711" s="39">
        <v>12.83</v>
      </c>
      <c r="W711" s="52">
        <v>0.93430000000000002</v>
      </c>
      <c r="X711" s="39">
        <v>53.02</v>
      </c>
      <c r="Y711" s="41">
        <v>61631.296901363399</v>
      </c>
      <c r="Z711" s="40">
        <v>1510</v>
      </c>
      <c r="AA711" s="39">
        <v>0.72418509806724496</v>
      </c>
    </row>
    <row r="712" spans="1:27" x14ac:dyDescent="0.25">
      <c r="A712" s="7" t="str">
        <f t="shared" si="11"/>
        <v>3533Providence San Pedro Peninsula Hospital183001830, Centralized Telemetry Normalization (U,N)</v>
      </c>
      <c r="B712" s="7"/>
      <c r="C712" s="29" t="s">
        <v>924</v>
      </c>
      <c r="D712" s="29" t="s">
        <v>924</v>
      </c>
      <c r="E712" s="29" t="s">
        <v>924</v>
      </c>
      <c r="F712" s="29">
        <v>3533</v>
      </c>
      <c r="G712" s="4" t="s">
        <v>1037</v>
      </c>
      <c r="H712" s="5">
        <v>1830</v>
      </c>
      <c r="I712" s="4" t="s">
        <v>22</v>
      </c>
      <c r="J712" s="4" t="s">
        <v>23</v>
      </c>
      <c r="K712" s="4" t="s">
        <v>1046</v>
      </c>
      <c r="L712" s="4" t="s">
        <v>24</v>
      </c>
      <c r="M712" s="39">
        <v>6786</v>
      </c>
      <c r="N712" s="39">
        <v>7600</v>
      </c>
      <c r="O712" s="38">
        <v>0.58750000000000002</v>
      </c>
      <c r="P712" s="39">
        <v>1.01</v>
      </c>
      <c r="Q712" s="39">
        <v>1.08</v>
      </c>
      <c r="R712" s="38">
        <v>0.50180000000000002</v>
      </c>
      <c r="S712" s="40">
        <v>11</v>
      </c>
      <c r="T712" s="39">
        <v>0.77</v>
      </c>
      <c r="U712" s="39">
        <v>0.84</v>
      </c>
      <c r="V712" s="39">
        <v>1.07</v>
      </c>
      <c r="W712" s="52">
        <v>0.90749999999999997</v>
      </c>
      <c r="X712" s="39">
        <v>4.3600000000000003</v>
      </c>
      <c r="Y712" s="41">
        <v>45955.280693276203</v>
      </c>
      <c r="Z712" s="39">
        <v>2059</v>
      </c>
      <c r="AA712" s="39">
        <v>0.98717037742644997</v>
      </c>
    </row>
    <row r="713" spans="1:27" x14ac:dyDescent="0.25">
      <c r="A713" s="7" t="str">
        <f t="shared" si="11"/>
        <v>3533Providence San Pedro Peninsula Hospital141077264400 REHABILITATION</v>
      </c>
      <c r="B713" s="7"/>
      <c r="C713" s="29" t="s">
        <v>924</v>
      </c>
      <c r="D713" s="29" t="s">
        <v>924</v>
      </c>
      <c r="E713" s="29" t="s">
        <v>924</v>
      </c>
      <c r="F713" s="29">
        <v>3533</v>
      </c>
      <c r="G713" s="4" t="s">
        <v>1037</v>
      </c>
      <c r="H713" s="5">
        <v>1410</v>
      </c>
      <c r="I713" s="4" t="s">
        <v>113</v>
      </c>
      <c r="J713" s="4" t="s">
        <v>23</v>
      </c>
      <c r="K713" s="4" t="s">
        <v>1048</v>
      </c>
      <c r="L713" s="4" t="s">
        <v>74</v>
      </c>
      <c r="M713" s="39">
        <v>4105</v>
      </c>
      <c r="N713" s="39">
        <v>4946</v>
      </c>
      <c r="O713" s="38">
        <v>0.58330000000000004</v>
      </c>
      <c r="P713" s="39">
        <v>10.47</v>
      </c>
      <c r="Q713" s="39">
        <v>10.58</v>
      </c>
      <c r="R713" s="38">
        <v>0.3</v>
      </c>
      <c r="S713" s="40">
        <v>13</v>
      </c>
      <c r="T713" s="39">
        <v>10.51</v>
      </c>
      <c r="U713" s="39">
        <v>10.59</v>
      </c>
      <c r="V713" s="39">
        <v>10.79</v>
      </c>
      <c r="W713" s="52">
        <v>0.91610000000000003</v>
      </c>
      <c r="X713" s="39">
        <v>27.47</v>
      </c>
      <c r="Y713" s="41">
        <v>5074.2170657942697</v>
      </c>
      <c r="Z713" s="40">
        <v>119</v>
      </c>
      <c r="AA713" s="39">
        <v>5.7076895514065001E-2</v>
      </c>
    </row>
    <row r="714" spans="1:27" x14ac:dyDescent="0.25">
      <c r="A714" s="7" t="str">
        <f t="shared" si="11"/>
        <v>3533Providence San Pedro Peninsula Hospital303077274300 SPH AMBULATORY SURG</v>
      </c>
      <c r="B714" s="7"/>
      <c r="C714" s="29" t="s">
        <v>924</v>
      </c>
      <c r="D714" s="29" t="s">
        <v>924</v>
      </c>
      <c r="E714" s="29" t="s">
        <v>924</v>
      </c>
      <c r="F714" s="29">
        <v>3533</v>
      </c>
      <c r="G714" s="43" t="s">
        <v>1037</v>
      </c>
      <c r="H714" s="42">
        <v>3030</v>
      </c>
      <c r="I714" s="43" t="s">
        <v>80</v>
      </c>
      <c r="J714" s="43" t="s">
        <v>47</v>
      </c>
      <c r="K714" s="43" t="s">
        <v>1049</v>
      </c>
      <c r="L714" s="43" t="s">
        <v>81</v>
      </c>
      <c r="M714" s="46">
        <v>2977.5</v>
      </c>
      <c r="N714" s="46">
        <v>3548.62</v>
      </c>
      <c r="O714" s="45"/>
      <c r="P714" s="46">
        <v>5.54</v>
      </c>
      <c r="Q714" s="46">
        <f>16144.85/N714</f>
        <v>4.5496136526311641</v>
      </c>
      <c r="R714" s="45">
        <v>0.83330000000000004</v>
      </c>
      <c r="S714" s="47">
        <v>13</v>
      </c>
      <c r="T714" s="46">
        <v>3.84</v>
      </c>
      <c r="U714" s="46">
        <v>3.91</v>
      </c>
      <c r="V714" s="46">
        <v>4.24</v>
      </c>
      <c r="W714" s="138">
        <v>0.84740000000000004</v>
      </c>
      <c r="X714" s="46">
        <v>9.16</v>
      </c>
      <c r="Y714" s="48">
        <f>Z714*49.39</f>
        <v>132290.23490913387</v>
      </c>
      <c r="Z714" s="47">
        <f>SUM((Q714-U714)*N714)/W714</f>
        <v>2678.4821807882945</v>
      </c>
      <c r="AA714" s="46">
        <f>+Z714/2085.7</f>
        <v>1.2842125812860405</v>
      </c>
    </row>
    <row r="715" spans="1:27" x14ac:dyDescent="0.25">
      <c r="A715" s="7" t="str">
        <f t="shared" si="11"/>
        <v>3533Providence San Pedro Peninsula Hospital521077284400 83500 SPH EVS LAUNDRY LINEN</v>
      </c>
      <c r="B715" s="7"/>
      <c r="C715" s="29" t="s">
        <v>924</v>
      </c>
      <c r="D715" s="29" t="s">
        <v>924</v>
      </c>
      <c r="E715" s="29" t="s">
        <v>924</v>
      </c>
      <c r="F715" s="29">
        <v>3533</v>
      </c>
      <c r="G715" s="4" t="s">
        <v>1037</v>
      </c>
      <c r="H715" s="5">
        <v>5210</v>
      </c>
      <c r="I715" s="4" t="s">
        <v>293</v>
      </c>
      <c r="J715" s="4" t="s">
        <v>50</v>
      </c>
      <c r="K715" s="4" t="s">
        <v>1050</v>
      </c>
      <c r="L715" s="4" t="s">
        <v>51</v>
      </c>
      <c r="M715" s="39">
        <v>452</v>
      </c>
      <c r="N715" s="39">
        <v>452</v>
      </c>
      <c r="O715" s="38">
        <v>0.53849999999999998</v>
      </c>
      <c r="P715" s="39">
        <v>145.75</v>
      </c>
      <c r="Q715" s="39">
        <v>151.01</v>
      </c>
      <c r="R715" s="38">
        <v>0.41670000000000001</v>
      </c>
      <c r="S715" s="40">
        <v>14</v>
      </c>
      <c r="T715" s="39">
        <v>143.53</v>
      </c>
      <c r="U715" s="39">
        <v>147.66</v>
      </c>
      <c r="V715" s="39">
        <v>167.52</v>
      </c>
      <c r="W715" s="52">
        <v>0.9133</v>
      </c>
      <c r="X715" s="39">
        <v>35.93</v>
      </c>
      <c r="Y715" s="41">
        <v>26888.998082668499</v>
      </c>
      <c r="Z715" s="40">
        <v>1861</v>
      </c>
      <c r="AA715" s="39">
        <v>0.89226689633975598</v>
      </c>
    </row>
    <row r="716" spans="1:27" x14ac:dyDescent="0.25">
      <c r="A716" s="7" t="str">
        <f t="shared" si="11"/>
        <v>3533Providence San Pedro Peninsula Hospital471077263401,78400 SPH PSYCH SERVICES</v>
      </c>
      <c r="B716" s="7"/>
      <c r="C716" s="29" t="s">
        <v>924</v>
      </c>
      <c r="D716" s="29" t="s">
        <v>924</v>
      </c>
      <c r="E716" s="29" t="s">
        <v>924</v>
      </c>
      <c r="F716" s="29">
        <v>3533</v>
      </c>
      <c r="G716" s="4" t="s">
        <v>1037</v>
      </c>
      <c r="H716" s="61">
        <v>4710</v>
      </c>
      <c r="I716" s="60" t="s">
        <v>267</v>
      </c>
      <c r="J716" s="60" t="s">
        <v>268</v>
      </c>
      <c r="K716" s="60" t="s">
        <v>1052</v>
      </c>
      <c r="L716" s="60" t="s">
        <v>269</v>
      </c>
      <c r="M716" s="62">
        <v>7277</v>
      </c>
      <c r="N716" s="62">
        <v>6029</v>
      </c>
      <c r="O716" s="63">
        <v>0.6</v>
      </c>
      <c r="P716" s="62">
        <v>1.28</v>
      </c>
      <c r="Q716" s="62">
        <v>1.97</v>
      </c>
      <c r="R716" s="63">
        <v>0.5</v>
      </c>
      <c r="S716" s="64">
        <v>16</v>
      </c>
      <c r="T716" s="62">
        <v>1.48</v>
      </c>
      <c r="U716" s="62">
        <v>1.59</v>
      </c>
      <c r="V716" s="62">
        <v>1.97</v>
      </c>
      <c r="W716" s="65">
        <v>0.92100000000000004</v>
      </c>
      <c r="X716" s="62">
        <v>6.2</v>
      </c>
      <c r="Y716" s="57">
        <f>Z716*48.3</f>
        <v>120147.9543973941</v>
      </c>
      <c r="Z716" s="62">
        <f>SUM((Q716-U716)*N716)/W716</f>
        <v>2487.5352877307268</v>
      </c>
      <c r="AA716" s="62">
        <f>+Z716/2085.7</f>
        <v>1.1926620739946909</v>
      </c>
    </row>
    <row r="717" spans="1:27" x14ac:dyDescent="0.25">
      <c r="A717" s="7" t="str">
        <f t="shared" si="11"/>
        <v>3533Providence San Pedro Peninsula Hospital139077263400 PSYCHIATRIC</v>
      </c>
      <c r="B717" s="7"/>
      <c r="C717" s="29" t="s">
        <v>924</v>
      </c>
      <c r="D717" s="29" t="s">
        <v>924</v>
      </c>
      <c r="E717" s="29" t="s">
        <v>924</v>
      </c>
      <c r="F717" s="29">
        <v>3533</v>
      </c>
      <c r="G717" s="4" t="s">
        <v>1037</v>
      </c>
      <c r="H717" s="5">
        <v>1390</v>
      </c>
      <c r="I717" s="4" t="s">
        <v>174</v>
      </c>
      <c r="J717" s="4" t="s">
        <v>23</v>
      </c>
      <c r="K717" s="4" t="s">
        <v>1051</v>
      </c>
      <c r="L717" s="4" t="s">
        <v>114</v>
      </c>
      <c r="M717" s="39">
        <v>6076</v>
      </c>
      <c r="N717" s="39">
        <v>7320</v>
      </c>
      <c r="O717" s="38">
        <v>0.6</v>
      </c>
      <c r="P717" s="39">
        <v>10.32</v>
      </c>
      <c r="Q717" s="39">
        <v>9.91</v>
      </c>
      <c r="R717" s="38">
        <v>0.4</v>
      </c>
      <c r="S717" s="40">
        <v>16</v>
      </c>
      <c r="T717" s="39">
        <v>8.75</v>
      </c>
      <c r="U717" s="39">
        <v>9.39</v>
      </c>
      <c r="V717" s="39">
        <v>9.98</v>
      </c>
      <c r="W717" s="52">
        <v>0.91539999999999999</v>
      </c>
      <c r="X717" s="39">
        <v>38.08</v>
      </c>
      <c r="Y717" s="41">
        <v>174384.68602001801</v>
      </c>
      <c r="Z717" s="40">
        <v>4336</v>
      </c>
      <c r="AA717" s="39">
        <v>2.0790530730871701</v>
      </c>
    </row>
    <row r="718" spans="1:27" x14ac:dyDescent="0.25">
      <c r="A718" s="7" t="str">
        <f t="shared" si="11"/>
        <v>3533Providence San Pedro Peninsula Hospital651077287100 SPH MEDICAL STAFF</v>
      </c>
      <c r="B718" s="7"/>
      <c r="C718" s="29" t="s">
        <v>924</v>
      </c>
      <c r="D718" s="29" t="s">
        <v>924</v>
      </c>
      <c r="E718" s="29" t="s">
        <v>924</v>
      </c>
      <c r="F718" s="29">
        <v>3533</v>
      </c>
      <c r="G718" s="4" t="s">
        <v>1037</v>
      </c>
      <c r="H718" s="5">
        <v>6510</v>
      </c>
      <c r="I718" s="4" t="s">
        <v>19</v>
      </c>
      <c r="J718" s="4" t="s">
        <v>19</v>
      </c>
      <c r="K718" s="4" t="s">
        <v>1053</v>
      </c>
      <c r="L718" s="4" t="s">
        <v>20</v>
      </c>
      <c r="M718" s="39">
        <v>130</v>
      </c>
      <c r="N718" s="39">
        <v>197</v>
      </c>
      <c r="O718" s="38">
        <v>0.5625</v>
      </c>
      <c r="P718" s="39">
        <v>54.75</v>
      </c>
      <c r="Q718" s="39">
        <v>30.35</v>
      </c>
      <c r="R718" s="38">
        <v>0.4</v>
      </c>
      <c r="S718" s="40">
        <v>17</v>
      </c>
      <c r="T718" s="39">
        <v>26.33</v>
      </c>
      <c r="U718" s="39">
        <v>29.18</v>
      </c>
      <c r="V718" s="39">
        <v>34.39</v>
      </c>
      <c r="W718" s="52">
        <v>0.88700000000000001</v>
      </c>
      <c r="X718" s="39">
        <v>3.24</v>
      </c>
      <c r="Y718" s="41">
        <v>10732.0308413807</v>
      </c>
      <c r="Z718" s="40">
        <v>277</v>
      </c>
      <c r="AA718" s="39">
        <v>0.132751029869527</v>
      </c>
    </row>
    <row r="719" spans="1:27" x14ac:dyDescent="0.25">
      <c r="A719" s="7" t="str">
        <f t="shared" si="11"/>
        <v>3533Providence San Pedro Peninsula Hospital583077287500 SPH UTILZ CARE MGT</v>
      </c>
      <c r="B719" s="7"/>
      <c r="C719" s="29" t="s">
        <v>924</v>
      </c>
      <c r="D719" s="29" t="s">
        <v>924</v>
      </c>
      <c r="E719" s="29" t="s">
        <v>924</v>
      </c>
      <c r="F719" s="29">
        <v>3533</v>
      </c>
      <c r="G719" s="4" t="s">
        <v>1037</v>
      </c>
      <c r="H719" s="5">
        <v>5830</v>
      </c>
      <c r="I719" s="4" t="s">
        <v>32</v>
      </c>
      <c r="J719" s="4" t="s">
        <v>26</v>
      </c>
      <c r="K719" s="4" t="s">
        <v>1059</v>
      </c>
      <c r="L719" s="4" t="s">
        <v>33</v>
      </c>
      <c r="M719" s="39">
        <v>21306</v>
      </c>
      <c r="N719" s="39">
        <v>29009</v>
      </c>
      <c r="O719" s="38">
        <v>0.47060000000000002</v>
      </c>
      <c r="P719" s="39">
        <v>0.49</v>
      </c>
      <c r="Q719" s="39">
        <v>0.51</v>
      </c>
      <c r="R719" s="38">
        <v>0</v>
      </c>
      <c r="S719" s="40">
        <v>18</v>
      </c>
      <c r="T719" s="39">
        <v>0.72</v>
      </c>
      <c r="U719" s="39">
        <v>0.91</v>
      </c>
      <c r="V719" s="39">
        <v>1.1200000000000001</v>
      </c>
      <c r="W719" s="52">
        <v>0.90810000000000002</v>
      </c>
      <c r="X719" s="39">
        <v>7.79</v>
      </c>
      <c r="Y719" s="41">
        <v>-633363.15011241997</v>
      </c>
      <c r="Z719" s="40">
        <v>-12822</v>
      </c>
      <c r="AA719" s="39">
        <v>-6.1476204475785599</v>
      </c>
    </row>
    <row r="720" spans="1:27" x14ac:dyDescent="0.25">
      <c r="A720" s="7" t="str">
        <f t="shared" si="11"/>
        <v>3533Providence San Pedro Peninsula Hospital504077284601 SPH BIO MED ENGINEER</v>
      </c>
      <c r="B720" s="7"/>
      <c r="C720" s="29" t="s">
        <v>924</v>
      </c>
      <c r="D720" s="29" t="s">
        <v>924</v>
      </c>
      <c r="E720" s="29" t="s">
        <v>924</v>
      </c>
      <c r="F720" s="29">
        <v>3533</v>
      </c>
      <c r="G720" s="43" t="s">
        <v>1037</v>
      </c>
      <c r="H720" s="42">
        <v>5040</v>
      </c>
      <c r="I720" s="43" t="s">
        <v>142</v>
      </c>
      <c r="J720" s="43" t="s">
        <v>62</v>
      </c>
      <c r="K720" s="43" t="s">
        <v>1057</v>
      </c>
      <c r="L720" s="43" t="s">
        <v>143</v>
      </c>
      <c r="M720" s="46">
        <v>19.93</v>
      </c>
      <c r="N720" s="46">
        <f>2105/100</f>
        <v>21.05</v>
      </c>
      <c r="O720" s="45" t="s">
        <v>1058</v>
      </c>
      <c r="P720" s="46">
        <v>4.82</v>
      </c>
      <c r="Q720" s="46">
        <f>2847.61/N720</f>
        <v>135.27838479809975</v>
      </c>
      <c r="R720" s="45">
        <v>0.23530000000000001</v>
      </c>
      <c r="S720" s="47">
        <v>18</v>
      </c>
      <c r="T720" s="46">
        <v>161.75</v>
      </c>
      <c r="U720" s="46">
        <v>176.94</v>
      </c>
      <c r="V720" s="46">
        <v>194.83</v>
      </c>
      <c r="W720" s="138">
        <v>0.91590000000000005</v>
      </c>
      <c r="X720" s="46">
        <v>1.49</v>
      </c>
      <c r="Y720" s="48">
        <f>Z720*38.63</f>
        <v>-36988.340987007323</v>
      </c>
      <c r="Z720" s="46">
        <f>SUM((Q720-U720)*N720)/W720</f>
        <v>-957.50300251119131</v>
      </c>
      <c r="AA720" s="46">
        <f>+Z720/2085.7</f>
        <v>-0.45907992640897127</v>
      </c>
    </row>
    <row r="721" spans="1:27" x14ac:dyDescent="0.25">
      <c r="A721" s="7" t="str">
        <f t="shared" si="11"/>
        <v>3533Providence San Pedro Peninsula Hospital582577287520, SPH PI AND OUTCOMES</v>
      </c>
      <c r="B721" s="7"/>
      <c r="C721" s="29" t="s">
        <v>924</v>
      </c>
      <c r="D721" s="29" t="s">
        <v>924</v>
      </c>
      <c r="E721" s="29" t="s">
        <v>924</v>
      </c>
      <c r="F721" s="29">
        <v>3533</v>
      </c>
      <c r="G721" s="4" t="s">
        <v>1037</v>
      </c>
      <c r="H721" s="5">
        <v>5825</v>
      </c>
      <c r="I721" s="4" t="s">
        <v>25</v>
      </c>
      <c r="J721" s="4" t="s">
        <v>26</v>
      </c>
      <c r="K721" s="4" t="s">
        <v>1056</v>
      </c>
      <c r="L721" s="4" t="s">
        <v>27</v>
      </c>
      <c r="M721" s="39">
        <v>65996</v>
      </c>
      <c r="N721" s="39">
        <v>66779</v>
      </c>
      <c r="O721" s="38">
        <v>0.58819999999999995</v>
      </c>
      <c r="P721" s="39">
        <v>0.12</v>
      </c>
      <c r="Q721" s="39">
        <v>0.1</v>
      </c>
      <c r="R721" s="38">
        <v>0.47060000000000002</v>
      </c>
      <c r="S721" s="40">
        <v>18</v>
      </c>
      <c r="T721" s="39">
        <v>0.08</v>
      </c>
      <c r="U721" s="39">
        <v>0.09</v>
      </c>
      <c r="V721" s="39">
        <v>0.1</v>
      </c>
      <c r="W721" s="52">
        <v>0.90680000000000005</v>
      </c>
      <c r="X721" s="39">
        <v>3.54</v>
      </c>
      <c r="Y721" s="41">
        <v>41239.630463477697</v>
      </c>
      <c r="Z721" s="40">
        <v>756</v>
      </c>
      <c r="AA721" s="39">
        <v>0.36225482368130402</v>
      </c>
    </row>
    <row r="722" spans="1:27" x14ac:dyDescent="0.25">
      <c r="A722" s="7" t="str">
        <f t="shared" si="11"/>
        <v>3533Providence San Pedro Peninsula Hospital101077260100, SPH ICU IMCU</v>
      </c>
      <c r="B722" s="7"/>
      <c r="C722" s="29" t="s">
        <v>924</v>
      </c>
      <c r="D722" s="29" t="s">
        <v>924</v>
      </c>
      <c r="E722" s="29" t="s">
        <v>924</v>
      </c>
      <c r="F722" s="29">
        <v>3533</v>
      </c>
      <c r="G722" s="4" t="s">
        <v>1037</v>
      </c>
      <c r="H722" s="5">
        <v>1010</v>
      </c>
      <c r="I722" s="4" t="s">
        <v>287</v>
      </c>
      <c r="J722" s="4" t="s">
        <v>23</v>
      </c>
      <c r="K722" s="4" t="s">
        <v>1055</v>
      </c>
      <c r="L722" s="4" t="s">
        <v>74</v>
      </c>
      <c r="M722" s="39">
        <v>2316</v>
      </c>
      <c r="N722" s="39">
        <v>2602</v>
      </c>
      <c r="O722" s="38">
        <v>0.52939999999999998</v>
      </c>
      <c r="P722" s="39">
        <v>19.84</v>
      </c>
      <c r="Q722" s="39">
        <v>19.5</v>
      </c>
      <c r="R722" s="38">
        <v>0.33329999999999999</v>
      </c>
      <c r="S722" s="40">
        <v>18</v>
      </c>
      <c r="T722" s="39">
        <v>18.82</v>
      </c>
      <c r="U722" s="39">
        <v>19.559999999999999</v>
      </c>
      <c r="V722" s="39">
        <v>19.940000000000001</v>
      </c>
      <c r="W722" s="52">
        <v>0.91159999999999997</v>
      </c>
      <c r="X722" s="39">
        <v>26.75</v>
      </c>
      <c r="Y722" s="41">
        <v>-1888.64089932149</v>
      </c>
      <c r="Z722" s="40">
        <v>-38</v>
      </c>
      <c r="AA722" s="39">
        <v>-1.8250328618354E-2</v>
      </c>
    </row>
    <row r="723" spans="1:27" x14ac:dyDescent="0.25">
      <c r="A723" s="7" t="str">
        <f t="shared" si="11"/>
        <v>3533Providence San Pedro Peninsula Hospital121077261721, SPH 2W MED SURG</v>
      </c>
      <c r="B723" s="7"/>
      <c r="C723" s="29" t="s">
        <v>924</v>
      </c>
      <c r="D723" s="29" t="s">
        <v>924</v>
      </c>
      <c r="E723" s="29" t="s">
        <v>924</v>
      </c>
      <c r="F723" s="29">
        <v>3533</v>
      </c>
      <c r="G723" s="4" t="s">
        <v>1037</v>
      </c>
      <c r="H723" s="5">
        <v>1210</v>
      </c>
      <c r="I723" s="4" t="s">
        <v>147</v>
      </c>
      <c r="J723" s="4" t="s">
        <v>23</v>
      </c>
      <c r="K723" s="4" t="s">
        <v>1054</v>
      </c>
      <c r="L723" s="4" t="s">
        <v>74</v>
      </c>
      <c r="M723" s="39">
        <v>6149</v>
      </c>
      <c r="N723" s="39">
        <v>6596</v>
      </c>
      <c r="O723" s="38">
        <v>0.47060000000000002</v>
      </c>
      <c r="P723" s="39">
        <v>10.4</v>
      </c>
      <c r="Q723" s="39">
        <v>11.34</v>
      </c>
      <c r="R723" s="38">
        <v>0.75</v>
      </c>
      <c r="S723" s="40">
        <v>18</v>
      </c>
      <c r="T723" s="39">
        <v>9.59</v>
      </c>
      <c r="U723" s="39">
        <v>10.41</v>
      </c>
      <c r="V723" s="39">
        <v>10.86</v>
      </c>
      <c r="W723" s="52">
        <v>0.92820000000000003</v>
      </c>
      <c r="X723" s="39">
        <v>38.74</v>
      </c>
      <c r="Y723" s="41">
        <v>271768.26265878201</v>
      </c>
      <c r="Z723" s="40">
        <v>6824</v>
      </c>
      <c r="AA723" s="39">
        <v>3.2718961615648499</v>
      </c>
    </row>
    <row r="724" spans="1:27" x14ac:dyDescent="0.25">
      <c r="A724" s="7" t="str">
        <f t="shared" si="11"/>
        <v>3533Providence San Pedro Peninsula Hospital347077276304, SPH RADIOLOGY 1360</v>
      </c>
      <c r="B724" s="7"/>
      <c r="C724" s="29" t="s">
        <v>924</v>
      </c>
      <c r="D724" s="29" t="s">
        <v>924</v>
      </c>
      <c r="E724" s="29" t="s">
        <v>924</v>
      </c>
      <c r="F724" s="29">
        <v>3533</v>
      </c>
      <c r="G724" s="4" t="s">
        <v>1037</v>
      </c>
      <c r="H724" s="5">
        <v>3470</v>
      </c>
      <c r="I724" s="4" t="s">
        <v>195</v>
      </c>
      <c r="J724" s="4" t="s">
        <v>57</v>
      </c>
      <c r="K724" s="4" t="s">
        <v>1060</v>
      </c>
      <c r="L724" s="4" t="s">
        <v>99</v>
      </c>
      <c r="M724" s="39">
        <v>4516.42</v>
      </c>
      <c r="N724" s="39">
        <v>10420.49</v>
      </c>
      <c r="O724" s="38">
        <v>0.66669999999999996</v>
      </c>
      <c r="P724" s="39">
        <v>1.53</v>
      </c>
      <c r="Q724" s="39">
        <v>0.53</v>
      </c>
      <c r="R724" s="38">
        <v>0.38890000000000002</v>
      </c>
      <c r="S724" s="40">
        <v>19</v>
      </c>
      <c r="T724" s="39">
        <v>0.41</v>
      </c>
      <c r="U724" s="39">
        <v>0.53</v>
      </c>
      <c r="V724" s="39">
        <v>0.62</v>
      </c>
      <c r="W724" s="52">
        <v>0.92059999999999997</v>
      </c>
      <c r="X724" s="39">
        <v>2.89</v>
      </c>
      <c r="Y724" s="41">
        <v>1042.3675988559601</v>
      </c>
      <c r="Z724" s="40">
        <v>28</v>
      </c>
      <c r="AA724" s="39">
        <v>1.3653521344267E-2</v>
      </c>
    </row>
    <row r="725" spans="1:27" x14ac:dyDescent="0.25">
      <c r="A725" s="7" t="str">
        <f t="shared" si="11"/>
        <v>3533Providence San Pedro Peninsula Hospital511177278701 83401 SPH NUTRITION, CLIN DIETETICS</v>
      </c>
      <c r="B725" s="7"/>
      <c r="C725" s="29" t="s">
        <v>924</v>
      </c>
      <c r="D725" s="29" t="s">
        <v>924</v>
      </c>
      <c r="E725" s="29" t="s">
        <v>924</v>
      </c>
      <c r="F725" s="29">
        <v>3533</v>
      </c>
      <c r="G725" s="4" t="s">
        <v>1037</v>
      </c>
      <c r="H725" s="5">
        <v>5111</v>
      </c>
      <c r="I725" s="4" t="s">
        <v>64</v>
      </c>
      <c r="J725" s="4" t="s">
        <v>65</v>
      </c>
      <c r="K725" s="4" t="s">
        <v>1061</v>
      </c>
      <c r="L725" s="4" t="s">
        <v>67</v>
      </c>
      <c r="M725" s="39">
        <v>16314</v>
      </c>
      <c r="N725" s="39">
        <v>22526</v>
      </c>
      <c r="O725" s="38">
        <v>0.4</v>
      </c>
      <c r="P725" s="39">
        <v>0.52</v>
      </c>
      <c r="Q725" s="39">
        <v>0.39</v>
      </c>
      <c r="R725" s="38">
        <v>0.26319999999999999</v>
      </c>
      <c r="S725" s="40">
        <v>21</v>
      </c>
      <c r="T725" s="39">
        <v>0.38</v>
      </c>
      <c r="U725" s="39">
        <v>0.4</v>
      </c>
      <c r="V725" s="39">
        <v>0.42</v>
      </c>
      <c r="W725" s="52">
        <v>0.91579999999999995</v>
      </c>
      <c r="X725" s="39">
        <v>4.6100000000000003</v>
      </c>
      <c r="Y725" s="41">
        <v>-7776.3856644790403</v>
      </c>
      <c r="Z725" s="40">
        <v>-224</v>
      </c>
      <c r="AA725" s="39">
        <v>-0.10727930130991099</v>
      </c>
    </row>
    <row r="726" spans="1:27" x14ac:dyDescent="0.25">
      <c r="A726" s="7" t="str">
        <f t="shared" si="11"/>
        <v>3533Providence San Pedro Peninsula Hospital302077274270 SPH RECOVERY ROOM</v>
      </c>
      <c r="B726" s="7"/>
      <c r="C726" s="29" t="s">
        <v>924</v>
      </c>
      <c r="D726" s="29" t="s">
        <v>924</v>
      </c>
      <c r="E726" s="29" t="s">
        <v>924</v>
      </c>
      <c r="F726" s="29">
        <v>3533</v>
      </c>
      <c r="G726" s="4" t="s">
        <v>1037</v>
      </c>
      <c r="H726" s="5">
        <v>3020</v>
      </c>
      <c r="I726" s="4" t="s">
        <v>89</v>
      </c>
      <c r="J726" s="4" t="s">
        <v>47</v>
      </c>
      <c r="K726" s="4" t="s">
        <v>1063</v>
      </c>
      <c r="L726" s="4" t="s">
        <v>90</v>
      </c>
      <c r="M726" s="39">
        <v>2020.95</v>
      </c>
      <c r="N726" s="39">
        <v>2060.5500000000002</v>
      </c>
      <c r="O726" s="38">
        <v>0.42859999999999998</v>
      </c>
      <c r="P726" s="39">
        <v>2.86</v>
      </c>
      <c r="Q726" s="39">
        <v>2.89</v>
      </c>
      <c r="R726" s="38">
        <v>0.1053</v>
      </c>
      <c r="S726" s="40">
        <v>22</v>
      </c>
      <c r="T726" s="39">
        <v>3.54</v>
      </c>
      <c r="U726" s="39">
        <v>4.18</v>
      </c>
      <c r="V726" s="39">
        <v>4.4800000000000004</v>
      </c>
      <c r="W726" s="52">
        <v>0.87649999999999995</v>
      </c>
      <c r="X726" s="39">
        <v>3.27</v>
      </c>
      <c r="Y726" s="41">
        <f>Z726*64.15</f>
        <v>-194543.89552196235</v>
      </c>
      <c r="Z726" s="39">
        <f>SUM((Q726-U726)*N726)/W726</f>
        <v>-3032.6406160867082</v>
      </c>
      <c r="AA726" s="39">
        <f>+Z726/2085.7</f>
        <v>-1.4540157338479687</v>
      </c>
    </row>
    <row r="727" spans="1:27" x14ac:dyDescent="0.25">
      <c r="A727" s="7" t="str">
        <f t="shared" si="11"/>
        <v>3533Providence San Pedro Peninsula Hospital422077275910 SPH ELECTROCARDIOLGY</v>
      </c>
      <c r="B727" s="7"/>
      <c r="C727" s="29" t="s">
        <v>924</v>
      </c>
      <c r="D727" s="29" t="s">
        <v>924</v>
      </c>
      <c r="E727" s="29" t="s">
        <v>924</v>
      </c>
      <c r="F727" s="29">
        <v>3533</v>
      </c>
      <c r="G727" s="4" t="s">
        <v>1037</v>
      </c>
      <c r="H727" s="5">
        <v>4220</v>
      </c>
      <c r="I727" s="4" t="s">
        <v>98</v>
      </c>
      <c r="J727" s="4" t="s">
        <v>60</v>
      </c>
      <c r="K727" s="4" t="s">
        <v>1064</v>
      </c>
      <c r="L727" s="4" t="s">
        <v>99</v>
      </c>
      <c r="M727" s="39">
        <v>13970.19</v>
      </c>
      <c r="N727" s="39">
        <v>23208.99</v>
      </c>
      <c r="O727" s="38">
        <v>0.57140000000000002</v>
      </c>
      <c r="P727" s="39">
        <v>0.69</v>
      </c>
      <c r="Q727" s="39">
        <v>0.43</v>
      </c>
      <c r="R727" s="38">
        <v>0.6</v>
      </c>
      <c r="S727" s="40">
        <v>22</v>
      </c>
      <c r="T727" s="39">
        <v>0.3</v>
      </c>
      <c r="U727" s="39">
        <v>0.33</v>
      </c>
      <c r="V727" s="39">
        <v>0.36</v>
      </c>
      <c r="W727" s="52">
        <v>0.91830000000000001</v>
      </c>
      <c r="X727" s="39">
        <v>5.17</v>
      </c>
      <c r="Y727" s="41">
        <v>92053.119020396101</v>
      </c>
      <c r="Z727" s="40">
        <v>2443</v>
      </c>
      <c r="AA727" s="39">
        <v>1.1711625029836701</v>
      </c>
    </row>
    <row r="728" spans="1:27" x14ac:dyDescent="0.25">
      <c r="A728" s="7" t="str">
        <f t="shared" si="11"/>
        <v>3533Providence San Pedro Peninsula Hospital191077287200 77286142 SPH NURSING ADMIN SACC ADMIN</v>
      </c>
      <c r="B728" s="7"/>
      <c r="C728" s="29" t="s">
        <v>924</v>
      </c>
      <c r="D728" s="29" t="s">
        <v>924</v>
      </c>
      <c r="E728" s="29" t="s">
        <v>924</v>
      </c>
      <c r="F728" s="29">
        <v>3533</v>
      </c>
      <c r="G728" s="4" t="s">
        <v>1037</v>
      </c>
      <c r="H728" s="5">
        <v>1910</v>
      </c>
      <c r="I728" s="4" t="s">
        <v>34</v>
      </c>
      <c r="J728" s="4" t="s">
        <v>23</v>
      </c>
      <c r="K728" s="4" t="s">
        <v>1062</v>
      </c>
      <c r="L728" s="4" t="s">
        <v>35</v>
      </c>
      <c r="M728" s="39">
        <v>486</v>
      </c>
      <c r="N728" s="39">
        <v>570</v>
      </c>
      <c r="O728" s="38">
        <v>0.59089999999999998</v>
      </c>
      <c r="P728" s="39">
        <v>50.72</v>
      </c>
      <c r="Q728" s="39">
        <v>57.62</v>
      </c>
      <c r="R728" s="38">
        <v>0.57140000000000002</v>
      </c>
      <c r="S728" s="40">
        <v>22</v>
      </c>
      <c r="T728" s="39">
        <v>37.270000000000003</v>
      </c>
      <c r="U728" s="39">
        <v>40.200000000000003</v>
      </c>
      <c r="V728" s="39">
        <v>47.96</v>
      </c>
      <c r="W728" s="52">
        <v>0.84370000000000001</v>
      </c>
      <c r="X728" s="39">
        <v>18.72</v>
      </c>
      <c r="Y728" s="41">
        <f>Z728*46.65</f>
        <v>549018.02773497673</v>
      </c>
      <c r="Z728" s="39">
        <f>SUM((Q728-U728)*N728)/W728</f>
        <v>11768.875192604004</v>
      </c>
      <c r="AA728" s="39">
        <f>+Z728/2085.7</f>
        <v>5.6426500420022077</v>
      </c>
    </row>
    <row r="729" spans="1:27" x14ac:dyDescent="0.25">
      <c r="A729" s="7" t="str">
        <f t="shared" si="11"/>
        <v>3533Providence San Pedro Peninsula Hospital553077284700 SPH COMMUNICATIONS</v>
      </c>
      <c r="B729" s="7"/>
      <c r="C729" s="29" t="s">
        <v>924</v>
      </c>
      <c r="D729" s="29" t="s">
        <v>924</v>
      </c>
      <c r="E729" s="29" t="s">
        <v>924</v>
      </c>
      <c r="F729" s="29">
        <v>3533</v>
      </c>
      <c r="G729" s="4" t="s">
        <v>1037</v>
      </c>
      <c r="H729" s="5">
        <v>5530</v>
      </c>
      <c r="I729" s="4" t="s">
        <v>144</v>
      </c>
      <c r="J729" s="4" t="s">
        <v>68</v>
      </c>
      <c r="K729" s="4" t="s">
        <v>1065</v>
      </c>
      <c r="L729" s="4" t="s">
        <v>857</v>
      </c>
      <c r="M729" s="39">
        <v>90471.05</v>
      </c>
      <c r="N729" s="39">
        <v>99297.74</v>
      </c>
      <c r="O729" s="38">
        <v>0.54549999999999998</v>
      </c>
      <c r="P729" s="39">
        <v>1.47</v>
      </c>
      <c r="Q729" s="39">
        <v>0.13</v>
      </c>
      <c r="R729" s="38">
        <v>0.40910000000000002</v>
      </c>
      <c r="S729" s="40">
        <v>23</v>
      </c>
      <c r="T729" s="39">
        <v>0.1</v>
      </c>
      <c r="U729" s="39">
        <v>0.12</v>
      </c>
      <c r="V729" s="39">
        <v>0.13</v>
      </c>
      <c r="W729" s="52">
        <v>0.90869999999999995</v>
      </c>
      <c r="X729" s="39">
        <v>6.65</v>
      </c>
      <c r="Y729" s="41">
        <v>13740.481792554499</v>
      </c>
      <c r="Z729" s="40">
        <v>757</v>
      </c>
      <c r="AA729" s="39">
        <v>0.36293079335232697</v>
      </c>
    </row>
    <row r="730" spans="1:27" x14ac:dyDescent="0.25">
      <c r="A730" s="7" t="str">
        <f t="shared" si="11"/>
        <v>3533Providence San Pedro Peninsula Hospital342077276800 SPH CAT SCAN</v>
      </c>
      <c r="B730" s="7"/>
      <c r="C730" s="29" t="s">
        <v>924</v>
      </c>
      <c r="D730" s="29" t="s">
        <v>924</v>
      </c>
      <c r="E730" s="29" t="s">
        <v>924</v>
      </c>
      <c r="F730" s="29">
        <v>3533</v>
      </c>
      <c r="G730" s="4" t="s">
        <v>1037</v>
      </c>
      <c r="H730" s="5">
        <v>3420</v>
      </c>
      <c r="I730" s="4" t="s">
        <v>123</v>
      </c>
      <c r="J730" s="4" t="s">
        <v>57</v>
      </c>
      <c r="K730" s="4" t="s">
        <v>1068</v>
      </c>
      <c r="L730" s="4" t="s">
        <v>99</v>
      </c>
      <c r="M730" s="39">
        <v>23089.3</v>
      </c>
      <c r="N730" s="39">
        <v>24265.38</v>
      </c>
      <c r="O730" s="38">
        <v>0.54169999999999996</v>
      </c>
      <c r="P730" s="39">
        <v>0.2</v>
      </c>
      <c r="Q730" s="39">
        <v>0.18</v>
      </c>
      <c r="R730" s="7"/>
      <c r="S730" s="40">
        <v>25</v>
      </c>
      <c r="T730" s="39">
        <v>0.27</v>
      </c>
      <c r="U730" s="39">
        <v>0.27</v>
      </c>
      <c r="V730" s="39">
        <v>0.3</v>
      </c>
      <c r="W730" s="52">
        <v>0.98770000000000002</v>
      </c>
      <c r="X730" s="39">
        <v>2.11</v>
      </c>
      <c r="Y730" s="41">
        <v>-108738.22883569601</v>
      </c>
      <c r="Z730" s="40">
        <v>-2232</v>
      </c>
      <c r="AA730" s="39">
        <v>-1.0703430359505299</v>
      </c>
    </row>
    <row r="731" spans="1:27" x14ac:dyDescent="0.25">
      <c r="A731" s="7" t="str">
        <f t="shared" si="11"/>
        <v>3533Providence San Pedro Peninsula Hospital621077287400 SPH EDUCATION SERVIC</v>
      </c>
      <c r="B731" s="7"/>
      <c r="C731" s="29" t="s">
        <v>924</v>
      </c>
      <c r="D731" s="29" t="s">
        <v>924</v>
      </c>
      <c r="E731" s="29" t="s">
        <v>924</v>
      </c>
      <c r="F731" s="29">
        <v>3533</v>
      </c>
      <c r="G731" s="4" t="s">
        <v>1037</v>
      </c>
      <c r="H731" s="5">
        <v>6210</v>
      </c>
      <c r="I731" s="4" t="s">
        <v>28</v>
      </c>
      <c r="J731" s="4" t="s">
        <v>21</v>
      </c>
      <c r="K731" s="4" t="s">
        <v>1066</v>
      </c>
      <c r="L731" s="4" t="s">
        <v>857</v>
      </c>
      <c r="M731" s="39">
        <v>90471.05</v>
      </c>
      <c r="N731" s="39">
        <v>99297.74</v>
      </c>
      <c r="O731" s="38">
        <v>0.45829999999999999</v>
      </c>
      <c r="P731" s="39">
        <v>1.6</v>
      </c>
      <c r="Q731" s="39">
        <v>0.14000000000000001</v>
      </c>
      <c r="R731" s="38">
        <v>0.68179999999999996</v>
      </c>
      <c r="S731" s="40">
        <v>25</v>
      </c>
      <c r="T731" s="39">
        <v>0.08</v>
      </c>
      <c r="U731" s="39">
        <v>0.08</v>
      </c>
      <c r="V731" s="39">
        <v>0.11</v>
      </c>
      <c r="W731" s="52">
        <v>0.88280000000000003</v>
      </c>
      <c r="X731" s="39">
        <v>7.79</v>
      </c>
      <c r="Y731" s="41">
        <v>322207.638917904</v>
      </c>
      <c r="Z731" s="40">
        <v>7249</v>
      </c>
      <c r="AA731" s="39">
        <v>3.4756518742782498</v>
      </c>
    </row>
    <row r="732" spans="1:27" x14ac:dyDescent="0.25">
      <c r="A732" s="7" t="str">
        <f t="shared" si="11"/>
        <v>3533Providence San Pedro Peninsula Hospital489977278000 SPH REHAB SVC ADMIN</v>
      </c>
      <c r="B732" s="7"/>
      <c r="C732" s="29" t="s">
        <v>924</v>
      </c>
      <c r="D732" s="29" t="s">
        <v>924</v>
      </c>
      <c r="E732" s="29" t="s">
        <v>924</v>
      </c>
      <c r="F732" s="29">
        <v>3533</v>
      </c>
      <c r="G732" s="4" t="s">
        <v>1037</v>
      </c>
      <c r="H732" s="5">
        <v>4899</v>
      </c>
      <c r="I732" s="4" t="s">
        <v>40</v>
      </c>
      <c r="J732" s="4" t="s">
        <v>41</v>
      </c>
      <c r="K732" s="4" t="s">
        <v>1067</v>
      </c>
      <c r="L732" s="4" t="s">
        <v>43</v>
      </c>
      <c r="M732" s="39">
        <v>1759.61</v>
      </c>
      <c r="N732" s="39">
        <v>2909.3</v>
      </c>
      <c r="O732" s="38">
        <v>0.58330000000000004</v>
      </c>
      <c r="P732" s="39">
        <v>6.28</v>
      </c>
      <c r="Q732" s="39">
        <v>5.73</v>
      </c>
      <c r="R732" s="38">
        <v>0.70830000000000004</v>
      </c>
      <c r="S732" s="40">
        <v>25</v>
      </c>
      <c r="T732" s="39">
        <v>2.2400000000000002</v>
      </c>
      <c r="U732" s="39">
        <v>3.05</v>
      </c>
      <c r="V732" s="39">
        <v>4.4400000000000004</v>
      </c>
      <c r="W732" s="52">
        <v>0.88729999999999998</v>
      </c>
      <c r="X732" s="39">
        <v>9.0299999999999994</v>
      </c>
      <c r="Y732" s="41">
        <v>384822.91526324698</v>
      </c>
      <c r="Z732" s="39">
        <v>8834</v>
      </c>
      <c r="AA732" s="39">
        <v>4.2352493837529099</v>
      </c>
    </row>
    <row r="733" spans="1:27" x14ac:dyDescent="0.25">
      <c r="A733" s="7" t="str">
        <f t="shared" si="11"/>
        <v>3533Providence San Pedro Peninsula Hospital127077263800 - 65300 - 74000 Obstetrics, Nursery, and Labor/Delivery</v>
      </c>
      <c r="B733" s="7"/>
      <c r="C733" s="29" t="s">
        <v>924</v>
      </c>
      <c r="D733" s="29" t="s">
        <v>924</v>
      </c>
      <c r="E733" s="29" t="s">
        <v>924</v>
      </c>
      <c r="F733" s="29">
        <v>3533</v>
      </c>
      <c r="G733" s="4" t="s">
        <v>1037</v>
      </c>
      <c r="H733" s="5">
        <v>1270</v>
      </c>
      <c r="I733" s="4" t="s">
        <v>199</v>
      </c>
      <c r="J733" s="4" t="s">
        <v>23</v>
      </c>
      <c r="K733" s="4" t="s">
        <v>1069</v>
      </c>
      <c r="L733" s="4" t="s">
        <v>86</v>
      </c>
      <c r="M733" s="39">
        <v>591</v>
      </c>
      <c r="N733" s="39">
        <v>547</v>
      </c>
      <c r="O733" s="38">
        <v>0.48</v>
      </c>
      <c r="P733" s="39">
        <v>75.599999999999994</v>
      </c>
      <c r="Q733" s="39">
        <v>75.180000000000007</v>
      </c>
      <c r="R733" s="38">
        <v>0.52</v>
      </c>
      <c r="S733" s="40">
        <v>26</v>
      </c>
      <c r="T733" s="39">
        <v>68.760000000000005</v>
      </c>
      <c r="U733" s="39">
        <v>70.63</v>
      </c>
      <c r="V733" s="39">
        <v>75.16</v>
      </c>
      <c r="W733" s="52">
        <v>0.85060000000000002</v>
      </c>
      <c r="X733" s="39">
        <v>23.24</v>
      </c>
      <c r="Y733" s="41">
        <v>150163.05167859601</v>
      </c>
      <c r="Z733" s="40">
        <v>3051</v>
      </c>
      <c r="AA733" s="39">
        <v>1.462936721782</v>
      </c>
    </row>
    <row r="734" spans="1:27" x14ac:dyDescent="0.25">
      <c r="A734" s="7" t="str">
        <f t="shared" si="11"/>
        <v>3533Providence San Pedro Peninsula Hospital511277283200 83300 83400 SPH KITCHEN CAFETERIA DIETARY</v>
      </c>
      <c r="B734" s="7"/>
      <c r="C734" s="29" t="s">
        <v>924</v>
      </c>
      <c r="D734" s="29" t="s">
        <v>924</v>
      </c>
      <c r="E734" s="29" t="s">
        <v>924</v>
      </c>
      <c r="F734" s="29">
        <v>3533</v>
      </c>
      <c r="G734" s="4" t="s">
        <v>1037</v>
      </c>
      <c r="H734" s="5">
        <v>5112</v>
      </c>
      <c r="I734" s="4" t="s">
        <v>281</v>
      </c>
      <c r="J734" s="4" t="s">
        <v>65</v>
      </c>
      <c r="K734" s="4" t="s">
        <v>1070</v>
      </c>
      <c r="L734" s="4" t="s">
        <v>282</v>
      </c>
      <c r="M734" s="39">
        <v>744182.52</v>
      </c>
      <c r="N734" s="39">
        <v>599355.23</v>
      </c>
      <c r="O734" s="38">
        <v>0.42859999999999998</v>
      </c>
      <c r="P734" s="39">
        <v>0.1</v>
      </c>
      <c r="Q734" s="39">
        <v>0.13</v>
      </c>
      <c r="R734" s="38">
        <v>0.3846</v>
      </c>
      <c r="S734" s="40">
        <v>27</v>
      </c>
      <c r="T734" s="39">
        <v>0.13</v>
      </c>
      <c r="U734" s="39">
        <v>0.13</v>
      </c>
      <c r="V734" s="39">
        <v>0.15</v>
      </c>
      <c r="W734" s="52">
        <v>0.91949999999999998</v>
      </c>
      <c r="X734" s="39">
        <v>42.12</v>
      </c>
      <c r="Y734" s="56">
        <f>Z734*44.43</f>
        <v>0</v>
      </c>
      <c r="Z734" s="53">
        <f>SUM(($Q734-$U734)*$N734)/$W734</f>
        <v>0</v>
      </c>
      <c r="AA734" s="39">
        <f>+Z734/2085.7</f>
        <v>0</v>
      </c>
    </row>
    <row r="735" spans="1:27" x14ac:dyDescent="0.25">
      <c r="A735" s="7" t="str">
        <f t="shared" si="11"/>
        <v>3533Providence San Pedro Peninsula Hospital349903499, Imaging Services Administration Normalization Results Library Imaging (U,N)</v>
      </c>
      <c r="B735" s="7"/>
      <c r="C735" s="29" t="s">
        <v>924</v>
      </c>
      <c r="D735" s="29" t="s">
        <v>924</v>
      </c>
      <c r="E735" s="29" t="s">
        <v>924</v>
      </c>
      <c r="F735" s="29">
        <v>3533</v>
      </c>
      <c r="G735" s="4" t="s">
        <v>1037</v>
      </c>
      <c r="H735" s="5">
        <v>3499</v>
      </c>
      <c r="I735" s="4" t="s">
        <v>56</v>
      </c>
      <c r="J735" s="4" t="s">
        <v>57</v>
      </c>
      <c r="K735" s="4" t="s">
        <v>1071</v>
      </c>
      <c r="L735" s="4" t="s">
        <v>58</v>
      </c>
      <c r="M735" s="7"/>
      <c r="N735" s="39">
        <v>102789.43</v>
      </c>
      <c r="O735" s="38">
        <v>0.41760000000000003</v>
      </c>
      <c r="P735" s="7"/>
      <c r="Q735" s="39">
        <v>7.0000000000000007E-2</v>
      </c>
      <c r="R735" s="38">
        <v>0.48449999999999999</v>
      </c>
      <c r="S735" s="40">
        <v>31</v>
      </c>
      <c r="T735" s="39">
        <v>0.05</v>
      </c>
      <c r="U735" s="39">
        <v>7.0000000000000007E-2</v>
      </c>
      <c r="V735" s="39">
        <v>7.0000000000000007E-2</v>
      </c>
      <c r="W735" s="52">
        <v>0.88919999999999999</v>
      </c>
      <c r="X735" s="39">
        <v>4</v>
      </c>
      <c r="Y735" s="41">
        <v>8415.8747721162508</v>
      </c>
      <c r="Z735" s="40">
        <v>251</v>
      </c>
      <c r="AA735" s="39">
        <v>0.12032628370069</v>
      </c>
    </row>
    <row r="736" spans="1:27" x14ac:dyDescent="0.25">
      <c r="A736" s="7" t="str">
        <f t="shared" si="11"/>
        <v>3533Providence San Pedro Peninsula Hospital301177274200 SPH SURGERY</v>
      </c>
      <c r="B736" s="7"/>
      <c r="C736" s="29" t="s">
        <v>924</v>
      </c>
      <c r="D736" s="29" t="s">
        <v>924</v>
      </c>
      <c r="E736" s="29" t="s">
        <v>924</v>
      </c>
      <c r="F736" s="29">
        <v>3533</v>
      </c>
      <c r="G736" s="4" t="s">
        <v>1037</v>
      </c>
      <c r="H736" s="5">
        <v>3011</v>
      </c>
      <c r="I736" s="4" t="s">
        <v>87</v>
      </c>
      <c r="J736" s="4" t="s">
        <v>47</v>
      </c>
      <c r="K736" s="4" t="s">
        <v>1072</v>
      </c>
      <c r="L736" s="4" t="s">
        <v>88</v>
      </c>
      <c r="M736" s="39">
        <v>2372.52</v>
      </c>
      <c r="N736" s="39">
        <v>2306.5700000000002</v>
      </c>
      <c r="O736" s="38">
        <v>0.5484</v>
      </c>
      <c r="P736" s="39">
        <v>11.04</v>
      </c>
      <c r="Q736" s="39">
        <v>12.76</v>
      </c>
      <c r="R736" s="38">
        <v>0.68969999999999998</v>
      </c>
      <c r="S736" s="40">
        <v>32</v>
      </c>
      <c r="T736" s="39">
        <v>10.74</v>
      </c>
      <c r="U736" s="39">
        <v>11.33</v>
      </c>
      <c r="V736" s="39">
        <v>12.03</v>
      </c>
      <c r="W736" s="52">
        <v>0.89500000000000002</v>
      </c>
      <c r="X736" s="39">
        <v>15.81</v>
      </c>
      <c r="Y736" s="41">
        <v>148777.34001446899</v>
      </c>
      <c r="Z736" s="39">
        <v>3776</v>
      </c>
      <c r="AA736" s="39">
        <v>1.81020512117229</v>
      </c>
    </row>
    <row r="737" spans="1:27" x14ac:dyDescent="0.25">
      <c r="A737" s="7" t="str">
        <f t="shared" si="11"/>
        <v>3533Providence San Pedro Peninsula Hospital341177276300 SPH RADIOLOGY</v>
      </c>
      <c r="B737" s="7"/>
      <c r="C737" s="29" t="s">
        <v>924</v>
      </c>
      <c r="D737" s="29" t="s">
        <v>924</v>
      </c>
      <c r="E737" s="29" t="s">
        <v>924</v>
      </c>
      <c r="F737" s="29">
        <v>3533</v>
      </c>
      <c r="G737" s="4" t="s">
        <v>1037</v>
      </c>
      <c r="H737" s="5">
        <v>3411</v>
      </c>
      <c r="I737" s="4" t="s">
        <v>117</v>
      </c>
      <c r="J737" s="4" t="s">
        <v>57</v>
      </c>
      <c r="K737" s="4" t="s">
        <v>1073</v>
      </c>
      <c r="L737" s="4" t="s">
        <v>99</v>
      </c>
      <c r="M737" s="39">
        <v>19244.72</v>
      </c>
      <c r="N737" s="39">
        <v>21879.83</v>
      </c>
      <c r="O737" s="38">
        <v>0.5625</v>
      </c>
      <c r="P737" s="39">
        <v>0.92</v>
      </c>
      <c r="Q737" s="39">
        <v>0.9</v>
      </c>
      <c r="R737" s="38">
        <v>0.7097</v>
      </c>
      <c r="S737" s="40">
        <v>33</v>
      </c>
      <c r="T737" s="39">
        <v>0.65</v>
      </c>
      <c r="U737" s="39">
        <v>0.71</v>
      </c>
      <c r="V737" s="39">
        <v>0.76</v>
      </c>
      <c r="W737" s="52">
        <v>0.89990000000000003</v>
      </c>
      <c r="X737" s="39">
        <v>10.56</v>
      </c>
      <c r="Y737" s="41">
        <v>173352.54276994101</v>
      </c>
      <c r="Z737" s="40">
        <v>4762</v>
      </c>
      <c r="AA737" s="39">
        <v>2.2833193400109399</v>
      </c>
    </row>
    <row r="738" spans="1:27" x14ac:dyDescent="0.25">
      <c r="A738" s="7" t="str">
        <f t="shared" si="11"/>
        <v>3533Providence San Pedro Peninsula Hospital591077284200 84201 SPH SECURITY SAFETY</v>
      </c>
      <c r="B738" s="7"/>
      <c r="C738" s="29" t="s">
        <v>924</v>
      </c>
      <c r="D738" s="29" t="s">
        <v>924</v>
      </c>
      <c r="E738" s="29" t="s">
        <v>924</v>
      </c>
      <c r="F738" s="29">
        <v>3533</v>
      </c>
      <c r="G738" s="4" t="s">
        <v>1037</v>
      </c>
      <c r="H738" s="5">
        <v>5910</v>
      </c>
      <c r="I738" s="4" t="s">
        <v>139</v>
      </c>
      <c r="J738" s="4" t="s">
        <v>136</v>
      </c>
      <c r="K738" s="4" t="s">
        <v>1074</v>
      </c>
      <c r="L738" s="4" t="s">
        <v>140</v>
      </c>
      <c r="M738" s="39">
        <v>636.57000000000005</v>
      </c>
      <c r="N738" s="39">
        <v>1237.71</v>
      </c>
      <c r="O738" s="38">
        <v>0.42420000000000002</v>
      </c>
      <c r="P738" s="39">
        <v>37.049999999999997</v>
      </c>
      <c r="Q738" s="39">
        <v>20.6</v>
      </c>
      <c r="R738" s="38">
        <v>0.66669999999999996</v>
      </c>
      <c r="S738" s="40">
        <v>34</v>
      </c>
      <c r="T738" s="39">
        <v>14.12</v>
      </c>
      <c r="U738" s="39">
        <v>15.2</v>
      </c>
      <c r="V738" s="39">
        <v>17.22</v>
      </c>
      <c r="W738" s="52">
        <v>0.92500000000000004</v>
      </c>
      <c r="X738" s="39">
        <v>13.25</v>
      </c>
      <c r="Y738" s="41">
        <v>123505.32198094801</v>
      </c>
      <c r="Z738" s="39">
        <v>7297</v>
      </c>
      <c r="AA738" s="39">
        <v>3.49855638589157</v>
      </c>
    </row>
    <row r="739" spans="1:27" x14ac:dyDescent="0.25">
      <c r="A739" s="7" t="str">
        <f t="shared" si="11"/>
        <v>3533Providence San Pedro Peninsula Hospital661077286100 SPH ADMINISTRATION</v>
      </c>
      <c r="B739" s="7"/>
      <c r="C739" s="29" t="s">
        <v>924</v>
      </c>
      <c r="D739" s="29" t="s">
        <v>924</v>
      </c>
      <c r="E739" s="29" t="s">
        <v>924</v>
      </c>
      <c r="F739" s="29">
        <v>3533</v>
      </c>
      <c r="G739" s="4" t="s">
        <v>1037</v>
      </c>
      <c r="H739" s="5">
        <v>6610</v>
      </c>
      <c r="I739" s="4" t="s">
        <v>72</v>
      </c>
      <c r="J739" s="4" t="s">
        <v>72</v>
      </c>
      <c r="K739" s="4" t="s">
        <v>1075</v>
      </c>
      <c r="L739" s="4" t="s">
        <v>14</v>
      </c>
      <c r="M739" s="39">
        <v>89.22</v>
      </c>
      <c r="N739" s="39">
        <v>99.32</v>
      </c>
      <c r="O739" s="38">
        <v>0.57140000000000002</v>
      </c>
      <c r="P739" s="39">
        <v>111.84</v>
      </c>
      <c r="Q739" s="39">
        <v>83.46</v>
      </c>
      <c r="R739" s="38">
        <v>0.34150000000000003</v>
      </c>
      <c r="S739" s="40">
        <v>43</v>
      </c>
      <c r="T739" s="39">
        <v>70.27</v>
      </c>
      <c r="U739" s="39">
        <v>83.86</v>
      </c>
      <c r="V739" s="39">
        <v>97.66</v>
      </c>
      <c r="W739" s="52">
        <v>0.9274</v>
      </c>
      <c r="X739" s="39">
        <v>4.3</v>
      </c>
      <c r="Y739" s="41">
        <f>Z739*40.79</f>
        <v>-1747.3637265473612</v>
      </c>
      <c r="Z739" s="40">
        <f>SUM((Q739-U739)*N739)/W739</f>
        <v>-42.838041837395473</v>
      </c>
      <c r="AA739" s="39">
        <f>+Z739/2085.7</f>
        <v>-2.0538927859900982E-2</v>
      </c>
    </row>
    <row r="740" spans="1:27" x14ac:dyDescent="0.25">
      <c r="A740" s="7" t="str">
        <f t="shared" si="11"/>
        <v>3533Providence San Pedro Peninsula Hospital441077283900 SPH PHARMACY</v>
      </c>
      <c r="B740" s="7"/>
      <c r="C740" s="29" t="s">
        <v>924</v>
      </c>
      <c r="D740" s="29" t="s">
        <v>924</v>
      </c>
      <c r="E740" s="29" t="s">
        <v>924</v>
      </c>
      <c r="F740" s="29">
        <v>3533</v>
      </c>
      <c r="G740" s="4" t="s">
        <v>1037</v>
      </c>
      <c r="H740" s="5">
        <v>4410</v>
      </c>
      <c r="I740" s="4" t="s">
        <v>37</v>
      </c>
      <c r="J740" s="4" t="s">
        <v>37</v>
      </c>
      <c r="K740" s="4" t="s">
        <v>1077</v>
      </c>
      <c r="L740" s="4" t="s">
        <v>1078</v>
      </c>
      <c r="M740" s="39">
        <v>89727.06</v>
      </c>
      <c r="N740" s="39">
        <v>103972.11</v>
      </c>
      <c r="O740" s="38">
        <v>0.58140000000000003</v>
      </c>
      <c r="P740" s="39">
        <v>0.35</v>
      </c>
      <c r="Q740" s="39">
        <v>0.32</v>
      </c>
      <c r="R740" s="38">
        <v>2.4400000000000002E-2</v>
      </c>
      <c r="S740" s="40">
        <v>44</v>
      </c>
      <c r="T740" s="39">
        <v>0.4</v>
      </c>
      <c r="U740" s="39">
        <v>0.44</v>
      </c>
      <c r="V740" s="39">
        <v>0.47</v>
      </c>
      <c r="W740" s="52">
        <v>0.92479999999999996</v>
      </c>
      <c r="X740" s="39">
        <v>17.22</v>
      </c>
      <c r="Y740" s="41">
        <v>-599419.61901445396</v>
      </c>
      <c r="Z740" s="39">
        <v>-13552</v>
      </c>
      <c r="AA740" s="39">
        <v>-6.4975525696234699</v>
      </c>
    </row>
    <row r="741" spans="1:27" x14ac:dyDescent="0.25">
      <c r="A741" s="7" t="str">
        <f t="shared" si="11"/>
        <v>3533Providence San Pedro Peninsula Hospital592505925, Patient Escort (Transport) Service Normalization (U,N)</v>
      </c>
      <c r="B741" s="7"/>
      <c r="C741" s="29" t="s">
        <v>924</v>
      </c>
      <c r="D741" s="29" t="s">
        <v>924</v>
      </c>
      <c r="E741" s="29" t="s">
        <v>924</v>
      </c>
      <c r="F741" s="29">
        <v>3533</v>
      </c>
      <c r="G741" s="4" t="s">
        <v>1037</v>
      </c>
      <c r="H741" s="5">
        <v>5925</v>
      </c>
      <c r="I741" s="4" t="s">
        <v>135</v>
      </c>
      <c r="J741" s="4" t="s">
        <v>136</v>
      </c>
      <c r="K741" s="4" t="s">
        <v>1076</v>
      </c>
      <c r="L741" s="4" t="s">
        <v>137</v>
      </c>
      <c r="M741" s="39">
        <v>0</v>
      </c>
      <c r="N741" s="39">
        <v>347.73</v>
      </c>
      <c r="O741" s="38">
        <v>0.56789999999999996</v>
      </c>
      <c r="P741" s="7"/>
      <c r="Q741" s="39">
        <v>25.31</v>
      </c>
      <c r="R741" s="38">
        <v>1.2E-2</v>
      </c>
      <c r="S741" s="40">
        <v>44</v>
      </c>
      <c r="T741" s="39">
        <v>45.46</v>
      </c>
      <c r="U741" s="39">
        <v>46.95</v>
      </c>
      <c r="V741" s="39">
        <v>54.04</v>
      </c>
      <c r="W741" s="52">
        <v>0.90939999999999999</v>
      </c>
      <c r="X741" s="39">
        <v>4.6500000000000004</v>
      </c>
      <c r="Y741" s="41">
        <v>-204067.11436869</v>
      </c>
      <c r="Z741" s="39">
        <v>-8254</v>
      </c>
      <c r="AA741" s="39">
        <v>-3.9573797909142399</v>
      </c>
    </row>
    <row r="742" spans="1:27" x14ac:dyDescent="0.25">
      <c r="A742" s="7" t="str">
        <f t="shared" si="11"/>
        <v>3533Providence San Pedro Peninsula Hospital307103071, Central Sterile Services - Reprocessing Only Normalization (U,N)</v>
      </c>
      <c r="B742" s="7"/>
      <c r="C742" s="29" t="s">
        <v>924</v>
      </c>
      <c r="D742" s="29" t="s">
        <v>924</v>
      </c>
      <c r="E742" s="29" t="s">
        <v>924</v>
      </c>
      <c r="F742" s="29">
        <v>3533</v>
      </c>
      <c r="G742" s="4" t="s">
        <v>1037</v>
      </c>
      <c r="H742" s="5">
        <v>3071</v>
      </c>
      <c r="I742" s="4" t="s">
        <v>290</v>
      </c>
      <c r="J742" s="4" t="s">
        <v>47</v>
      </c>
      <c r="K742" s="4" t="s">
        <v>1079</v>
      </c>
      <c r="L742" s="4" t="s">
        <v>92</v>
      </c>
      <c r="M742" s="39">
        <v>0</v>
      </c>
      <c r="N742" s="39">
        <v>13.53</v>
      </c>
      <c r="O742" s="7"/>
      <c r="P742" s="7"/>
      <c r="Q742" s="39">
        <v>271.41000000000003</v>
      </c>
      <c r="R742" s="7"/>
      <c r="S742" s="40">
        <v>46</v>
      </c>
      <c r="T742" s="39">
        <v>18.82</v>
      </c>
      <c r="U742" s="39">
        <v>19.84</v>
      </c>
      <c r="V742" s="39">
        <v>21.86</v>
      </c>
      <c r="W742" s="52">
        <v>0.88370000000000004</v>
      </c>
      <c r="X742" s="39">
        <v>2</v>
      </c>
      <c r="Y742" s="41">
        <v>77928.234827148597</v>
      </c>
      <c r="Z742" s="39">
        <v>3868</v>
      </c>
      <c r="AA742" s="39">
        <v>1.8543592964304101</v>
      </c>
    </row>
    <row r="743" spans="1:27" x14ac:dyDescent="0.25">
      <c r="A743" s="7" t="str">
        <f t="shared" si="11"/>
        <v>3533Providence San Pedro Peninsula Hospital500177284100 500 600 Grounds Plant Ops Plant Maint</v>
      </c>
      <c r="B743" s="7"/>
      <c r="C743" s="29" t="s">
        <v>924</v>
      </c>
      <c r="D743" s="29" t="s">
        <v>924</v>
      </c>
      <c r="E743" s="29" t="s">
        <v>924</v>
      </c>
      <c r="F743" s="29">
        <v>3533</v>
      </c>
      <c r="G743" s="4" t="s">
        <v>1037</v>
      </c>
      <c r="H743" s="5">
        <v>5001</v>
      </c>
      <c r="I743" s="4" t="s">
        <v>141</v>
      </c>
      <c r="J743" s="4" t="s">
        <v>62</v>
      </c>
      <c r="K743" s="4" t="s">
        <v>1080</v>
      </c>
      <c r="L743" s="4" t="s">
        <v>63</v>
      </c>
      <c r="M743" s="7"/>
      <c r="N743" s="39">
        <v>1237.71</v>
      </c>
      <c r="O743" s="38">
        <v>0.54</v>
      </c>
      <c r="P743" s="7"/>
      <c r="Q743" s="39">
        <v>25.54</v>
      </c>
      <c r="R743" s="38">
        <v>0.1522</v>
      </c>
      <c r="S743" s="40">
        <v>51</v>
      </c>
      <c r="T743" s="39">
        <v>26.95</v>
      </c>
      <c r="U743" s="39">
        <v>28.26</v>
      </c>
      <c r="V743" s="39">
        <v>30.53</v>
      </c>
      <c r="W743" s="52">
        <v>0.91200000000000003</v>
      </c>
      <c r="X743" s="39">
        <v>16.670000000000002</v>
      </c>
      <c r="Y743" s="41">
        <v>-100827.86905465899</v>
      </c>
      <c r="Z743" s="40">
        <v>-3584</v>
      </c>
      <c r="AA743" s="39">
        <v>-1.71841844086171</v>
      </c>
    </row>
    <row r="744" spans="1:27" x14ac:dyDescent="0.25">
      <c r="A744" s="7" t="str">
        <f t="shared" si="11"/>
        <v>3533Providence San Pedro Peninsula Hospital449004490, Pharmacy Administration and Support Normalizations (U,N)</v>
      </c>
      <c r="B744" s="7"/>
      <c r="C744" s="29" t="s">
        <v>924</v>
      </c>
      <c r="D744" s="29" t="s">
        <v>924</v>
      </c>
      <c r="E744" s="29" t="s">
        <v>924</v>
      </c>
      <c r="F744" s="29">
        <v>3533</v>
      </c>
      <c r="G744" s="4" t="s">
        <v>1037</v>
      </c>
      <c r="H744" s="5">
        <v>4490</v>
      </c>
      <c r="I744" s="4" t="s">
        <v>36</v>
      </c>
      <c r="J744" s="4" t="s">
        <v>37</v>
      </c>
      <c r="K744" s="4" t="s">
        <v>1081</v>
      </c>
      <c r="L744" s="4" t="s">
        <v>39</v>
      </c>
      <c r="M744" s="39">
        <v>10917.79</v>
      </c>
      <c r="N744" s="39">
        <v>12993.44</v>
      </c>
      <c r="O744" s="38">
        <v>5.0000000000000001E-3</v>
      </c>
      <c r="P744" s="39">
        <v>0.25</v>
      </c>
      <c r="Q744" s="39">
        <v>0.38</v>
      </c>
      <c r="R744" s="38">
        <v>0.80430000000000001</v>
      </c>
      <c r="S744" s="40">
        <v>51</v>
      </c>
      <c r="T744" s="39">
        <v>0.2</v>
      </c>
      <c r="U744" s="39">
        <v>0.23</v>
      </c>
      <c r="V744" s="39">
        <v>0.3</v>
      </c>
      <c r="W744" s="52">
        <v>0.90369999999999995</v>
      </c>
      <c r="X744" s="39">
        <v>2.66</v>
      </c>
      <c r="Y744" s="41">
        <f>Z744*72.6</f>
        <v>156576.91888901184</v>
      </c>
      <c r="Z744" s="39">
        <f>SUM((Q744-U744)*N744)/W744</f>
        <v>2156.7068717494744</v>
      </c>
      <c r="AA744" s="39">
        <f>+Z744/2085.7</f>
        <v>1.034044623747171</v>
      </c>
    </row>
    <row r="745" spans="1:27" x14ac:dyDescent="0.25">
      <c r="A745" s="7" t="str">
        <f t="shared" si="11"/>
        <v>3533Providence San Pedro Peninsula Hospital345077276700 SPH ULTRASOUND</v>
      </c>
      <c r="B745" s="7"/>
      <c r="C745" s="29" t="s">
        <v>924</v>
      </c>
      <c r="D745" s="29" t="s">
        <v>924</v>
      </c>
      <c r="E745" s="29" t="s">
        <v>924</v>
      </c>
      <c r="F745" s="29">
        <v>3533</v>
      </c>
      <c r="G745" s="4" t="s">
        <v>1037</v>
      </c>
      <c r="H745" s="5">
        <v>3450</v>
      </c>
      <c r="I745" s="4" t="s">
        <v>122</v>
      </c>
      <c r="J745" s="4" t="s">
        <v>57</v>
      </c>
      <c r="K745" s="4" t="s">
        <v>1082</v>
      </c>
      <c r="L745" s="4" t="s">
        <v>99</v>
      </c>
      <c r="M745" s="39">
        <v>15688.1</v>
      </c>
      <c r="N745" s="39">
        <v>16814.61</v>
      </c>
      <c r="O745" s="38">
        <v>0.60319999999999996</v>
      </c>
      <c r="P745" s="39">
        <v>0.38</v>
      </c>
      <c r="Q745" s="39">
        <v>0.35</v>
      </c>
      <c r="R745" s="38">
        <v>4.9200000000000001E-2</v>
      </c>
      <c r="S745" s="40">
        <v>64</v>
      </c>
      <c r="T745" s="39">
        <v>0.48</v>
      </c>
      <c r="U745" s="39">
        <v>0.49</v>
      </c>
      <c r="V745" s="39">
        <v>0.53</v>
      </c>
      <c r="W745" s="52">
        <v>0.84289999999999998</v>
      </c>
      <c r="X745" s="39">
        <v>3.32</v>
      </c>
      <c r="Y745" s="41">
        <v>-131890.56239151701</v>
      </c>
      <c r="Z745" s="40">
        <v>-2850</v>
      </c>
      <c r="AA745" s="39">
        <v>-1.3665686573645901</v>
      </c>
    </row>
    <row r="746" spans="1:27" x14ac:dyDescent="0.25">
      <c r="A746" s="7" t="str">
        <f t="shared" si="11"/>
        <v>3533Providence San Pedro Peninsula Hospital201070100 EMERGENCY DEPT</v>
      </c>
      <c r="B746" s="7"/>
      <c r="C746" s="29" t="s">
        <v>924</v>
      </c>
      <c r="D746" s="29" t="s">
        <v>924</v>
      </c>
      <c r="E746" s="29" t="s">
        <v>924</v>
      </c>
      <c r="F746" s="29">
        <v>3533</v>
      </c>
      <c r="G746" s="4" t="s">
        <v>1037</v>
      </c>
      <c r="H746" s="5">
        <v>2010</v>
      </c>
      <c r="I746" s="4" t="s">
        <v>75</v>
      </c>
      <c r="J746" s="4" t="s">
        <v>76</v>
      </c>
      <c r="K746" s="4" t="s">
        <v>1083</v>
      </c>
      <c r="L746" s="4" t="s">
        <v>77</v>
      </c>
      <c r="M746" s="39">
        <v>39493</v>
      </c>
      <c r="N746" s="39">
        <v>41360</v>
      </c>
      <c r="O746" s="38">
        <v>0.51900000000000002</v>
      </c>
      <c r="P746" s="39">
        <v>2.0499999999999998</v>
      </c>
      <c r="Q746" s="39">
        <v>1.94</v>
      </c>
      <c r="R746" s="38">
        <v>2.5999999999999999E-2</v>
      </c>
      <c r="S746" s="40">
        <v>80</v>
      </c>
      <c r="T746" s="39">
        <v>2.36</v>
      </c>
      <c r="U746" s="39">
        <v>2.5099999999999998</v>
      </c>
      <c r="V746" s="39">
        <v>2.74</v>
      </c>
      <c r="W746" s="52">
        <v>0.90739999999999998</v>
      </c>
      <c r="X746" s="39">
        <v>42.55</v>
      </c>
      <c r="Y746" s="56">
        <f>Z746*47.46</f>
        <v>-1233060.3835133347</v>
      </c>
      <c r="Z746" s="53">
        <f>SUM((Q746-U746)*N746)/W746</f>
        <v>-25981.044743222388</v>
      </c>
      <c r="AA746" s="53">
        <f>+Z746/2085.7</f>
        <v>-12.456750608055996</v>
      </c>
    </row>
    <row r="747" spans="1:27" x14ac:dyDescent="0.25">
      <c r="A747" s="7" t="str">
        <f t="shared" si="11"/>
        <v>3526Providence Seaside Hospital413051077200, RESPIRATORY THERAPY</v>
      </c>
      <c r="B747" s="7"/>
      <c r="C747" s="29" t="s">
        <v>1249</v>
      </c>
      <c r="D747" s="29" t="s">
        <v>1249</v>
      </c>
      <c r="E747" s="29" t="s">
        <v>1249</v>
      </c>
      <c r="F747" s="29">
        <v>3526</v>
      </c>
      <c r="G747" s="4" t="s">
        <v>1461</v>
      </c>
      <c r="H747" s="5">
        <v>4130</v>
      </c>
      <c r="I747" s="4" t="s">
        <v>184</v>
      </c>
      <c r="J747" s="4" t="s">
        <v>44</v>
      </c>
      <c r="K747" s="4" t="s">
        <v>1463</v>
      </c>
      <c r="L747" s="4" t="s">
        <v>45</v>
      </c>
      <c r="M747" s="39">
        <v>1003.66</v>
      </c>
      <c r="N747" s="39">
        <v>1043.5</v>
      </c>
      <c r="O747" s="38">
        <v>0.1429</v>
      </c>
      <c r="P747" s="39">
        <v>8.67</v>
      </c>
      <c r="Q747" s="39">
        <v>8.51</v>
      </c>
      <c r="R747" s="38">
        <v>0.85709999999999997</v>
      </c>
      <c r="S747" s="40">
        <v>8</v>
      </c>
      <c r="T747" s="39">
        <v>2.85</v>
      </c>
      <c r="U747" s="39">
        <v>3.62</v>
      </c>
      <c r="V747" s="39">
        <v>5.68</v>
      </c>
      <c r="W747" s="38">
        <v>0.89170000000000005</v>
      </c>
      <c r="X747" s="39">
        <v>4.79</v>
      </c>
      <c r="Y747" s="41">
        <v>196960.535395251</v>
      </c>
      <c r="Z747" s="39">
        <v>5754</v>
      </c>
      <c r="AA747" s="39">
        <v>2.75890416237295</v>
      </c>
    </row>
    <row r="748" spans="1:27" x14ac:dyDescent="0.25">
      <c r="A748" s="7" t="str">
        <f t="shared" si="11"/>
        <v>3526Providence Seaside Hospital127051074000, MATERNITY SERVICES</v>
      </c>
      <c r="B748" s="7"/>
      <c r="C748" s="29" t="s">
        <v>1249</v>
      </c>
      <c r="D748" s="29" t="s">
        <v>1249</v>
      </c>
      <c r="E748" s="29" t="s">
        <v>1249</v>
      </c>
      <c r="F748" s="29">
        <v>3526</v>
      </c>
      <c r="G748" s="4" t="s">
        <v>1461</v>
      </c>
      <c r="H748" s="5">
        <v>1270</v>
      </c>
      <c r="I748" s="4" t="s">
        <v>199</v>
      </c>
      <c r="J748" s="4" t="s">
        <v>23</v>
      </c>
      <c r="K748" s="4" t="s">
        <v>1462</v>
      </c>
      <c r="L748" s="4" t="s">
        <v>86</v>
      </c>
      <c r="M748" s="39">
        <v>109</v>
      </c>
      <c r="N748" s="39">
        <v>119</v>
      </c>
      <c r="O748" s="38">
        <v>0</v>
      </c>
      <c r="P748" s="39">
        <v>171.81</v>
      </c>
      <c r="Q748" s="39">
        <v>153.18</v>
      </c>
      <c r="R748" s="38">
        <v>0.85709999999999997</v>
      </c>
      <c r="S748" s="40">
        <v>8</v>
      </c>
      <c r="T748" s="39">
        <v>75.52</v>
      </c>
      <c r="U748" s="39">
        <v>81.81</v>
      </c>
      <c r="V748" s="39">
        <v>94.63</v>
      </c>
      <c r="W748" s="38">
        <v>0.87470000000000003</v>
      </c>
      <c r="X748" s="39">
        <v>10.02</v>
      </c>
      <c r="Y748" s="41">
        <v>510772.41424952802</v>
      </c>
      <c r="Z748" s="39">
        <v>9769</v>
      </c>
      <c r="AA748" s="39">
        <v>4.6836735907519698</v>
      </c>
    </row>
    <row r="749" spans="1:27" x14ac:dyDescent="0.25">
      <c r="A749" s="7" t="str">
        <f t="shared" si="11"/>
        <v>3526Providence Seaside Hospital162051061700, MEDICAL_SURGICAL</v>
      </c>
      <c r="B749" s="7"/>
      <c r="C749" s="29" t="s">
        <v>1249</v>
      </c>
      <c r="D749" s="29" t="s">
        <v>1249</v>
      </c>
      <c r="E749" s="29" t="s">
        <v>1249</v>
      </c>
      <c r="F749" s="29">
        <v>3526</v>
      </c>
      <c r="G749" s="4" t="s">
        <v>1461</v>
      </c>
      <c r="H749" s="5">
        <v>1620</v>
      </c>
      <c r="I749" s="4" t="s">
        <v>285</v>
      </c>
      <c r="J749" s="4" t="s">
        <v>23</v>
      </c>
      <c r="K749" s="4" t="s">
        <v>1465</v>
      </c>
      <c r="L749" s="4" t="s">
        <v>114</v>
      </c>
      <c r="M749" s="39">
        <v>2471</v>
      </c>
      <c r="N749" s="39">
        <v>2485</v>
      </c>
      <c r="O749" s="38">
        <v>0.66669999999999996</v>
      </c>
      <c r="P749" s="39">
        <v>17.420000000000002</v>
      </c>
      <c r="Q749" s="39">
        <v>14.11</v>
      </c>
      <c r="R749" s="38">
        <v>0.33329999999999999</v>
      </c>
      <c r="S749" s="40">
        <v>10</v>
      </c>
      <c r="T749" s="39">
        <v>13.54</v>
      </c>
      <c r="U749" s="39">
        <v>14.18</v>
      </c>
      <c r="V749" s="39">
        <v>15.15</v>
      </c>
      <c r="W749" s="38">
        <v>0.85780000000000001</v>
      </c>
      <c r="X749" s="39">
        <v>19.649999999999999</v>
      </c>
      <c r="Y749" s="41">
        <v>-3678.5222015135</v>
      </c>
      <c r="Z749" s="39">
        <v>-95</v>
      </c>
      <c r="AA749" s="39">
        <v>-4.5397071128185501E-2</v>
      </c>
    </row>
    <row r="750" spans="1:27" x14ac:dyDescent="0.25">
      <c r="A750" s="7" t="str">
        <f t="shared" si="11"/>
        <v>3526Providence Seaside Hospital191051087200, NURSING SERVICE ADMIN</v>
      </c>
      <c r="B750" s="7"/>
      <c r="C750" s="29" t="s">
        <v>1249</v>
      </c>
      <c r="D750" s="29" t="s">
        <v>1249</v>
      </c>
      <c r="E750" s="29" t="s">
        <v>1249</v>
      </c>
      <c r="F750" s="29">
        <v>3526</v>
      </c>
      <c r="G750" s="4" t="s">
        <v>1461</v>
      </c>
      <c r="H750" s="5">
        <v>1910</v>
      </c>
      <c r="I750" s="4" t="s">
        <v>34</v>
      </c>
      <c r="J750" s="4" t="s">
        <v>23</v>
      </c>
      <c r="K750" s="4" t="s">
        <v>1467</v>
      </c>
      <c r="L750" s="4" t="s">
        <v>35</v>
      </c>
      <c r="M750" s="39">
        <v>70</v>
      </c>
      <c r="N750" s="39">
        <v>65</v>
      </c>
      <c r="O750" s="38">
        <v>0.55559999999999998</v>
      </c>
      <c r="P750" s="39">
        <v>152.24</v>
      </c>
      <c r="Q750" s="39">
        <v>188.46</v>
      </c>
      <c r="R750" s="38">
        <v>0.77780000000000005</v>
      </c>
      <c r="S750" s="40">
        <v>10</v>
      </c>
      <c r="T750" s="39">
        <v>152.71</v>
      </c>
      <c r="U750" s="39">
        <v>177.75</v>
      </c>
      <c r="V750" s="39">
        <v>182.07</v>
      </c>
      <c r="W750" s="38">
        <v>0.88519999999999999</v>
      </c>
      <c r="X750" s="39">
        <v>6.65</v>
      </c>
      <c r="Y750" s="41">
        <f>Z750*48.23</f>
        <v>37929.636805241782</v>
      </c>
      <c r="Z750" s="39">
        <f>SUM((Q750-U750)*N750)/W750</f>
        <v>786.43244464527857</v>
      </c>
      <c r="AA750" s="39">
        <f>+Z750/2085.7</f>
        <v>0.37705923413975101</v>
      </c>
    </row>
    <row r="751" spans="1:27" x14ac:dyDescent="0.25">
      <c r="A751" s="7" t="str">
        <f t="shared" si="11"/>
        <v>3526Providence Seaside Hospital341151076300, DIAGNOSTIC IMAGING</v>
      </c>
      <c r="B751" s="7"/>
      <c r="C751" s="29" t="s">
        <v>1249</v>
      </c>
      <c r="D751" s="29" t="s">
        <v>1249</v>
      </c>
      <c r="E751" s="29" t="s">
        <v>1249</v>
      </c>
      <c r="F751" s="29">
        <v>3526</v>
      </c>
      <c r="G751" s="4" t="s">
        <v>1461</v>
      </c>
      <c r="H751" s="74">
        <v>3411</v>
      </c>
      <c r="I751" s="73" t="s">
        <v>117</v>
      </c>
      <c r="J751" s="73" t="s">
        <v>57</v>
      </c>
      <c r="K751" s="73" t="s">
        <v>1464</v>
      </c>
      <c r="L751" s="73" t="s">
        <v>99</v>
      </c>
      <c r="M751" s="75">
        <v>7358.84</v>
      </c>
      <c r="N751" s="75">
        <v>8851.35</v>
      </c>
      <c r="O751" s="76">
        <v>0.375</v>
      </c>
      <c r="P751" s="75">
        <v>1.1299999999999999</v>
      </c>
      <c r="Q751" s="75">
        <v>1.29</v>
      </c>
      <c r="R751" s="76">
        <v>0.77780000000000005</v>
      </c>
      <c r="S751" s="77">
        <v>10</v>
      </c>
      <c r="T751" s="75">
        <v>0.87</v>
      </c>
      <c r="U751" s="75">
        <v>0.91</v>
      </c>
      <c r="V751" s="75">
        <v>1.1000000000000001</v>
      </c>
      <c r="W751" s="76">
        <v>0.93710000000000004</v>
      </c>
      <c r="X751" s="75">
        <v>5.87</v>
      </c>
      <c r="Y751" s="78">
        <f>Z751*48.33</f>
        <v>173469.8359726817</v>
      </c>
      <c r="Z751" s="75">
        <f>SUM((Q751-U751)*N751)/W751</f>
        <v>3589.2786255469005</v>
      </c>
      <c r="AA751" s="75">
        <f>+Z751/2085.7</f>
        <v>1.7208987992265909</v>
      </c>
    </row>
    <row r="752" spans="1:27" x14ac:dyDescent="0.25">
      <c r="A752" s="7" t="str">
        <f t="shared" si="11"/>
        <v>3526Providence Seaside Hospital521151084400, ENVIRONMENTAL SERVICES</v>
      </c>
      <c r="B752" s="7"/>
      <c r="C752" s="29" t="s">
        <v>1249</v>
      </c>
      <c r="D752" s="29" t="s">
        <v>1249</v>
      </c>
      <c r="E752" s="29" t="s">
        <v>1249</v>
      </c>
      <c r="F752" s="29">
        <v>3526</v>
      </c>
      <c r="G752" s="4" t="s">
        <v>1461</v>
      </c>
      <c r="H752" s="5">
        <v>5211</v>
      </c>
      <c r="I752" s="4" t="s">
        <v>50</v>
      </c>
      <c r="J752" s="4" t="s">
        <v>50</v>
      </c>
      <c r="K752" s="4" t="s">
        <v>1466</v>
      </c>
      <c r="L752" s="4" t="s">
        <v>51</v>
      </c>
      <c r="M752" s="39">
        <v>139.58000000000001</v>
      </c>
      <c r="N752" s="39">
        <v>139.58000000000001</v>
      </c>
      <c r="O752" s="38">
        <v>0.22220000000000001</v>
      </c>
      <c r="P752" s="39">
        <v>127.43</v>
      </c>
      <c r="Q752" s="39">
        <v>128.38</v>
      </c>
      <c r="R752" s="38">
        <v>0.33329999999999999</v>
      </c>
      <c r="S752" s="40">
        <v>10</v>
      </c>
      <c r="T752" s="39">
        <v>128.16</v>
      </c>
      <c r="U752" s="39">
        <v>130.35</v>
      </c>
      <c r="V752" s="39">
        <v>144.72</v>
      </c>
      <c r="W752" s="38">
        <v>0.88629999999999998</v>
      </c>
      <c r="X752" s="39">
        <v>9.7200000000000006</v>
      </c>
      <c r="Y752" s="41">
        <v>-3903.5493597489899</v>
      </c>
      <c r="Z752" s="39">
        <v>-255</v>
      </c>
      <c r="AA752" s="39">
        <v>-0.122414233497542</v>
      </c>
    </row>
    <row r="753" spans="1:27" x14ac:dyDescent="0.25">
      <c r="A753" s="7" t="str">
        <f t="shared" si="11"/>
        <v>3526Providence Seaside Hospital300151074200, SURGICAL SERVICES</v>
      </c>
      <c r="B753" s="7"/>
      <c r="C753" s="29" t="s">
        <v>1249</v>
      </c>
      <c r="D753" s="29" t="s">
        <v>1249</v>
      </c>
      <c r="E753" s="29" t="s">
        <v>1249</v>
      </c>
      <c r="F753" s="29">
        <v>3526</v>
      </c>
      <c r="G753" s="4" t="s">
        <v>1461</v>
      </c>
      <c r="H753" s="5">
        <v>3001</v>
      </c>
      <c r="I753" s="4" t="s">
        <v>286</v>
      </c>
      <c r="J753" s="4" t="s">
        <v>47</v>
      </c>
      <c r="K753" s="4" t="s">
        <v>1468</v>
      </c>
      <c r="L753" s="4" t="s">
        <v>88</v>
      </c>
      <c r="M753" s="39">
        <v>3141.66</v>
      </c>
      <c r="N753" s="39">
        <v>757</v>
      </c>
      <c r="O753" s="38">
        <v>0.6</v>
      </c>
      <c r="P753" s="39">
        <v>6.31</v>
      </c>
      <c r="Q753" s="39">
        <v>29.75</v>
      </c>
      <c r="R753" s="38">
        <v>0.6</v>
      </c>
      <c r="S753" s="40">
        <v>11</v>
      </c>
      <c r="T753" s="39">
        <v>21.29</v>
      </c>
      <c r="U753" s="39">
        <v>23.06</v>
      </c>
      <c r="V753" s="39">
        <v>24.1</v>
      </c>
      <c r="W753" s="38">
        <v>0.89790000000000003</v>
      </c>
      <c r="X753" s="39">
        <v>12.06</v>
      </c>
      <c r="Y753" s="41">
        <v>246458.47235362499</v>
      </c>
      <c r="Z753" s="39">
        <v>5712</v>
      </c>
      <c r="AA753" s="39">
        <v>2.73872395121521</v>
      </c>
    </row>
    <row r="754" spans="1:27" x14ac:dyDescent="0.25">
      <c r="A754" s="7" t="str">
        <f t="shared" si="11"/>
        <v>3526Providence Seaside Hospital487051078091, REHAB SERVICES</v>
      </c>
      <c r="B754" s="7"/>
      <c r="C754" s="29" t="s">
        <v>1249</v>
      </c>
      <c r="D754" s="29" t="s">
        <v>1249</v>
      </c>
      <c r="E754" s="29" t="s">
        <v>1249</v>
      </c>
      <c r="F754" s="29">
        <v>3526</v>
      </c>
      <c r="G754" s="4" t="s">
        <v>1461</v>
      </c>
      <c r="H754" s="5">
        <v>4870</v>
      </c>
      <c r="I754" s="4" t="s">
        <v>283</v>
      </c>
      <c r="J754" s="4" t="s">
        <v>41</v>
      </c>
      <c r="K754" s="4" t="s">
        <v>1470</v>
      </c>
      <c r="L754" s="4" t="s">
        <v>79</v>
      </c>
      <c r="M754" s="39">
        <v>378.09</v>
      </c>
      <c r="N754" s="39">
        <v>501.35</v>
      </c>
      <c r="O754" s="38">
        <v>0.45450000000000002</v>
      </c>
      <c r="P754" s="39">
        <v>32.909999999999997</v>
      </c>
      <c r="Q754" s="39">
        <v>26.88</v>
      </c>
      <c r="R754" s="38">
        <v>0.2727</v>
      </c>
      <c r="S754" s="40">
        <v>12</v>
      </c>
      <c r="T754" s="39">
        <v>26.86</v>
      </c>
      <c r="U754" s="39">
        <v>28.25</v>
      </c>
      <c r="V754" s="39">
        <v>31.63</v>
      </c>
      <c r="W754" s="38">
        <v>0.89670000000000005</v>
      </c>
      <c r="X754" s="39">
        <v>7.23</v>
      </c>
      <c r="Y754" s="41">
        <v>-32212.846725557902</v>
      </c>
      <c r="Z754" s="39">
        <v>-715</v>
      </c>
      <c r="AA754" s="39">
        <v>-0.34286928472807998</v>
      </c>
    </row>
    <row r="755" spans="1:27" x14ac:dyDescent="0.25">
      <c r="A755" s="7" t="str">
        <f t="shared" si="11"/>
        <v>3526Providence Seaside Hospital101151060100, ICU</v>
      </c>
      <c r="B755" s="7"/>
      <c r="C755" s="29" t="s">
        <v>1249</v>
      </c>
      <c r="D755" s="29" t="s">
        <v>1249</v>
      </c>
      <c r="E755" s="29" t="s">
        <v>1249</v>
      </c>
      <c r="F755" s="29">
        <v>3526</v>
      </c>
      <c r="G755" s="4" t="s">
        <v>1461</v>
      </c>
      <c r="H755" s="5">
        <v>1011</v>
      </c>
      <c r="I755" s="4" t="s">
        <v>1205</v>
      </c>
      <c r="J755" s="4" t="s">
        <v>23</v>
      </c>
      <c r="K755" s="4" t="s">
        <v>1469</v>
      </c>
      <c r="L755" s="4" t="s">
        <v>74</v>
      </c>
      <c r="M755" s="39">
        <v>531.79999999999995</v>
      </c>
      <c r="N755" s="39">
        <v>580</v>
      </c>
      <c r="O755" s="38">
        <v>0.2727</v>
      </c>
      <c r="P755" s="39">
        <v>30.09</v>
      </c>
      <c r="Q755" s="39">
        <v>30.87</v>
      </c>
      <c r="R755" s="38">
        <v>0.72729999999999995</v>
      </c>
      <c r="S755" s="40">
        <v>12</v>
      </c>
      <c r="T755" s="39">
        <v>19.36</v>
      </c>
      <c r="U755" s="39">
        <v>20.04</v>
      </c>
      <c r="V755" s="39">
        <v>22.32</v>
      </c>
      <c r="W755" s="38">
        <v>0.86509999999999998</v>
      </c>
      <c r="X755" s="39">
        <v>9.9499999999999993</v>
      </c>
      <c r="Y755" s="41">
        <v>360414.44558989798</v>
      </c>
      <c r="Z755" s="39">
        <v>7317</v>
      </c>
      <c r="AA755" s="39">
        <v>3.5081952454202501</v>
      </c>
    </row>
    <row r="756" spans="1:27" x14ac:dyDescent="0.25">
      <c r="A756" s="7" t="str">
        <f t="shared" si="11"/>
        <v>3526Providence Seaside Hospital441051077100, PHARMACY</v>
      </c>
      <c r="B756" s="7"/>
      <c r="C756" s="29" t="s">
        <v>1249</v>
      </c>
      <c r="D756" s="29" t="s">
        <v>1249</v>
      </c>
      <c r="E756" s="29" t="s">
        <v>1249</v>
      </c>
      <c r="F756" s="29">
        <v>3526</v>
      </c>
      <c r="G756" s="4" t="s">
        <v>1461</v>
      </c>
      <c r="H756" s="5">
        <v>4410</v>
      </c>
      <c r="I756" s="4" t="s">
        <v>37</v>
      </c>
      <c r="J756" s="4" t="s">
        <v>37</v>
      </c>
      <c r="K756" s="4" t="s">
        <v>1471</v>
      </c>
      <c r="L756" s="4" t="s">
        <v>100</v>
      </c>
      <c r="M756" s="39">
        <v>4493.17</v>
      </c>
      <c r="N756" s="39">
        <v>4866.8</v>
      </c>
      <c r="O756" s="38">
        <v>0.77780000000000005</v>
      </c>
      <c r="P756" s="39">
        <v>1.69</v>
      </c>
      <c r="Q756" s="39">
        <v>1.56</v>
      </c>
      <c r="R756" s="38">
        <v>0.25</v>
      </c>
      <c r="S756" s="40">
        <v>19</v>
      </c>
      <c r="T756" s="39">
        <v>1.56</v>
      </c>
      <c r="U756" s="39">
        <v>1.98</v>
      </c>
      <c r="V756" s="39">
        <v>2.1800000000000002</v>
      </c>
      <c r="W756" s="38">
        <v>0.9113</v>
      </c>
      <c r="X756" s="39">
        <v>4.01</v>
      </c>
      <c r="Y756" s="41">
        <v>-120075.38109508</v>
      </c>
      <c r="Z756" s="39">
        <v>-2211</v>
      </c>
      <c r="AA756" s="39">
        <v>-1.0598542963478399</v>
      </c>
    </row>
    <row r="757" spans="1:27" x14ac:dyDescent="0.25">
      <c r="A757" s="7" t="str">
        <f t="shared" si="11"/>
        <v>3526Providence Seaside Hospital500151084500, FACILITY SERVICES</v>
      </c>
      <c r="B757" s="7"/>
      <c r="C757" s="29" t="s">
        <v>1249</v>
      </c>
      <c r="D757" s="29" t="s">
        <v>1249</v>
      </c>
      <c r="E757" s="29" t="s">
        <v>1249</v>
      </c>
      <c r="F757" s="29">
        <v>3526</v>
      </c>
      <c r="G757" s="4" t="s">
        <v>1461</v>
      </c>
      <c r="H757" s="5">
        <v>5001</v>
      </c>
      <c r="I757" s="4" t="s">
        <v>141</v>
      </c>
      <c r="J757" s="4" t="s">
        <v>62</v>
      </c>
      <c r="K757" s="4" t="s">
        <v>1472</v>
      </c>
      <c r="L757" s="4" t="s">
        <v>63</v>
      </c>
      <c r="M757" s="39">
        <v>202.6</v>
      </c>
      <c r="N757" s="39">
        <v>204.6</v>
      </c>
      <c r="O757" s="38">
        <v>0.57889999999999997</v>
      </c>
      <c r="P757" s="39">
        <v>55.62</v>
      </c>
      <c r="Q757" s="39">
        <v>51.35</v>
      </c>
      <c r="R757" s="38">
        <v>0.45</v>
      </c>
      <c r="S757" s="40">
        <v>20</v>
      </c>
      <c r="T757" s="39">
        <v>39.090000000000003</v>
      </c>
      <c r="U757" s="39">
        <v>44.05</v>
      </c>
      <c r="V757" s="39">
        <v>53.21</v>
      </c>
      <c r="W757" s="38">
        <v>0.89449999999999996</v>
      </c>
      <c r="X757" s="39">
        <v>5.65</v>
      </c>
      <c r="Y757" s="41">
        <v>33239.337371722802</v>
      </c>
      <c r="Z757" s="39">
        <v>1709</v>
      </c>
      <c r="AA757" s="39">
        <v>0.81919668021800396</v>
      </c>
    </row>
    <row r="758" spans="1:27" x14ac:dyDescent="0.25">
      <c r="A758" s="7" t="str">
        <f t="shared" si="11"/>
        <v>3526Providence Seaside Hospital201051070100, 51070101 EMERGENCY SERVICES</v>
      </c>
      <c r="B758" s="7"/>
      <c r="C758" s="29" t="s">
        <v>1249</v>
      </c>
      <c r="D758" s="29" t="s">
        <v>1249</v>
      </c>
      <c r="E758" s="29" t="s">
        <v>1249</v>
      </c>
      <c r="F758" s="29">
        <v>3526</v>
      </c>
      <c r="G758" s="4" t="s">
        <v>1461</v>
      </c>
      <c r="H758" s="5">
        <v>2010</v>
      </c>
      <c r="I758" s="4" t="s">
        <v>75</v>
      </c>
      <c r="J758" s="4" t="s">
        <v>76</v>
      </c>
      <c r="K758" s="4" t="s">
        <v>1473</v>
      </c>
      <c r="L758" s="4" t="s">
        <v>77</v>
      </c>
      <c r="M758" s="39">
        <v>10252</v>
      </c>
      <c r="N758" s="39">
        <v>10318</v>
      </c>
      <c r="O758" s="76">
        <v>0.57889999999999997</v>
      </c>
      <c r="P758" s="75">
        <v>2.66</v>
      </c>
      <c r="Q758" s="75">
        <v>2.75</v>
      </c>
      <c r="R758" s="76">
        <v>0.1037</v>
      </c>
      <c r="S758" s="77">
        <v>20</v>
      </c>
      <c r="T758" s="75">
        <v>2.85</v>
      </c>
      <c r="U758" s="75">
        <v>2.98</v>
      </c>
      <c r="V758" s="75">
        <v>3.31</v>
      </c>
      <c r="W758" s="76">
        <v>0.87409999999999999</v>
      </c>
      <c r="X758" s="75">
        <v>15.61</v>
      </c>
      <c r="Y758" s="78">
        <f>Z758*48.33</f>
        <v>-131213.65541700032</v>
      </c>
      <c r="Z758" s="75">
        <f>SUM((Q758-U758)*N758)/W758</f>
        <v>-2714.9525225946686</v>
      </c>
      <c r="AA758" s="75">
        <f>+Z758/2085.7</f>
        <v>-1.3016984813706041</v>
      </c>
    </row>
    <row r="759" spans="1:27" x14ac:dyDescent="0.25">
      <c r="A759" s="7" t="str">
        <f t="shared" si="11"/>
        <v>3526Providence Seaside Hospital335051075000 51075400 51075098 51089008 51089009 CLIN AND BLOOD COMBO</v>
      </c>
      <c r="B759" s="7"/>
      <c r="C759" s="29" t="s">
        <v>1249</v>
      </c>
      <c r="D759" s="29" t="s">
        <v>1249</v>
      </c>
      <c r="E759" s="29" t="s">
        <v>1249</v>
      </c>
      <c r="F759" s="29">
        <v>3526</v>
      </c>
      <c r="G759" s="4" t="s">
        <v>1461</v>
      </c>
      <c r="H759" s="5">
        <v>3350</v>
      </c>
      <c r="I759" s="4" t="s">
        <v>93</v>
      </c>
      <c r="J759" s="4" t="s">
        <v>53</v>
      </c>
      <c r="K759" s="4" t="s">
        <v>1474</v>
      </c>
      <c r="L759" s="4" t="s">
        <v>94</v>
      </c>
      <c r="M759" s="39">
        <v>911.44</v>
      </c>
      <c r="N759" s="39">
        <v>978.72</v>
      </c>
      <c r="O759" s="38">
        <v>0.4</v>
      </c>
      <c r="P759" s="39">
        <v>18.98</v>
      </c>
      <c r="Q759" s="39">
        <v>17.489999999999998</v>
      </c>
      <c r="R759" s="38">
        <v>0.15</v>
      </c>
      <c r="S759" s="40">
        <v>21</v>
      </c>
      <c r="T759" s="39">
        <v>19.579999999999998</v>
      </c>
      <c r="U759" s="39">
        <v>20.77</v>
      </c>
      <c r="V759" s="39">
        <v>22.83</v>
      </c>
      <c r="W759" s="38">
        <v>0.90539999999999998</v>
      </c>
      <c r="X759" s="39">
        <v>9.09</v>
      </c>
      <c r="Y759" s="41">
        <v>-102453.55847323799</v>
      </c>
      <c r="Z759" s="39">
        <v>-3493</v>
      </c>
      <c r="AA759" s="39">
        <v>-1.6747172851402199</v>
      </c>
    </row>
    <row r="760" spans="1:27" x14ac:dyDescent="0.25">
      <c r="A760" s="7" t="str">
        <f t="shared" si="11"/>
        <v>3526Providence Seaside Hospital511251083400, PT_NON PT FOOD SVC</v>
      </c>
      <c r="B760" s="7"/>
      <c r="C760" s="29" t="s">
        <v>1249</v>
      </c>
      <c r="D760" s="29" t="s">
        <v>1249</v>
      </c>
      <c r="E760" s="29" t="s">
        <v>1249</v>
      </c>
      <c r="F760" s="29">
        <v>3526</v>
      </c>
      <c r="G760" s="4" t="s">
        <v>1461</v>
      </c>
      <c r="H760" s="5">
        <v>5112</v>
      </c>
      <c r="I760" s="4" t="s">
        <v>281</v>
      </c>
      <c r="J760" s="4" t="s">
        <v>65</v>
      </c>
      <c r="K760" s="4" t="s">
        <v>1475</v>
      </c>
      <c r="L760" s="4" t="s">
        <v>282</v>
      </c>
      <c r="M760" s="39">
        <v>126388.05</v>
      </c>
      <c r="N760" s="39">
        <v>134282.87</v>
      </c>
      <c r="O760" s="38">
        <v>0.61899999999999999</v>
      </c>
      <c r="P760" s="39">
        <v>0.15</v>
      </c>
      <c r="Q760" s="39">
        <v>0.14000000000000001</v>
      </c>
      <c r="R760" s="38">
        <v>0</v>
      </c>
      <c r="S760" s="40">
        <v>22</v>
      </c>
      <c r="T760" s="39">
        <v>0.18</v>
      </c>
      <c r="U760" s="39">
        <v>0.2</v>
      </c>
      <c r="V760" s="39">
        <v>0.21</v>
      </c>
      <c r="W760" s="38">
        <v>0.89259999999999995</v>
      </c>
      <c r="X760" s="39">
        <v>10.210000000000001</v>
      </c>
      <c r="Y760" s="41">
        <v>-150508.592236628</v>
      </c>
      <c r="Z760" s="39">
        <v>-8793</v>
      </c>
      <c r="AA760" s="39">
        <v>-4.2158657679104596</v>
      </c>
    </row>
    <row r="761" spans="1:27" x14ac:dyDescent="0.25">
      <c r="A761" s="7" t="str">
        <f t="shared" si="11"/>
        <v>3526Providence Seaside Hospital449051004490, PHARMACY SUPPORT SVCS (U,N)</v>
      </c>
      <c r="B761" s="7"/>
      <c r="C761" s="29" t="s">
        <v>1249</v>
      </c>
      <c r="D761" s="29" t="s">
        <v>1249</v>
      </c>
      <c r="E761" s="29" t="s">
        <v>1249</v>
      </c>
      <c r="F761" s="29">
        <v>3526</v>
      </c>
      <c r="G761" s="4" t="s">
        <v>1461</v>
      </c>
      <c r="H761" s="5">
        <v>4490</v>
      </c>
      <c r="I761" s="4" t="s">
        <v>36</v>
      </c>
      <c r="J761" s="4" t="s">
        <v>37</v>
      </c>
      <c r="K761" s="4" t="s">
        <v>1476</v>
      </c>
      <c r="L761" s="4" t="s">
        <v>39</v>
      </c>
      <c r="M761" s="39">
        <v>5324.97</v>
      </c>
      <c r="N761" s="39">
        <v>5801.1</v>
      </c>
      <c r="O761" s="7"/>
      <c r="P761" s="39">
        <v>0.72</v>
      </c>
      <c r="Q761" s="39">
        <v>0.78</v>
      </c>
      <c r="R761" s="7"/>
      <c r="S761" s="40">
        <v>36</v>
      </c>
      <c r="T761" s="39">
        <v>0.18</v>
      </c>
      <c r="U761" s="39">
        <v>0.21</v>
      </c>
      <c r="V761" s="39">
        <v>0.26</v>
      </c>
      <c r="W761" s="38">
        <v>0.83530000000000004</v>
      </c>
      <c r="X761" s="39">
        <v>2.61</v>
      </c>
      <c r="Y761" s="41">
        <v>128757.468418335</v>
      </c>
      <c r="Z761" s="39">
        <v>3985</v>
      </c>
      <c r="AA761" s="39">
        <v>1.9107454127107399</v>
      </c>
    </row>
    <row r="762" spans="1:27" x14ac:dyDescent="0.25">
      <c r="A762" s="7" t="str">
        <f t="shared" si="11"/>
        <v>3526Providence Seaside Hospital441151095505, PHS RETAIL PHARMACY</v>
      </c>
      <c r="B762" s="7"/>
      <c r="C762" s="29" t="s">
        <v>1249</v>
      </c>
      <c r="D762" s="29" t="s">
        <v>1249</v>
      </c>
      <c r="E762" s="29" t="s">
        <v>1249</v>
      </c>
      <c r="F762" s="29">
        <v>3526</v>
      </c>
      <c r="G762" s="4" t="s">
        <v>1461</v>
      </c>
      <c r="H762" s="5">
        <v>4411</v>
      </c>
      <c r="I762" s="4" t="s">
        <v>154</v>
      </c>
      <c r="J762" s="4" t="s">
        <v>37</v>
      </c>
      <c r="K762" s="4" t="s">
        <v>1477</v>
      </c>
      <c r="L762" s="4" t="s">
        <v>155</v>
      </c>
      <c r="M762" s="39">
        <v>1925</v>
      </c>
      <c r="N762" s="39">
        <v>18535</v>
      </c>
      <c r="O762" s="38">
        <v>0.30769999999999997</v>
      </c>
      <c r="P762" s="39">
        <v>1.39</v>
      </c>
      <c r="Q762" s="39">
        <v>0.37</v>
      </c>
      <c r="R762" s="38">
        <v>0.94740000000000002</v>
      </c>
      <c r="S762" s="40">
        <v>40</v>
      </c>
      <c r="T762" s="39">
        <v>0.19</v>
      </c>
      <c r="U762" s="39">
        <v>0.22</v>
      </c>
      <c r="V762" s="39">
        <v>0.23</v>
      </c>
      <c r="W762" s="38">
        <v>0.98370000000000002</v>
      </c>
      <c r="X762" s="39">
        <v>3.38</v>
      </c>
      <c r="Y762" s="41">
        <v>116729.175550867</v>
      </c>
      <c r="Z762" s="39">
        <v>2904</v>
      </c>
      <c r="AA762" s="39">
        <v>1.3925291910536599</v>
      </c>
    </row>
    <row r="763" spans="1:27" x14ac:dyDescent="0.25">
      <c r="A763" s="7" t="str">
        <f t="shared" si="11"/>
        <v>3526Providence Seaside Hospital345051076700, ULTRASOUND</v>
      </c>
      <c r="B763" s="7"/>
      <c r="C763" s="29" t="s">
        <v>1249</v>
      </c>
      <c r="D763" s="29" t="s">
        <v>1249</v>
      </c>
      <c r="E763" s="29" t="s">
        <v>1249</v>
      </c>
      <c r="F763" s="29">
        <v>3526</v>
      </c>
      <c r="G763" s="4" t="s">
        <v>1461</v>
      </c>
      <c r="H763" s="5">
        <v>3450</v>
      </c>
      <c r="I763" s="4" t="s">
        <v>122</v>
      </c>
      <c r="J763" s="4" t="s">
        <v>57</v>
      </c>
      <c r="K763" s="4" t="s">
        <v>1478</v>
      </c>
      <c r="L763" s="4" t="s">
        <v>99</v>
      </c>
      <c r="M763" s="39">
        <v>5179.3</v>
      </c>
      <c r="N763" s="39">
        <v>5268.98</v>
      </c>
      <c r="O763" s="38">
        <v>0.44900000000000001</v>
      </c>
      <c r="P763" s="39">
        <v>1.02</v>
      </c>
      <c r="Q763" s="39">
        <v>0.88</v>
      </c>
      <c r="R763" s="38">
        <v>0.95920000000000005</v>
      </c>
      <c r="S763" s="40">
        <v>50</v>
      </c>
      <c r="T763" s="39">
        <v>0.47</v>
      </c>
      <c r="U763" s="39">
        <v>0.49</v>
      </c>
      <c r="V763" s="39">
        <v>0.56000000000000005</v>
      </c>
      <c r="W763" s="38">
        <v>0.9627</v>
      </c>
      <c r="X763" s="39">
        <v>2.2999999999999998</v>
      </c>
      <c r="Y763" s="41">
        <v>95756.445044182707</v>
      </c>
      <c r="Z763" s="39">
        <v>2115</v>
      </c>
      <c r="AA763" s="39">
        <v>1.0141810642592699</v>
      </c>
    </row>
    <row r="764" spans="1:27" x14ac:dyDescent="0.25">
      <c r="A764" s="7" t="str">
        <f t="shared" si="11"/>
        <v>3526Providence Seaside Hospital464051076410, OUTPATIENT TRANSFUSION</v>
      </c>
      <c r="B764" s="7"/>
      <c r="C764" s="29" t="s">
        <v>1249</v>
      </c>
      <c r="D764" s="29" t="s">
        <v>1249</v>
      </c>
      <c r="E764" s="29" t="s">
        <v>1249</v>
      </c>
      <c r="F764" s="29">
        <v>3526</v>
      </c>
      <c r="G764" s="4" t="s">
        <v>1461</v>
      </c>
      <c r="H764" s="5">
        <v>4640</v>
      </c>
      <c r="I764" s="4" t="s">
        <v>82</v>
      </c>
      <c r="J764" s="4" t="s">
        <v>83</v>
      </c>
      <c r="K764" s="4" t="s">
        <v>1479</v>
      </c>
      <c r="L764" s="4" t="s">
        <v>84</v>
      </c>
      <c r="M764" s="39">
        <v>1616</v>
      </c>
      <c r="N764" s="39">
        <v>1860</v>
      </c>
      <c r="O764" s="38">
        <v>0.56859999999999999</v>
      </c>
      <c r="P764" s="39">
        <v>3.04</v>
      </c>
      <c r="Q764" s="39">
        <v>2.4</v>
      </c>
      <c r="R764" s="38">
        <v>0.47060000000000002</v>
      </c>
      <c r="S764" s="40">
        <v>52</v>
      </c>
      <c r="T764" s="39">
        <v>2</v>
      </c>
      <c r="U764" s="39">
        <v>2.2000000000000002</v>
      </c>
      <c r="V764" s="39">
        <v>2.4500000000000002</v>
      </c>
      <c r="W764" s="38">
        <v>0.88429999999999997</v>
      </c>
      <c r="X764" s="39">
        <v>2.4300000000000002</v>
      </c>
      <c r="Y764" s="41">
        <v>20066.311528998998</v>
      </c>
      <c r="Z764" s="39">
        <v>441</v>
      </c>
      <c r="AA764" s="39">
        <v>0.21137368980614599</v>
      </c>
    </row>
    <row r="765" spans="1:27" x14ac:dyDescent="0.25">
      <c r="A765" s="7" t="str">
        <f t="shared" si="11"/>
        <v>2719Providence St Joseph Medical Center463071077600 - 04630 - PSJMC GASTROENTEROLOGY LAB</v>
      </c>
      <c r="B765" s="7"/>
      <c r="C765" s="29" t="s">
        <v>924</v>
      </c>
      <c r="D765" s="29" t="s">
        <v>924</v>
      </c>
      <c r="E765" s="29" t="s">
        <v>924</v>
      </c>
      <c r="F765" s="29">
        <v>2719</v>
      </c>
      <c r="G765" s="4" t="s">
        <v>1084</v>
      </c>
      <c r="H765" s="5">
        <v>4630</v>
      </c>
      <c r="I765" s="4" t="s">
        <v>104</v>
      </c>
      <c r="J765" s="4" t="s">
        <v>83</v>
      </c>
      <c r="K765" s="4" t="s">
        <v>1085</v>
      </c>
      <c r="L765" s="4" t="s">
        <v>99</v>
      </c>
      <c r="M765" s="7"/>
      <c r="N765" s="39">
        <v>1377.56</v>
      </c>
      <c r="O765" s="38">
        <v>1</v>
      </c>
      <c r="P765" s="7"/>
      <c r="Q765" s="39">
        <v>24.14</v>
      </c>
      <c r="R765" s="38">
        <v>0.33329999999999999</v>
      </c>
      <c r="S765" s="40">
        <v>6</v>
      </c>
      <c r="T765" s="39">
        <v>20.61</v>
      </c>
      <c r="U765" s="39">
        <v>26.97</v>
      </c>
      <c r="V765" s="39">
        <v>52.44</v>
      </c>
      <c r="W765" s="52">
        <v>0.87360000000000004</v>
      </c>
      <c r="X765" s="39">
        <v>18.3</v>
      </c>
      <c r="Y765" s="41">
        <v>-198318.23820234399</v>
      </c>
      <c r="Z765" s="39">
        <v>-4360</v>
      </c>
      <c r="AA765" s="39">
        <v>-2.0904590758524701</v>
      </c>
    </row>
    <row r="766" spans="1:27" x14ac:dyDescent="0.25">
      <c r="A766" s="7" t="str">
        <f t="shared" si="11"/>
        <v>2719Providence St Joseph Medical Center303071072300 - 03030 - PSJMC SHORT STAY</v>
      </c>
      <c r="B766" s="7"/>
      <c r="C766" s="29" t="s">
        <v>924</v>
      </c>
      <c r="D766" s="29" t="s">
        <v>924</v>
      </c>
      <c r="E766" s="29" t="s">
        <v>924</v>
      </c>
      <c r="F766" s="29">
        <v>2719</v>
      </c>
      <c r="G766" s="4" t="s">
        <v>1084</v>
      </c>
      <c r="H766" s="5">
        <v>3030</v>
      </c>
      <c r="I766" s="4" t="s">
        <v>80</v>
      </c>
      <c r="J766" s="4" t="s">
        <v>47</v>
      </c>
      <c r="K766" s="4" t="s">
        <v>1088</v>
      </c>
      <c r="L766" s="4" t="s">
        <v>81</v>
      </c>
      <c r="M766" s="39">
        <v>19699.2</v>
      </c>
      <c r="N766" s="39">
        <v>19709</v>
      </c>
      <c r="O766" s="38">
        <v>0.75</v>
      </c>
      <c r="P766" s="39">
        <v>2.65</v>
      </c>
      <c r="Q766" s="39">
        <v>2.72</v>
      </c>
      <c r="R766" s="38">
        <v>0.71430000000000005</v>
      </c>
      <c r="S766" s="40">
        <v>9</v>
      </c>
      <c r="T766" s="39">
        <v>2.23</v>
      </c>
      <c r="U766" s="39">
        <v>2.44</v>
      </c>
      <c r="V766" s="39">
        <v>2.68</v>
      </c>
      <c r="W766" s="52">
        <v>0.86770000000000003</v>
      </c>
      <c r="X766" s="39">
        <v>29.71</v>
      </c>
      <c r="Y766" s="41">
        <f>Z766*47.04</f>
        <v>299171.58096116193</v>
      </c>
      <c r="Z766" s="40">
        <f>SUM((Q766-U766)*N766)/W766</f>
        <v>6359.940071453273</v>
      </c>
      <c r="AA766" s="39">
        <f>+Z766/2085.7</f>
        <v>3.049307221294181</v>
      </c>
    </row>
    <row r="767" spans="1:27" x14ac:dyDescent="0.25">
      <c r="A767" s="7" t="str">
        <f t="shared" si="11"/>
        <v>2719Providence St Joseph Medical Center486171077800 - 04861 - PSJMC SPEECH THERAPY (U)</v>
      </c>
      <c r="B767" s="7"/>
      <c r="C767" s="29" t="s">
        <v>924</v>
      </c>
      <c r="D767" s="29" t="s">
        <v>924</v>
      </c>
      <c r="E767" s="29" t="s">
        <v>924</v>
      </c>
      <c r="F767" s="29">
        <v>2719</v>
      </c>
      <c r="G767" s="4" t="s">
        <v>1084</v>
      </c>
      <c r="H767" s="5">
        <v>4861</v>
      </c>
      <c r="I767" s="4" t="s">
        <v>125</v>
      </c>
      <c r="J767" s="4" t="s">
        <v>41</v>
      </c>
      <c r="K767" s="4" t="s">
        <v>1087</v>
      </c>
      <c r="L767" s="4" t="s">
        <v>79</v>
      </c>
      <c r="M767" s="39">
        <v>358.15</v>
      </c>
      <c r="N767" s="39">
        <v>528.88</v>
      </c>
      <c r="O767" s="38">
        <v>0.41620000000000001</v>
      </c>
      <c r="P767" s="39">
        <v>24.55</v>
      </c>
      <c r="Q767" s="39">
        <v>12.92</v>
      </c>
      <c r="R767" s="7"/>
      <c r="S767" s="40">
        <v>9</v>
      </c>
      <c r="T767" s="39">
        <v>20.260000000000002</v>
      </c>
      <c r="U767" s="39">
        <v>24.44</v>
      </c>
      <c r="V767" s="39">
        <v>25.66</v>
      </c>
      <c r="W767" s="52">
        <v>0.88319999999999999</v>
      </c>
      <c r="X767" s="39">
        <v>3.72</v>
      </c>
      <c r="Y767" s="41">
        <v>-329664.56581505598</v>
      </c>
      <c r="Z767" s="39">
        <v>-6876</v>
      </c>
      <c r="AA767" s="39">
        <v>-3.2969348489680899</v>
      </c>
    </row>
    <row r="768" spans="1:27" x14ac:dyDescent="0.25">
      <c r="A768" s="7" t="str">
        <f t="shared" si="11"/>
        <v>2719Providence St Joseph Medical Center411071077200 - 04110 - PSJMC RESPIRATORY THERAPY (incl NICU Resp)</v>
      </c>
      <c r="B768" s="7"/>
      <c r="C768" s="29" t="s">
        <v>924</v>
      </c>
      <c r="D768" s="29" t="s">
        <v>924</v>
      </c>
      <c r="E768" s="29" t="s">
        <v>924</v>
      </c>
      <c r="F768" s="29">
        <v>2719</v>
      </c>
      <c r="G768" s="4" t="s">
        <v>1084</v>
      </c>
      <c r="H768" s="5">
        <v>4110</v>
      </c>
      <c r="I768" s="4" t="s">
        <v>145</v>
      </c>
      <c r="J768" s="4" t="s">
        <v>44</v>
      </c>
      <c r="K768" s="4" t="s">
        <v>1086</v>
      </c>
      <c r="L768" s="4" t="s">
        <v>45</v>
      </c>
      <c r="M768" s="39">
        <v>24808.68</v>
      </c>
      <c r="N768" s="39">
        <v>26958.720000000001</v>
      </c>
      <c r="O768" s="38">
        <v>0.625</v>
      </c>
      <c r="P768" s="39">
        <v>4.29</v>
      </c>
      <c r="Q768" s="39">
        <v>2.89</v>
      </c>
      <c r="R768" s="38">
        <v>0.375</v>
      </c>
      <c r="S768" s="40">
        <v>9</v>
      </c>
      <c r="T768" s="39">
        <v>2.82</v>
      </c>
      <c r="U768" s="39">
        <v>2.87</v>
      </c>
      <c r="V768" s="39">
        <v>3.16</v>
      </c>
      <c r="W768" s="52">
        <v>0.88819999999999999</v>
      </c>
      <c r="X768" s="39">
        <v>42.11</v>
      </c>
      <c r="Y768" s="41">
        <v>31289.144399479199</v>
      </c>
      <c r="Z768" s="39">
        <v>718</v>
      </c>
      <c r="AA768" s="39">
        <v>0.34441634927805598</v>
      </c>
    </row>
    <row r="769" spans="1:27" x14ac:dyDescent="0.25">
      <c r="A769" s="7" t="str">
        <f t="shared" si="11"/>
        <v>2719Providence St Joseph Medical Center584071087550 - 05840 - PSJMC CASE MANAGEMENT</v>
      </c>
      <c r="B769" s="7"/>
      <c r="C769" s="29" t="s">
        <v>924</v>
      </c>
      <c r="D769" s="29" t="s">
        <v>924</v>
      </c>
      <c r="E769" s="29" t="s">
        <v>924</v>
      </c>
      <c r="F769" s="29">
        <v>2719</v>
      </c>
      <c r="G769" s="4" t="s">
        <v>1084</v>
      </c>
      <c r="H769" s="5">
        <v>5840</v>
      </c>
      <c r="I769" s="4" t="s">
        <v>1091</v>
      </c>
      <c r="J769" s="4" t="s">
        <v>26</v>
      </c>
      <c r="K769" s="4" t="s">
        <v>1092</v>
      </c>
      <c r="L769" s="4" t="s">
        <v>1093</v>
      </c>
      <c r="M769" s="39">
        <v>30161</v>
      </c>
      <c r="N769" s="39">
        <v>43404</v>
      </c>
      <c r="O769" s="38">
        <v>0.7</v>
      </c>
      <c r="P769" s="39">
        <v>1.56</v>
      </c>
      <c r="Q769" s="39">
        <v>1.17</v>
      </c>
      <c r="R769" s="38">
        <v>0.125</v>
      </c>
      <c r="S769" s="40">
        <v>11</v>
      </c>
      <c r="T769" s="39">
        <v>1.22</v>
      </c>
      <c r="U769" s="39">
        <v>1.23</v>
      </c>
      <c r="V769" s="39">
        <v>1.25</v>
      </c>
      <c r="W769" s="52">
        <v>0.90839999999999999</v>
      </c>
      <c r="X769" s="39">
        <v>26.87</v>
      </c>
      <c r="Y769" s="41">
        <v>-116118.987390767</v>
      </c>
      <c r="Z769" s="39">
        <v>-2728</v>
      </c>
      <c r="AA769" s="39">
        <v>-1.3077232635720499</v>
      </c>
    </row>
    <row r="770" spans="1:27" x14ac:dyDescent="0.25">
      <c r="A770" s="7" t="str">
        <f t="shared" si="11"/>
        <v>2719Providence St Joseph Medical Center127271063800 - 01272 - PSJMC 4NE (OB) and Nursery</v>
      </c>
      <c r="B770" s="7"/>
      <c r="C770" s="29" t="s">
        <v>924</v>
      </c>
      <c r="D770" s="29" t="s">
        <v>924</v>
      </c>
      <c r="E770" s="29" t="s">
        <v>924</v>
      </c>
      <c r="F770" s="29">
        <v>2719</v>
      </c>
      <c r="G770" s="4" t="s">
        <v>1084</v>
      </c>
      <c r="H770" s="5">
        <v>1272</v>
      </c>
      <c r="I770" s="4" t="s">
        <v>112</v>
      </c>
      <c r="J770" s="4" t="s">
        <v>23</v>
      </c>
      <c r="K770" s="4" t="s">
        <v>1090</v>
      </c>
      <c r="L770" s="4" t="s">
        <v>74</v>
      </c>
      <c r="M770" s="39">
        <v>13328</v>
      </c>
      <c r="N770" s="39">
        <v>12244</v>
      </c>
      <c r="O770" s="38">
        <v>0.6</v>
      </c>
      <c r="P770" s="39">
        <v>7.69</v>
      </c>
      <c r="Q770" s="39">
        <v>7.78</v>
      </c>
      <c r="R770" s="38">
        <v>0.85709999999999997</v>
      </c>
      <c r="S770" s="40">
        <v>11</v>
      </c>
      <c r="T770" s="39">
        <v>7.32</v>
      </c>
      <c r="U770" s="39">
        <v>7.4</v>
      </c>
      <c r="V770" s="39">
        <v>7.47</v>
      </c>
      <c r="W770" s="52">
        <v>0.87990000000000002</v>
      </c>
      <c r="X770" s="39">
        <v>52.06</v>
      </c>
      <c r="Y770" s="41">
        <v>268085.04251319502</v>
      </c>
      <c r="Z770" s="39">
        <v>5609</v>
      </c>
      <c r="AA770" s="39">
        <v>2.6892321408049198</v>
      </c>
    </row>
    <row r="771" spans="1:27" x14ac:dyDescent="0.25">
      <c r="A771" s="7" t="str">
        <f t="shared" ref="A771:A834" si="12">F771&amp;G771&amp;H771&amp;K771</f>
        <v>2719Providence St Joseph Medical Center511071083400 - 05110 - PSJMC DIETARY PATIENT SRVS</v>
      </c>
      <c r="B771" s="7"/>
      <c r="C771" s="29" t="s">
        <v>924</v>
      </c>
      <c r="D771" s="29" t="s">
        <v>924</v>
      </c>
      <c r="E771" s="29" t="s">
        <v>924</v>
      </c>
      <c r="F771" s="29">
        <v>2719</v>
      </c>
      <c r="G771" s="4" t="s">
        <v>1084</v>
      </c>
      <c r="H771" s="5">
        <v>5110</v>
      </c>
      <c r="I771" s="4" t="s">
        <v>129</v>
      </c>
      <c r="J771" s="4" t="s">
        <v>65</v>
      </c>
      <c r="K771" s="4" t="s">
        <v>1089</v>
      </c>
      <c r="L771" s="4" t="s">
        <v>130</v>
      </c>
      <c r="M771" s="39">
        <v>267421.51</v>
      </c>
      <c r="N771" s="96">
        <v>275162.14</v>
      </c>
      <c r="O771" s="38">
        <v>0.6</v>
      </c>
      <c r="P771" s="39">
        <v>0.32</v>
      </c>
      <c r="Q771" s="39">
        <v>0.32</v>
      </c>
      <c r="R771" s="38">
        <v>0.25</v>
      </c>
      <c r="S771" s="40">
        <v>11</v>
      </c>
      <c r="T771" s="39">
        <v>0.32</v>
      </c>
      <c r="U771" s="39">
        <v>0.34</v>
      </c>
      <c r="V771" s="39">
        <v>0.36</v>
      </c>
      <c r="W771" s="52">
        <v>0.92269999999999996</v>
      </c>
      <c r="X771" s="39">
        <v>46.58</v>
      </c>
      <c r="Y771" s="41">
        <v>-83346.005583795501</v>
      </c>
      <c r="Z771" s="39">
        <v>-4241</v>
      </c>
      <c r="AA771" s="39">
        <v>-2.0333146134957998</v>
      </c>
    </row>
    <row r="772" spans="1:27" x14ac:dyDescent="0.25">
      <c r="A772" s="7" t="str">
        <f t="shared" si="12"/>
        <v>2719Providence St Joseph Medical Center127771060700 - 01277 - PSJMC NICU</v>
      </c>
      <c r="B772" s="7"/>
      <c r="C772" s="29" t="s">
        <v>924</v>
      </c>
      <c r="D772" s="29" t="s">
        <v>924</v>
      </c>
      <c r="E772" s="29" t="s">
        <v>924</v>
      </c>
      <c r="F772" s="29">
        <v>2719</v>
      </c>
      <c r="G772" s="4" t="s">
        <v>1084</v>
      </c>
      <c r="H772" s="5">
        <v>1277</v>
      </c>
      <c r="I772" s="4" t="s">
        <v>106</v>
      </c>
      <c r="J772" s="4" t="s">
        <v>23</v>
      </c>
      <c r="K772" s="4" t="s">
        <v>1094</v>
      </c>
      <c r="L772" s="4" t="s">
        <v>107</v>
      </c>
      <c r="M772" s="39">
        <v>4990</v>
      </c>
      <c r="N772" s="39">
        <v>3903</v>
      </c>
      <c r="O772" s="38">
        <v>0.45450000000000002</v>
      </c>
      <c r="P772" s="39">
        <v>14.72</v>
      </c>
      <c r="Q772" s="39">
        <v>14.27</v>
      </c>
      <c r="R772" s="38">
        <v>0.2727</v>
      </c>
      <c r="S772" s="40">
        <v>12</v>
      </c>
      <c r="T772" s="39">
        <v>13.97</v>
      </c>
      <c r="U772" s="39">
        <v>15.89</v>
      </c>
      <c r="V772" s="39">
        <v>16.829999999999998</v>
      </c>
      <c r="W772" s="52">
        <v>0.86639999999999995</v>
      </c>
      <c r="X772" s="39">
        <v>30.91</v>
      </c>
      <c r="Y772" s="41">
        <v>-355816.914976108</v>
      </c>
      <c r="Z772" s="39">
        <v>-7113</v>
      </c>
      <c r="AA772" s="39">
        <v>-3.4103860027197501</v>
      </c>
    </row>
    <row r="773" spans="1:27" x14ac:dyDescent="0.25">
      <c r="A773" s="7" t="str">
        <f t="shared" si="12"/>
        <v>2719Providence St Joseph Medical Center231071072910 - 02310 - Home Health 71072910 to 71072980 (U)</v>
      </c>
      <c r="B773" s="7"/>
      <c r="C773" s="29" t="s">
        <v>924</v>
      </c>
      <c r="D773" s="29" t="s">
        <v>924</v>
      </c>
      <c r="E773" s="29" t="s">
        <v>924</v>
      </c>
      <c r="F773" s="29">
        <v>2719</v>
      </c>
      <c r="G773" s="4" t="s">
        <v>1084</v>
      </c>
      <c r="H773" s="5">
        <v>2310</v>
      </c>
      <c r="I773" s="4" t="s">
        <v>149</v>
      </c>
      <c r="J773" s="4" t="s">
        <v>150</v>
      </c>
      <c r="K773" s="4" t="s">
        <v>1095</v>
      </c>
      <c r="L773" s="4" t="s">
        <v>151</v>
      </c>
      <c r="M773" s="39">
        <v>39447</v>
      </c>
      <c r="N773" s="39">
        <v>39744</v>
      </c>
      <c r="O773" s="38">
        <v>0.42849999999999999</v>
      </c>
      <c r="P773" s="39">
        <v>2.16</v>
      </c>
      <c r="Q773" s="39">
        <v>2.15</v>
      </c>
      <c r="R773" s="38">
        <v>0.33839999999999998</v>
      </c>
      <c r="S773" s="40">
        <v>13</v>
      </c>
      <c r="T773" s="39">
        <v>2.09</v>
      </c>
      <c r="U773" s="39">
        <v>2.19</v>
      </c>
      <c r="V773" s="39">
        <v>2.48</v>
      </c>
      <c r="W773" s="52">
        <v>0.90129999999999999</v>
      </c>
      <c r="X773" s="39">
        <v>45.53</v>
      </c>
      <c r="Y773" s="41">
        <v>-69662.1480319806</v>
      </c>
      <c r="Z773" s="39">
        <v>-1609</v>
      </c>
      <c r="AA773" s="39">
        <v>-0.77143773670780302</v>
      </c>
    </row>
    <row r="774" spans="1:27" x14ac:dyDescent="0.25">
      <c r="A774" s="7" t="str">
        <f t="shared" si="12"/>
        <v>2719Providence St Joseph Medical Center641071087560 - 06410 - PSJMC EPIDEMIOLOGY</v>
      </c>
      <c r="B774" s="7"/>
      <c r="C774" s="29" t="s">
        <v>924</v>
      </c>
      <c r="D774" s="29" t="s">
        <v>924</v>
      </c>
      <c r="E774" s="29" t="s">
        <v>924</v>
      </c>
      <c r="F774" s="29">
        <v>2719</v>
      </c>
      <c r="G774" s="4" t="s">
        <v>1084</v>
      </c>
      <c r="H774" s="5">
        <v>6410</v>
      </c>
      <c r="I774" s="4" t="s">
        <v>29</v>
      </c>
      <c r="J774" s="4" t="s">
        <v>30</v>
      </c>
      <c r="K774" s="4" t="s">
        <v>1097</v>
      </c>
      <c r="L774" s="4" t="s">
        <v>31</v>
      </c>
      <c r="M774" s="39">
        <v>195</v>
      </c>
      <c r="N774" s="39">
        <v>234</v>
      </c>
      <c r="O774" s="38">
        <v>0.75</v>
      </c>
      <c r="P774" s="39">
        <v>23.26</v>
      </c>
      <c r="Q774" s="39">
        <v>23.39</v>
      </c>
      <c r="R774" s="38">
        <v>0.41670000000000001</v>
      </c>
      <c r="S774" s="40">
        <v>13</v>
      </c>
      <c r="T774" s="39">
        <v>21.03</v>
      </c>
      <c r="U774" s="39">
        <v>22.86</v>
      </c>
      <c r="V774" s="39">
        <v>24.84</v>
      </c>
      <c r="W774" s="52">
        <v>0.89390000000000003</v>
      </c>
      <c r="X774" s="39">
        <v>2.94</v>
      </c>
      <c r="Y774" s="41">
        <v>7898.6599638071602</v>
      </c>
      <c r="Z774" s="39">
        <v>148</v>
      </c>
      <c r="AA774" s="39">
        <v>7.0862874845212698E-2</v>
      </c>
    </row>
    <row r="775" spans="1:27" x14ac:dyDescent="0.25">
      <c r="A775" s="7" t="str">
        <f t="shared" si="12"/>
        <v>2719Providence St Joseph Medical Center581071083600 - 05810 - PSJMC CLINICAL SOCIAL WORK</v>
      </c>
      <c r="B775" s="7"/>
      <c r="C775" s="29" t="s">
        <v>924</v>
      </c>
      <c r="D775" s="29" t="s">
        <v>924</v>
      </c>
      <c r="E775" s="29" t="s">
        <v>924</v>
      </c>
      <c r="F775" s="29">
        <v>2719</v>
      </c>
      <c r="G775" s="4" t="s">
        <v>1084</v>
      </c>
      <c r="H775" s="5">
        <v>5810</v>
      </c>
      <c r="I775" s="4" t="s">
        <v>133</v>
      </c>
      <c r="J775" s="4" t="s">
        <v>26</v>
      </c>
      <c r="K775" s="4" t="s">
        <v>1096</v>
      </c>
      <c r="L775" s="4" t="s">
        <v>134</v>
      </c>
      <c r="M775" s="39">
        <v>6024</v>
      </c>
      <c r="N775" s="39">
        <v>6758</v>
      </c>
      <c r="O775" s="38">
        <v>0.58330000000000004</v>
      </c>
      <c r="P775" s="39">
        <v>2.79</v>
      </c>
      <c r="Q775" s="39">
        <v>2.69</v>
      </c>
      <c r="R775" s="38">
        <v>0.75</v>
      </c>
      <c r="S775" s="40">
        <v>13</v>
      </c>
      <c r="T775" s="39">
        <v>2</v>
      </c>
      <c r="U775" s="39">
        <v>2.23</v>
      </c>
      <c r="V775" s="39">
        <v>2.44</v>
      </c>
      <c r="W775" s="52">
        <v>0.88480000000000003</v>
      </c>
      <c r="X775" s="39">
        <v>9.89</v>
      </c>
      <c r="Y775" s="41">
        <v>134683.26720571</v>
      </c>
      <c r="Z775" s="39">
        <v>3595</v>
      </c>
      <c r="AA775" s="39">
        <v>1.7236856130712199</v>
      </c>
    </row>
    <row r="776" spans="1:27" x14ac:dyDescent="0.25">
      <c r="A776" s="7" t="str">
        <f t="shared" si="12"/>
        <v>2719Providence St Joseph Medical Center201071070100 - 02010 - PSJMC EMERGENCY DEPARTMENT</v>
      </c>
      <c r="B776" s="7"/>
      <c r="C776" s="29" t="s">
        <v>924</v>
      </c>
      <c r="D776" s="29" t="s">
        <v>924</v>
      </c>
      <c r="E776" s="29" t="s">
        <v>924</v>
      </c>
      <c r="F776" s="29">
        <v>2719</v>
      </c>
      <c r="G776" s="4" t="s">
        <v>1084</v>
      </c>
      <c r="H776" s="5">
        <v>2010</v>
      </c>
      <c r="I776" s="4" t="s">
        <v>75</v>
      </c>
      <c r="J776" s="4" t="s">
        <v>76</v>
      </c>
      <c r="K776" s="4" t="s">
        <v>1098</v>
      </c>
      <c r="L776" s="4" t="s">
        <v>77</v>
      </c>
      <c r="M776" s="39">
        <v>63762</v>
      </c>
      <c r="N776" s="39">
        <v>65696</v>
      </c>
      <c r="O776" s="38">
        <v>0.46150000000000002</v>
      </c>
      <c r="P776" s="39">
        <v>2.35</v>
      </c>
      <c r="Q776" s="39">
        <v>2.41</v>
      </c>
      <c r="R776" s="38">
        <v>0.23080000000000001</v>
      </c>
      <c r="S776" s="40">
        <v>14</v>
      </c>
      <c r="T776" s="39">
        <v>2.44</v>
      </c>
      <c r="U776" s="39">
        <v>2.7</v>
      </c>
      <c r="V776" s="39">
        <v>2.91</v>
      </c>
      <c r="W776" s="52">
        <v>0.9163</v>
      </c>
      <c r="X776" s="39">
        <v>82.92</v>
      </c>
      <c r="Y776" s="41">
        <v>-1000762.34793525</v>
      </c>
      <c r="Z776" s="39">
        <v>-20636</v>
      </c>
      <c r="AA776" s="39">
        <v>-9.89393039460683</v>
      </c>
    </row>
    <row r="777" spans="1:27" x14ac:dyDescent="0.25">
      <c r="A777" s="7" t="str">
        <f t="shared" si="12"/>
        <v>2719Providence St Joseph Medical Center625071073150 - 06250- PSJMC DIABETES EDUCATION</v>
      </c>
      <c r="B777" s="7"/>
      <c r="C777" s="29" t="s">
        <v>924</v>
      </c>
      <c r="D777" s="29" t="s">
        <v>924</v>
      </c>
      <c r="E777" s="29" t="s">
        <v>924</v>
      </c>
      <c r="F777" s="29">
        <v>2719</v>
      </c>
      <c r="G777" s="4" t="s">
        <v>1084</v>
      </c>
      <c r="H777" s="5">
        <v>6250</v>
      </c>
      <c r="I777" s="4" t="s">
        <v>156</v>
      </c>
      <c r="J777" s="4" t="s">
        <v>21</v>
      </c>
      <c r="K777" s="4" t="s">
        <v>1099</v>
      </c>
      <c r="L777" s="4" t="s">
        <v>157</v>
      </c>
      <c r="M777" s="39">
        <v>1716</v>
      </c>
      <c r="N777" s="39">
        <v>2704</v>
      </c>
      <c r="O777" s="38">
        <v>0.84619999999999995</v>
      </c>
      <c r="P777" s="39">
        <v>3.53</v>
      </c>
      <c r="Q777" s="39">
        <v>2.62</v>
      </c>
      <c r="R777" s="38">
        <v>0.42859999999999998</v>
      </c>
      <c r="S777" s="40">
        <v>14</v>
      </c>
      <c r="T777" s="39">
        <v>2.21</v>
      </c>
      <c r="U777" s="39">
        <v>2.58</v>
      </c>
      <c r="V777" s="39">
        <v>2.76</v>
      </c>
      <c r="W777" s="52">
        <v>0.92949999999999999</v>
      </c>
      <c r="X777" s="39">
        <v>3.66</v>
      </c>
      <c r="Y777" s="41">
        <v>6123.7120818743497</v>
      </c>
      <c r="Z777" s="39">
        <v>128</v>
      </c>
      <c r="AA777" s="39">
        <v>6.1469748547467798E-2</v>
      </c>
    </row>
    <row r="778" spans="1:27" x14ac:dyDescent="0.25">
      <c r="A778" s="7" t="str">
        <f t="shared" si="12"/>
        <v>2719Providence St Joseph Medical Center341171076300 - 03411 - PSJMC RADIOLOGY DIAGNOSTIC</v>
      </c>
      <c r="B778" s="7"/>
      <c r="C778" s="29" t="s">
        <v>924</v>
      </c>
      <c r="D778" s="29" t="s">
        <v>924</v>
      </c>
      <c r="E778" s="29" t="s">
        <v>924</v>
      </c>
      <c r="F778" s="29">
        <v>2719</v>
      </c>
      <c r="G778" s="4" t="s">
        <v>1084</v>
      </c>
      <c r="H778" s="5">
        <v>3411</v>
      </c>
      <c r="I778" s="4" t="s">
        <v>117</v>
      </c>
      <c r="J778" s="4" t="s">
        <v>57</v>
      </c>
      <c r="K778" s="4" t="s">
        <v>1101</v>
      </c>
      <c r="L778" s="4" t="s">
        <v>99</v>
      </c>
      <c r="M778" s="39">
        <v>64022</v>
      </c>
      <c r="N778" s="39">
        <v>62441.32</v>
      </c>
      <c r="O778" s="38">
        <v>0.61539999999999995</v>
      </c>
      <c r="P778" s="39">
        <v>0.61</v>
      </c>
      <c r="Q778" s="39">
        <v>0.64</v>
      </c>
      <c r="R778" s="38">
        <v>0.46150000000000002</v>
      </c>
      <c r="S778" s="40">
        <v>14</v>
      </c>
      <c r="T778" s="39">
        <v>0.61</v>
      </c>
      <c r="U778" s="39">
        <v>0.63</v>
      </c>
      <c r="V778" s="39">
        <v>0.64</v>
      </c>
      <c r="W778" s="52">
        <v>0.90029999999999999</v>
      </c>
      <c r="X778" s="39">
        <v>21.19</v>
      </c>
      <c r="Y778" s="41">
        <v>19831.6233253719</v>
      </c>
      <c r="Z778" s="39">
        <v>502</v>
      </c>
      <c r="AA778" s="39">
        <v>0.24050620242821799</v>
      </c>
    </row>
    <row r="779" spans="1:27" x14ac:dyDescent="0.25">
      <c r="A779" s="7" t="str">
        <f t="shared" si="12"/>
        <v>2719Providence St Joseph Medical Center344071076320 - 03440 - PSJMC Breast Center</v>
      </c>
      <c r="B779" s="7"/>
      <c r="C779" s="29" t="s">
        <v>924</v>
      </c>
      <c r="D779" s="29" t="s">
        <v>924</v>
      </c>
      <c r="E779" s="29" t="s">
        <v>924</v>
      </c>
      <c r="F779" s="29">
        <v>2719</v>
      </c>
      <c r="G779" s="4" t="s">
        <v>1084</v>
      </c>
      <c r="H779" s="5">
        <v>3440</v>
      </c>
      <c r="I779" s="4" t="s">
        <v>119</v>
      </c>
      <c r="J779" s="4" t="s">
        <v>57</v>
      </c>
      <c r="K779" s="4" t="s">
        <v>1100</v>
      </c>
      <c r="L779" s="4" t="s">
        <v>99</v>
      </c>
      <c r="M779" s="39">
        <v>24530.55</v>
      </c>
      <c r="N779" s="39">
        <v>26515.75</v>
      </c>
      <c r="O779" s="38">
        <v>0.46150000000000002</v>
      </c>
      <c r="P779" s="39">
        <v>0.91</v>
      </c>
      <c r="Q779" s="39">
        <v>0.64</v>
      </c>
      <c r="R779" s="38">
        <v>0.72729999999999995</v>
      </c>
      <c r="S779" s="40">
        <v>14</v>
      </c>
      <c r="T779" s="39">
        <v>0.52</v>
      </c>
      <c r="U779" s="39">
        <v>0.55000000000000004</v>
      </c>
      <c r="V779" s="39">
        <v>0.56999999999999995</v>
      </c>
      <c r="W779" s="52">
        <v>0.85350000000000004</v>
      </c>
      <c r="X779" s="39">
        <v>9.52</v>
      </c>
      <c r="Y779" s="41">
        <v>129951.11252185301</v>
      </c>
      <c r="Z779" s="39">
        <v>2769</v>
      </c>
      <c r="AA779" s="39">
        <v>1.32759830821642</v>
      </c>
    </row>
    <row r="780" spans="1:27" x14ac:dyDescent="0.25">
      <c r="A780" s="7" t="str">
        <f t="shared" si="12"/>
        <v>2719Providence St Joseph Medical Center512071083300 - 05120 - PSJMC CAFETERIA (U)</v>
      </c>
      <c r="B780" s="7"/>
      <c r="C780" s="29" t="s">
        <v>924</v>
      </c>
      <c r="D780" s="29" t="s">
        <v>924</v>
      </c>
      <c r="E780" s="29" t="s">
        <v>924</v>
      </c>
      <c r="F780" s="29">
        <v>2719</v>
      </c>
      <c r="G780" s="4" t="s">
        <v>1084</v>
      </c>
      <c r="H780" s="5">
        <v>5120</v>
      </c>
      <c r="I780" s="4" t="s">
        <v>126</v>
      </c>
      <c r="J780" s="4" t="s">
        <v>65</v>
      </c>
      <c r="K780" s="4" t="s">
        <v>1102</v>
      </c>
      <c r="L780" s="4" t="s">
        <v>127</v>
      </c>
      <c r="M780" s="39">
        <v>724414.1</v>
      </c>
      <c r="N780" s="39">
        <v>721665.99</v>
      </c>
      <c r="O780" s="38">
        <v>0.71509999999999996</v>
      </c>
      <c r="P780" s="39">
        <v>0.05</v>
      </c>
      <c r="Q780" s="39">
        <v>0.06</v>
      </c>
      <c r="R780" s="38">
        <v>0.27089999999999997</v>
      </c>
      <c r="S780" s="40">
        <v>14</v>
      </c>
      <c r="T780" s="39">
        <v>0.05</v>
      </c>
      <c r="U780" s="39">
        <v>0.06</v>
      </c>
      <c r="V780" s="39">
        <v>7.0000000000000007E-2</v>
      </c>
      <c r="W780" s="52">
        <v>0.93759999999999999</v>
      </c>
      <c r="X780" s="39">
        <v>21.28</v>
      </c>
      <c r="Y780" s="41">
        <v>-33187.8217415775</v>
      </c>
      <c r="Z780" s="39">
        <v>-1798</v>
      </c>
      <c r="AA780" s="39">
        <v>-0.86206132822874104</v>
      </c>
    </row>
    <row r="781" spans="1:27" x14ac:dyDescent="0.25">
      <c r="A781" s="7" t="str">
        <f t="shared" si="12"/>
        <v>2719Providence St Joseph Medical Center3399Laboratory Services Administration (U,N)</v>
      </c>
      <c r="B781" s="7"/>
      <c r="C781" s="29" t="s">
        <v>924</v>
      </c>
      <c r="D781" s="29" t="s">
        <v>924</v>
      </c>
      <c r="E781" s="29" t="s">
        <v>924</v>
      </c>
      <c r="F781" s="29">
        <v>2719</v>
      </c>
      <c r="G781" s="4" t="s">
        <v>1084</v>
      </c>
      <c r="H781" s="5">
        <v>3399</v>
      </c>
      <c r="I781" s="4" t="s">
        <v>52</v>
      </c>
      <c r="J781" s="4" t="s">
        <v>53</v>
      </c>
      <c r="K781" s="4" t="s">
        <v>54</v>
      </c>
      <c r="L781" s="4" t="s">
        <v>55</v>
      </c>
      <c r="M781" s="39">
        <v>19661.78</v>
      </c>
      <c r="N781" s="39">
        <v>15148.57</v>
      </c>
      <c r="O781" s="38">
        <v>0.51070000000000004</v>
      </c>
      <c r="P781" s="39">
        <v>0.79</v>
      </c>
      <c r="Q781" s="39">
        <v>0.96</v>
      </c>
      <c r="R781" s="38">
        <v>0.1065</v>
      </c>
      <c r="S781" s="40">
        <v>15</v>
      </c>
      <c r="T781" s="39">
        <v>1.2</v>
      </c>
      <c r="U781" s="39">
        <v>1.36</v>
      </c>
      <c r="V781" s="39">
        <v>1.7</v>
      </c>
      <c r="W781" s="52">
        <v>0.89439999999999997</v>
      </c>
      <c r="X781" s="39">
        <v>7.83</v>
      </c>
      <c r="Y781" s="41">
        <v>-277841.65866404498</v>
      </c>
      <c r="Z781" s="39">
        <v>-6703</v>
      </c>
      <c r="AA781" s="39">
        <v>-3.2140131423940401</v>
      </c>
    </row>
    <row r="782" spans="1:27" x14ac:dyDescent="0.25">
      <c r="A782" s="7" t="str">
        <f t="shared" si="12"/>
        <v>2719Providence St Joseph Medical Center338071075200 - 03380 - PSJMC LABORATORY ANATOMICAL</v>
      </c>
      <c r="B782" s="7"/>
      <c r="C782" s="29" t="s">
        <v>924</v>
      </c>
      <c r="D782" s="29" t="s">
        <v>924</v>
      </c>
      <c r="E782" s="29" t="s">
        <v>924</v>
      </c>
      <c r="F782" s="29">
        <v>2719</v>
      </c>
      <c r="G782" s="4" t="s">
        <v>1084</v>
      </c>
      <c r="H782" s="5">
        <v>3380</v>
      </c>
      <c r="I782" s="4" t="s">
        <v>95</v>
      </c>
      <c r="J782" s="4" t="s">
        <v>53</v>
      </c>
      <c r="K782" s="4" t="s">
        <v>1103</v>
      </c>
      <c r="L782" s="4" t="s">
        <v>94</v>
      </c>
      <c r="M782" s="39">
        <v>980.33</v>
      </c>
      <c r="N782" s="39">
        <v>865.51</v>
      </c>
      <c r="O782" s="38">
        <v>0.5</v>
      </c>
      <c r="P782" s="39">
        <v>23.4</v>
      </c>
      <c r="Q782" s="39">
        <v>32.729999999999997</v>
      </c>
      <c r="R782" s="38">
        <v>0.30769999999999997</v>
      </c>
      <c r="S782" s="40">
        <v>15</v>
      </c>
      <c r="T782" s="39">
        <v>31.19</v>
      </c>
      <c r="U782" s="39">
        <v>32.93</v>
      </c>
      <c r="V782" s="39">
        <v>34.15</v>
      </c>
      <c r="W782" s="52">
        <v>0.87029999999999996</v>
      </c>
      <c r="X782" s="39">
        <v>15.65</v>
      </c>
      <c r="Y782" s="41">
        <v>-4042.9444896940799</v>
      </c>
      <c r="Z782" s="39">
        <v>-108</v>
      </c>
      <c r="AA782" s="39">
        <v>-5.1566977170054401E-2</v>
      </c>
    </row>
    <row r="783" spans="1:27" x14ac:dyDescent="0.25">
      <c r="A783" s="7" t="str">
        <f t="shared" si="12"/>
        <v>2719Providence St Joseph Medical Center307071083810 - 03070 - PSJMC STERILE PROCESSING</v>
      </c>
      <c r="B783" s="7"/>
      <c r="C783" s="29" t="s">
        <v>924</v>
      </c>
      <c r="D783" s="29" t="s">
        <v>924</v>
      </c>
      <c r="E783" s="29" t="s">
        <v>924</v>
      </c>
      <c r="F783" s="29">
        <v>2719</v>
      </c>
      <c r="G783" s="4" t="s">
        <v>1084</v>
      </c>
      <c r="H783" s="5">
        <v>3070</v>
      </c>
      <c r="I783" s="4" t="s">
        <v>91</v>
      </c>
      <c r="J783" s="4" t="s">
        <v>47</v>
      </c>
      <c r="K783" s="4" t="s">
        <v>1104</v>
      </c>
      <c r="L783" s="4" t="s">
        <v>92</v>
      </c>
      <c r="M783" s="39">
        <v>935.71</v>
      </c>
      <c r="N783" s="39">
        <v>1382.33</v>
      </c>
      <c r="O783" s="38">
        <v>0.57140000000000002</v>
      </c>
      <c r="P783" s="39">
        <v>23.84</v>
      </c>
      <c r="Q783" s="39">
        <v>17.3</v>
      </c>
      <c r="R783" s="38">
        <v>0.35709999999999997</v>
      </c>
      <c r="S783" s="40">
        <v>15</v>
      </c>
      <c r="T783" s="39">
        <v>15.91</v>
      </c>
      <c r="U783" s="39">
        <v>17.170000000000002</v>
      </c>
      <c r="V783" s="39">
        <v>21.16</v>
      </c>
      <c r="W783" s="52">
        <v>0.90380000000000005</v>
      </c>
      <c r="X783" s="39">
        <v>12.72</v>
      </c>
      <c r="Y783" s="41">
        <v>5897.7639663768596</v>
      </c>
      <c r="Z783" s="39">
        <v>269</v>
      </c>
      <c r="AA783" s="39">
        <v>0.12906881232355599</v>
      </c>
    </row>
    <row r="784" spans="1:27" x14ac:dyDescent="0.25">
      <c r="A784" s="7" t="str">
        <f t="shared" si="12"/>
        <v>2719Providence St Joseph Medical Center625071087700 - 06250 - PSJMC MATERNAL CHILD EDUC</v>
      </c>
      <c r="B784" s="7"/>
      <c r="C784" s="29" t="s">
        <v>924</v>
      </c>
      <c r="D784" s="29" t="s">
        <v>924</v>
      </c>
      <c r="E784" s="29" t="s">
        <v>924</v>
      </c>
      <c r="F784" s="29">
        <v>2719</v>
      </c>
      <c r="G784" s="4" t="s">
        <v>1084</v>
      </c>
      <c r="H784" s="5">
        <v>6250</v>
      </c>
      <c r="I784" s="4" t="s">
        <v>156</v>
      </c>
      <c r="J784" s="4" t="s">
        <v>21</v>
      </c>
      <c r="K784" s="4" t="s">
        <v>1105</v>
      </c>
      <c r="L784" s="4" t="s">
        <v>157</v>
      </c>
      <c r="M784" s="39">
        <v>7312</v>
      </c>
      <c r="N784" s="39">
        <v>3036</v>
      </c>
      <c r="O784" s="38">
        <v>1</v>
      </c>
      <c r="P784" s="39">
        <v>1.02</v>
      </c>
      <c r="Q784" s="39">
        <v>3.18</v>
      </c>
      <c r="R784" s="38">
        <v>0.53849999999999998</v>
      </c>
      <c r="S784" s="40">
        <v>15</v>
      </c>
      <c r="T784" s="39">
        <v>2.59</v>
      </c>
      <c r="U784" s="39">
        <v>2.69</v>
      </c>
      <c r="V784" s="39">
        <v>3.05</v>
      </c>
      <c r="W784" s="52">
        <v>0.91520000000000001</v>
      </c>
      <c r="X784" s="39">
        <v>5.08</v>
      </c>
      <c r="Y784" s="41">
        <v>60939.283164017397</v>
      </c>
      <c r="Z784" s="39">
        <v>1672</v>
      </c>
      <c r="AA784" s="39">
        <v>0.80155262391154503</v>
      </c>
    </row>
    <row r="785" spans="1:27" x14ac:dyDescent="0.25">
      <c r="A785" s="7" t="str">
        <f t="shared" si="12"/>
        <v>2719Providence St Joseph Medical Center431071076200 - 04310 - PSJMC NEURODIAGNOSTICS</v>
      </c>
      <c r="B785" s="7"/>
      <c r="C785" s="29" t="s">
        <v>924</v>
      </c>
      <c r="D785" s="29" t="s">
        <v>924</v>
      </c>
      <c r="E785" s="29" t="s">
        <v>924</v>
      </c>
      <c r="F785" s="29">
        <v>2719</v>
      </c>
      <c r="G785" s="4" t="s">
        <v>1084</v>
      </c>
      <c r="H785" s="5">
        <v>4310</v>
      </c>
      <c r="I785" s="4" t="s">
        <v>115</v>
      </c>
      <c r="J785" s="4" t="s">
        <v>116</v>
      </c>
      <c r="K785" s="4" t="s">
        <v>1107</v>
      </c>
      <c r="L785" s="4" t="s">
        <v>99</v>
      </c>
      <c r="M785" s="39">
        <v>3492.16</v>
      </c>
      <c r="N785" s="39">
        <v>3342.59</v>
      </c>
      <c r="O785" s="38">
        <v>0.57140000000000002</v>
      </c>
      <c r="P785" s="39">
        <v>1.29</v>
      </c>
      <c r="Q785" s="39">
        <v>1.35</v>
      </c>
      <c r="R785" s="38">
        <v>0.78569999999999995</v>
      </c>
      <c r="S785" s="40">
        <v>15</v>
      </c>
      <c r="T785" s="39">
        <v>0.68</v>
      </c>
      <c r="U785" s="39">
        <v>0.85</v>
      </c>
      <c r="V785" s="39">
        <v>0.89</v>
      </c>
      <c r="W785" s="52">
        <v>0.87329999999999997</v>
      </c>
      <c r="X785" s="39">
        <v>2.4900000000000002</v>
      </c>
      <c r="Y785" s="41">
        <v>83001.003844420193</v>
      </c>
      <c r="Z785" s="39">
        <v>1940</v>
      </c>
      <c r="AA785" s="39">
        <v>0.93013600412521502</v>
      </c>
    </row>
    <row r="786" spans="1:27" x14ac:dyDescent="0.25">
      <c r="A786" s="7" t="str">
        <f t="shared" si="12"/>
        <v>2719Providence St Joseph Medical Center343071076600 - 03430 - PSJMC MAGNETIC RESONANCE IMAG (inlc BMP)</v>
      </c>
      <c r="B786" s="7"/>
      <c r="C786" s="29" t="s">
        <v>924</v>
      </c>
      <c r="D786" s="29" t="s">
        <v>924</v>
      </c>
      <c r="E786" s="29" t="s">
        <v>924</v>
      </c>
      <c r="F786" s="29">
        <v>2719</v>
      </c>
      <c r="G786" s="4" t="s">
        <v>1084</v>
      </c>
      <c r="H786" s="5">
        <v>3430</v>
      </c>
      <c r="I786" s="4" t="s">
        <v>121</v>
      </c>
      <c r="J786" s="4" t="s">
        <v>57</v>
      </c>
      <c r="K786" s="4" t="s">
        <v>1106</v>
      </c>
      <c r="L786" s="4" t="s">
        <v>99</v>
      </c>
      <c r="M786" s="39">
        <v>30392.16</v>
      </c>
      <c r="N786" s="39">
        <v>30696.14</v>
      </c>
      <c r="O786" s="38">
        <v>0.57140000000000002</v>
      </c>
      <c r="P786" s="39">
        <v>0.43</v>
      </c>
      <c r="Q786" s="39">
        <v>0.49</v>
      </c>
      <c r="R786" s="38">
        <v>0.85709999999999997</v>
      </c>
      <c r="S786" s="40">
        <v>15</v>
      </c>
      <c r="T786" s="39">
        <v>0.27</v>
      </c>
      <c r="U786" s="39">
        <v>0.3</v>
      </c>
      <c r="V786" s="39">
        <v>0.3</v>
      </c>
      <c r="W786" s="52">
        <v>0.90069999999999995</v>
      </c>
      <c r="X786" s="39">
        <v>8.02</v>
      </c>
      <c r="Y786" s="41">
        <v>283168.938706532</v>
      </c>
      <c r="Z786" s="39">
        <v>6503</v>
      </c>
      <c r="AA786" s="39">
        <v>3.1180032636072998</v>
      </c>
    </row>
    <row r="787" spans="1:27" x14ac:dyDescent="0.25">
      <c r="A787" s="7" t="str">
        <f t="shared" si="12"/>
        <v>2719Providence St Joseph Medical Center426071078710 - 04260 - PSJMC VASCULAR DIAGNOSTIC CTR</v>
      </c>
      <c r="B787" s="7"/>
      <c r="C787" s="29" t="s">
        <v>924</v>
      </c>
      <c r="D787" s="29" t="s">
        <v>924</v>
      </c>
      <c r="E787" s="29" t="s">
        <v>924</v>
      </c>
      <c r="F787" s="29">
        <v>2719</v>
      </c>
      <c r="G787" s="4" t="s">
        <v>1084</v>
      </c>
      <c r="H787" s="5">
        <v>4260</v>
      </c>
      <c r="I787" s="4" t="s">
        <v>158</v>
      </c>
      <c r="J787" s="4" t="s">
        <v>60</v>
      </c>
      <c r="K787" s="4" t="s">
        <v>1111</v>
      </c>
      <c r="L787" s="4" t="s">
        <v>99</v>
      </c>
      <c r="M787" s="39">
        <v>10232.86</v>
      </c>
      <c r="N787" s="39">
        <v>10301.48</v>
      </c>
      <c r="O787" s="38">
        <v>0.5333</v>
      </c>
      <c r="P787" s="39">
        <v>0.68</v>
      </c>
      <c r="Q787" s="39">
        <v>0.55000000000000004</v>
      </c>
      <c r="R787" s="38">
        <v>0.1333</v>
      </c>
      <c r="S787" s="40">
        <v>16</v>
      </c>
      <c r="T787" s="39">
        <v>0.56000000000000005</v>
      </c>
      <c r="U787" s="39">
        <v>0.61</v>
      </c>
      <c r="V787" s="39">
        <v>0.67</v>
      </c>
      <c r="W787" s="52">
        <v>0.93189999999999995</v>
      </c>
      <c r="X787" s="39">
        <v>2.91</v>
      </c>
      <c r="Y787" s="41">
        <v>-38763.6823904794</v>
      </c>
      <c r="Z787" s="39">
        <v>-674</v>
      </c>
      <c r="AA787" s="39">
        <v>-0.323019364259097</v>
      </c>
    </row>
    <row r="788" spans="1:27" x14ac:dyDescent="0.25">
      <c r="A788" s="7" t="str">
        <f t="shared" si="12"/>
        <v>2719Providence St Joseph Medical Center5111PSJMC Nutritonal Therapy (U,N)</v>
      </c>
      <c r="B788" s="7"/>
      <c r="C788" s="29" t="s">
        <v>924</v>
      </c>
      <c r="D788" s="29" t="s">
        <v>924</v>
      </c>
      <c r="E788" s="29" t="s">
        <v>924</v>
      </c>
      <c r="F788" s="29">
        <v>2719</v>
      </c>
      <c r="G788" s="4" t="s">
        <v>1084</v>
      </c>
      <c r="H788" s="5">
        <v>5111</v>
      </c>
      <c r="I788" s="4" t="s">
        <v>64</v>
      </c>
      <c r="J788" s="4" t="s">
        <v>65</v>
      </c>
      <c r="K788" s="4" t="s">
        <v>1110</v>
      </c>
      <c r="L788" s="4" t="s">
        <v>67</v>
      </c>
      <c r="M788" s="39">
        <v>46973</v>
      </c>
      <c r="N788" s="39">
        <v>60991</v>
      </c>
      <c r="O788" s="38">
        <v>0.58260000000000001</v>
      </c>
      <c r="P788" s="39">
        <v>0.39</v>
      </c>
      <c r="Q788" s="39">
        <v>0.32</v>
      </c>
      <c r="R788" s="38">
        <v>0.39929999999999999</v>
      </c>
      <c r="S788" s="40">
        <v>16</v>
      </c>
      <c r="T788" s="39">
        <v>0.27</v>
      </c>
      <c r="U788" s="39">
        <v>0.28999999999999998</v>
      </c>
      <c r="V788" s="39">
        <v>0.35</v>
      </c>
      <c r="W788" s="52">
        <v>0.88739999999999997</v>
      </c>
      <c r="X788" s="39">
        <v>10.6</v>
      </c>
      <c r="Y788" s="41">
        <v>73303.571417451196</v>
      </c>
      <c r="Z788" s="39">
        <v>2177</v>
      </c>
      <c r="AA788" s="39">
        <v>1.0436403383011801</v>
      </c>
    </row>
    <row r="789" spans="1:27" x14ac:dyDescent="0.25">
      <c r="A789" s="7" t="str">
        <f t="shared" si="12"/>
        <v>2719Providence St Joseph Medical Center191071087200 - 01910 - PSJMC NURSING ADMINISTRATION</v>
      </c>
      <c r="B789" s="7"/>
      <c r="C789" s="29" t="s">
        <v>924</v>
      </c>
      <c r="D789" s="29" t="s">
        <v>924</v>
      </c>
      <c r="E789" s="29" t="s">
        <v>924</v>
      </c>
      <c r="F789" s="29">
        <v>2719</v>
      </c>
      <c r="G789" s="4" t="s">
        <v>1084</v>
      </c>
      <c r="H789" s="5">
        <v>1910</v>
      </c>
      <c r="I789" s="4" t="s">
        <v>34</v>
      </c>
      <c r="J789" s="4" t="s">
        <v>23</v>
      </c>
      <c r="K789" s="4" t="s">
        <v>1115</v>
      </c>
      <c r="L789" s="4" t="s">
        <v>35</v>
      </c>
      <c r="M789" s="7"/>
      <c r="N789" s="39">
        <v>846</v>
      </c>
      <c r="O789" s="38">
        <v>0.6</v>
      </c>
      <c r="P789" s="39">
        <v>77.44</v>
      </c>
      <c r="Q789" s="39">
        <v>95.71</v>
      </c>
      <c r="R789" s="38">
        <v>0.57140000000000002</v>
      </c>
      <c r="S789" s="40">
        <v>16</v>
      </c>
      <c r="T789" s="39">
        <v>50.26</v>
      </c>
      <c r="U789" s="39">
        <v>63.86</v>
      </c>
      <c r="V789" s="39">
        <v>76.680000000000007</v>
      </c>
      <c r="W789" s="52">
        <v>0.89970000000000006</v>
      </c>
      <c r="X789" s="39">
        <v>30.44</v>
      </c>
      <c r="Y789" s="41">
        <v>187080.026025153</v>
      </c>
      <c r="Z789" s="39">
        <v>3440</v>
      </c>
      <c r="AA789" s="39">
        <v>1.6494662997013401</v>
      </c>
    </row>
    <row r="790" spans="1:27" x14ac:dyDescent="0.25">
      <c r="A790" s="7" t="str">
        <f t="shared" si="12"/>
        <v>2719Providence St Joseph Medical Center412071077300 - 04120 - PSJMC PULMONARY FUNCTION</v>
      </c>
      <c r="B790" s="7"/>
      <c r="C790" s="29" t="s">
        <v>924</v>
      </c>
      <c r="D790" s="29" t="s">
        <v>924</v>
      </c>
      <c r="E790" s="29" t="s">
        <v>924</v>
      </c>
      <c r="F790" s="29">
        <v>2719</v>
      </c>
      <c r="G790" s="4" t="s">
        <v>1084</v>
      </c>
      <c r="H790" s="5">
        <v>4120</v>
      </c>
      <c r="I790" s="4" t="s">
        <v>1112</v>
      </c>
      <c r="J790" s="4" t="s">
        <v>44</v>
      </c>
      <c r="K790" s="4" t="s">
        <v>1113</v>
      </c>
      <c r="L790" s="4" t="s">
        <v>45</v>
      </c>
      <c r="M790" s="39">
        <v>24808.68</v>
      </c>
      <c r="N790" s="39">
        <v>26958.720000000001</v>
      </c>
      <c r="O790" s="38">
        <v>0.4667</v>
      </c>
      <c r="P790" s="39">
        <v>0.44</v>
      </c>
      <c r="Q790" s="39">
        <v>0.3</v>
      </c>
      <c r="R790" s="38">
        <v>1</v>
      </c>
      <c r="S790" s="40">
        <v>16</v>
      </c>
      <c r="T790" s="39">
        <v>0.16</v>
      </c>
      <c r="U790" s="39">
        <v>0.17</v>
      </c>
      <c r="V790" s="39">
        <v>0.19</v>
      </c>
      <c r="W790" s="52">
        <v>0.92579999999999996</v>
      </c>
      <c r="X790" s="39">
        <v>4.17</v>
      </c>
      <c r="Y790" s="41">
        <v>148780.76760513301</v>
      </c>
      <c r="Z790" s="39">
        <v>3747</v>
      </c>
      <c r="AA790" s="39">
        <v>1.79655500215009</v>
      </c>
    </row>
    <row r="791" spans="1:27" x14ac:dyDescent="0.25">
      <c r="A791" s="7" t="str">
        <f t="shared" si="12"/>
        <v>2719Providence St Joseph Medical Center335071075000 - 03350 - PSJMC LABORATORY CLINICAL</v>
      </c>
      <c r="B791" s="7"/>
      <c r="C791" s="29" t="s">
        <v>924</v>
      </c>
      <c r="D791" s="29" t="s">
        <v>924</v>
      </c>
      <c r="E791" s="29" t="s">
        <v>924</v>
      </c>
      <c r="F791" s="29">
        <v>2719</v>
      </c>
      <c r="G791" s="4" t="s">
        <v>1084</v>
      </c>
      <c r="H791" s="5">
        <v>3350</v>
      </c>
      <c r="I791" s="4" t="s">
        <v>93</v>
      </c>
      <c r="J791" s="4" t="s">
        <v>53</v>
      </c>
      <c r="K791" s="4" t="s">
        <v>1108</v>
      </c>
      <c r="L791" s="4" t="s">
        <v>94</v>
      </c>
      <c r="M791" s="39">
        <v>18681.45</v>
      </c>
      <c r="N791" s="39">
        <v>14283.06</v>
      </c>
      <c r="O791" s="38">
        <v>0.66669999999999996</v>
      </c>
      <c r="P791" s="39">
        <v>8.5</v>
      </c>
      <c r="Q791" s="39">
        <v>11.67</v>
      </c>
      <c r="R791" s="38">
        <v>0.4667</v>
      </c>
      <c r="S791" s="40">
        <v>16</v>
      </c>
      <c r="T791" s="39">
        <v>10.31</v>
      </c>
      <c r="U791" s="39">
        <v>11.22</v>
      </c>
      <c r="V791" s="39">
        <v>12.34</v>
      </c>
      <c r="W791" s="52">
        <v>0.90669999999999995</v>
      </c>
      <c r="X791" s="39">
        <v>88.41</v>
      </c>
      <c r="Y791" s="41">
        <v>284423.34935425402</v>
      </c>
      <c r="Z791" s="39">
        <v>7650</v>
      </c>
      <c r="AA791" s="39">
        <v>3.6680095547247502</v>
      </c>
    </row>
    <row r="792" spans="1:27" x14ac:dyDescent="0.25">
      <c r="A792" s="7" t="str">
        <f t="shared" si="12"/>
        <v>2719Providence St Joseph Medical Center123871061730 - 01238 - PSJMC 6 NE</v>
      </c>
      <c r="B792" s="7"/>
      <c r="C792" s="29" t="s">
        <v>924</v>
      </c>
      <c r="D792" s="29" t="s">
        <v>924</v>
      </c>
      <c r="E792" s="29" t="s">
        <v>924</v>
      </c>
      <c r="F792" s="29">
        <v>2719</v>
      </c>
      <c r="G792" s="4" t="s">
        <v>1084</v>
      </c>
      <c r="H792" s="5">
        <v>1238</v>
      </c>
      <c r="I792" s="4" t="s">
        <v>148</v>
      </c>
      <c r="J792" s="4" t="s">
        <v>23</v>
      </c>
      <c r="K792" s="4" t="s">
        <v>1109</v>
      </c>
      <c r="L792" s="4" t="s">
        <v>74</v>
      </c>
      <c r="M792" s="7"/>
      <c r="N792" s="39">
        <v>9341.5300000000007</v>
      </c>
      <c r="O792" s="38">
        <v>0.6</v>
      </c>
      <c r="P792" s="7"/>
      <c r="Q792" s="39">
        <v>11.24</v>
      </c>
      <c r="R792" s="38">
        <v>0.8</v>
      </c>
      <c r="S792" s="40">
        <v>16</v>
      </c>
      <c r="T792" s="39">
        <v>9.76</v>
      </c>
      <c r="U792" s="39">
        <v>10.1</v>
      </c>
      <c r="V792" s="39">
        <v>10.77</v>
      </c>
      <c r="W792" s="52">
        <v>0.88690000000000002</v>
      </c>
      <c r="X792" s="39">
        <v>56.91</v>
      </c>
      <c r="Y792" s="41">
        <v>560704.84469220403</v>
      </c>
      <c r="Z792" s="39">
        <v>12316</v>
      </c>
      <c r="AA792" s="39">
        <v>5.9049837100061602</v>
      </c>
    </row>
    <row r="793" spans="1:27" x14ac:dyDescent="0.25">
      <c r="A793" s="7" t="str">
        <f t="shared" si="12"/>
        <v>2719Providence St Joseph Medical Center342071076800 - 03420 - PSJMC C.A.T. SCAN</v>
      </c>
      <c r="B793" s="7"/>
      <c r="C793" s="29" t="s">
        <v>924</v>
      </c>
      <c r="D793" s="29" t="s">
        <v>924</v>
      </c>
      <c r="E793" s="29" t="s">
        <v>924</v>
      </c>
      <c r="F793" s="29">
        <v>2719</v>
      </c>
      <c r="G793" s="4" t="s">
        <v>1084</v>
      </c>
      <c r="H793" s="5">
        <v>3420</v>
      </c>
      <c r="I793" s="4" t="s">
        <v>123</v>
      </c>
      <c r="J793" s="4" t="s">
        <v>57</v>
      </c>
      <c r="K793" s="4" t="s">
        <v>1114</v>
      </c>
      <c r="L793" s="4" t="s">
        <v>99</v>
      </c>
      <c r="M793" s="39">
        <v>59888.23</v>
      </c>
      <c r="N793" s="39">
        <v>65809.33</v>
      </c>
      <c r="O793" s="38">
        <v>0.4375</v>
      </c>
      <c r="P793" s="39">
        <v>0.33</v>
      </c>
      <c r="Q793" s="39">
        <v>0.28999999999999998</v>
      </c>
      <c r="R793" s="38">
        <v>0.6875</v>
      </c>
      <c r="S793" s="40">
        <v>17</v>
      </c>
      <c r="T793" s="39">
        <v>0.24</v>
      </c>
      <c r="U793" s="39">
        <v>0.25</v>
      </c>
      <c r="V793" s="39">
        <v>0.26</v>
      </c>
      <c r="W793" s="52">
        <v>0.90290000000000004</v>
      </c>
      <c r="X793" s="39">
        <v>10.029999999999999</v>
      </c>
      <c r="Y793" s="41">
        <v>114091.722103904</v>
      </c>
      <c r="Z793" s="39">
        <v>2698</v>
      </c>
      <c r="AA793" s="39">
        <v>1.2935301231901799</v>
      </c>
    </row>
    <row r="794" spans="1:27" x14ac:dyDescent="0.25">
      <c r="A794" s="7" t="str">
        <f t="shared" si="12"/>
        <v>2719Providence St Joseph Medical Center111171061300 - 01111 - 71061300 3N (inlcudes 6 South)</v>
      </c>
      <c r="B794" s="7"/>
      <c r="C794" s="29" t="s">
        <v>924</v>
      </c>
      <c r="D794" s="29" t="s">
        <v>924</v>
      </c>
      <c r="E794" s="29" t="s">
        <v>924</v>
      </c>
      <c r="F794" s="29">
        <v>2719</v>
      </c>
      <c r="G794" s="4" t="s">
        <v>1084</v>
      </c>
      <c r="H794" s="5">
        <v>1111</v>
      </c>
      <c r="I794" s="4" t="s">
        <v>146</v>
      </c>
      <c r="J794" s="4" t="s">
        <v>23</v>
      </c>
      <c r="K794" s="4" t="s">
        <v>1116</v>
      </c>
      <c r="L794" s="4" t="s">
        <v>74</v>
      </c>
      <c r="M794" s="39">
        <v>10960</v>
      </c>
      <c r="N794" s="39">
        <v>11650.58</v>
      </c>
      <c r="O794" s="38">
        <v>0.88239999999999996</v>
      </c>
      <c r="P794" s="39">
        <v>12.18</v>
      </c>
      <c r="Q794" s="39">
        <v>12.06</v>
      </c>
      <c r="R794" s="38">
        <v>0.30769999999999997</v>
      </c>
      <c r="S794" s="40">
        <v>18</v>
      </c>
      <c r="T794" s="39">
        <v>11.76</v>
      </c>
      <c r="U794" s="39">
        <v>12.13</v>
      </c>
      <c r="V794" s="39">
        <v>12.32</v>
      </c>
      <c r="W794" s="52">
        <v>0.89339999999999997</v>
      </c>
      <c r="X794" s="39">
        <v>75.62</v>
      </c>
      <c r="Y794" s="41">
        <v>-18960.419213203899</v>
      </c>
      <c r="Z794" s="39">
        <v>-463</v>
      </c>
      <c r="AA794" s="39">
        <v>-0.222136361971252</v>
      </c>
    </row>
    <row r="795" spans="1:27" x14ac:dyDescent="0.25">
      <c r="A795" s="7" t="str">
        <f t="shared" si="12"/>
        <v>2719Providence St Joseph Medical Center422071076100 - 04220 - PSJMC ECG (U)</v>
      </c>
      <c r="B795" s="7"/>
      <c r="C795" s="29" t="s">
        <v>924</v>
      </c>
      <c r="D795" s="29" t="s">
        <v>924</v>
      </c>
      <c r="E795" s="29" t="s">
        <v>924</v>
      </c>
      <c r="F795" s="29">
        <v>2719</v>
      </c>
      <c r="G795" s="4" t="s">
        <v>1084</v>
      </c>
      <c r="H795" s="5">
        <v>4220</v>
      </c>
      <c r="I795" s="4" t="s">
        <v>98</v>
      </c>
      <c r="J795" s="4" t="s">
        <v>60</v>
      </c>
      <c r="K795" s="4" t="s">
        <v>1117</v>
      </c>
      <c r="L795" s="4" t="s">
        <v>99</v>
      </c>
      <c r="M795" s="39">
        <v>39744.92</v>
      </c>
      <c r="N795" s="39">
        <v>59735.44</v>
      </c>
      <c r="O795" s="38">
        <v>0.45850000000000002</v>
      </c>
      <c r="P795" s="39">
        <v>0.47</v>
      </c>
      <c r="Q795" s="39">
        <v>0.31</v>
      </c>
      <c r="R795" s="38">
        <v>0.60660000000000003</v>
      </c>
      <c r="S795" s="40">
        <v>18</v>
      </c>
      <c r="T795" s="39">
        <v>0.23</v>
      </c>
      <c r="U795" s="39">
        <v>0.26</v>
      </c>
      <c r="V795" s="39">
        <v>0.3</v>
      </c>
      <c r="W795" s="52">
        <v>0.87880000000000003</v>
      </c>
      <c r="X795" s="39">
        <v>10.029999999999999</v>
      </c>
      <c r="Y795" s="41">
        <v>122289.981912923</v>
      </c>
      <c r="Z795" s="39">
        <v>3246</v>
      </c>
      <c r="AA795" s="39">
        <v>1.55648650304851</v>
      </c>
    </row>
    <row r="796" spans="1:27" x14ac:dyDescent="0.25">
      <c r="A796" s="7" t="str">
        <f t="shared" si="12"/>
        <v>2719Providence St Joseph Medical Center301171074200 - 03011 - PSJMC SURGERY</v>
      </c>
      <c r="B796" s="7"/>
      <c r="C796" s="29" t="s">
        <v>924</v>
      </c>
      <c r="D796" s="29" t="s">
        <v>924</v>
      </c>
      <c r="E796" s="29" t="s">
        <v>924</v>
      </c>
      <c r="F796" s="29">
        <v>2719</v>
      </c>
      <c r="G796" s="4" t="s">
        <v>1084</v>
      </c>
      <c r="H796" s="5">
        <v>3011</v>
      </c>
      <c r="I796" s="4" t="s">
        <v>87</v>
      </c>
      <c r="J796" s="4" t="s">
        <v>47</v>
      </c>
      <c r="K796" s="4" t="s">
        <v>1119</v>
      </c>
      <c r="L796" s="4" t="s">
        <v>88</v>
      </c>
      <c r="M796" s="39">
        <v>10509</v>
      </c>
      <c r="N796" s="39">
        <v>10660.5</v>
      </c>
      <c r="O796" s="38">
        <v>0.55559999999999998</v>
      </c>
      <c r="P796" s="39">
        <v>11.73</v>
      </c>
      <c r="Q796" s="39">
        <v>12.22</v>
      </c>
      <c r="R796" s="38">
        <v>0.5</v>
      </c>
      <c r="S796" s="40">
        <v>19</v>
      </c>
      <c r="T796" s="39">
        <v>11.54</v>
      </c>
      <c r="U796" s="39">
        <v>11.97</v>
      </c>
      <c r="V796" s="39">
        <v>12.22</v>
      </c>
      <c r="W796" s="52">
        <v>0.87970000000000004</v>
      </c>
      <c r="X796" s="39">
        <v>71.209999999999994</v>
      </c>
      <c r="Y796" s="41">
        <v>131210.441302689</v>
      </c>
      <c r="Z796" s="39">
        <v>3466</v>
      </c>
      <c r="AA796" s="39">
        <v>1.6618964943944501</v>
      </c>
    </row>
    <row r="797" spans="1:27" x14ac:dyDescent="0.25">
      <c r="A797" s="7" t="str">
        <f t="shared" si="12"/>
        <v>2719Providence St Joseph Medical Center582571087400 - 05825 - PSJMC QUALTY IMPROVMNT OUTCMS</v>
      </c>
      <c r="B797" s="7"/>
      <c r="C797" s="29" t="s">
        <v>924</v>
      </c>
      <c r="D797" s="29" t="s">
        <v>924</v>
      </c>
      <c r="E797" s="29" t="s">
        <v>924</v>
      </c>
      <c r="F797" s="29">
        <v>2719</v>
      </c>
      <c r="G797" s="4" t="s">
        <v>1084</v>
      </c>
      <c r="H797" s="5">
        <v>5825</v>
      </c>
      <c r="I797" s="4" t="s">
        <v>25</v>
      </c>
      <c r="J797" s="4" t="s">
        <v>26</v>
      </c>
      <c r="K797" s="4" t="s">
        <v>1120</v>
      </c>
      <c r="L797" s="4" t="s">
        <v>27</v>
      </c>
      <c r="M797" s="39">
        <v>102290</v>
      </c>
      <c r="N797" s="39">
        <v>131932</v>
      </c>
      <c r="O797" s="38">
        <v>0.44440000000000002</v>
      </c>
      <c r="P797" s="39">
        <v>0.17</v>
      </c>
      <c r="Q797" s="39">
        <v>0.13</v>
      </c>
      <c r="R797" s="38">
        <v>1</v>
      </c>
      <c r="S797" s="40">
        <v>19</v>
      </c>
      <c r="T797" s="39">
        <v>0.08</v>
      </c>
      <c r="U797" s="39">
        <v>0.09</v>
      </c>
      <c r="V797" s="39">
        <v>0.09</v>
      </c>
      <c r="W797" s="52">
        <v>0.87839999999999996</v>
      </c>
      <c r="X797" s="39">
        <v>9.42</v>
      </c>
      <c r="Y797" s="41">
        <v>295295.41198709997</v>
      </c>
      <c r="Z797" s="39">
        <v>6130</v>
      </c>
      <c r="AA797" s="39">
        <v>2.9389035092200801</v>
      </c>
    </row>
    <row r="798" spans="1:27" x14ac:dyDescent="0.25">
      <c r="A798" s="7" t="str">
        <f t="shared" si="12"/>
        <v>2719Providence St Joseph Medical Center101371060100 - 01013 - PSJMC ICU</v>
      </c>
      <c r="B798" s="7"/>
      <c r="C798" s="29" t="s">
        <v>924</v>
      </c>
      <c r="D798" s="29" t="s">
        <v>924</v>
      </c>
      <c r="E798" s="29" t="s">
        <v>924</v>
      </c>
      <c r="F798" s="29">
        <v>2719</v>
      </c>
      <c r="G798" s="4" t="s">
        <v>1084</v>
      </c>
      <c r="H798" s="5">
        <v>1013</v>
      </c>
      <c r="I798" s="4" t="s">
        <v>73</v>
      </c>
      <c r="J798" s="4" t="s">
        <v>23</v>
      </c>
      <c r="K798" s="4" t="s">
        <v>1118</v>
      </c>
      <c r="L798" s="4" t="s">
        <v>74</v>
      </c>
      <c r="M798" s="39">
        <v>10416</v>
      </c>
      <c r="N798" s="39">
        <v>10269</v>
      </c>
      <c r="O798" s="7"/>
      <c r="P798" s="39">
        <v>20.18</v>
      </c>
      <c r="Q798" s="39">
        <v>20.32</v>
      </c>
      <c r="R798" s="38">
        <v>0.7</v>
      </c>
      <c r="S798" s="40">
        <v>19</v>
      </c>
      <c r="T798" s="39">
        <v>17.670000000000002</v>
      </c>
      <c r="U798" s="39">
        <v>17.940000000000001</v>
      </c>
      <c r="V798" s="39">
        <v>18.54</v>
      </c>
      <c r="W798" s="52">
        <v>0.88859999999999995</v>
      </c>
      <c r="X798" s="39">
        <v>112.88</v>
      </c>
      <c r="Y798" s="41">
        <v>1388477.11539221</v>
      </c>
      <c r="Z798" s="39">
        <v>28112</v>
      </c>
      <c r="AA798" s="39">
        <v>13.478613425520001</v>
      </c>
    </row>
    <row r="799" spans="1:27" x14ac:dyDescent="0.25">
      <c r="A799" s="7" t="str">
        <f t="shared" si="12"/>
        <v>2719Providence St Joseph Medical Center441071077100 - 04410 - PSJMC PHARMACY</v>
      </c>
      <c r="B799" s="7"/>
      <c r="C799" s="29" t="s">
        <v>924</v>
      </c>
      <c r="D799" s="29" t="s">
        <v>924</v>
      </c>
      <c r="E799" s="29" t="s">
        <v>924</v>
      </c>
      <c r="F799" s="29">
        <v>2719</v>
      </c>
      <c r="G799" s="4" t="s">
        <v>1084</v>
      </c>
      <c r="H799" s="5">
        <v>4410</v>
      </c>
      <c r="I799" s="4" t="s">
        <v>37</v>
      </c>
      <c r="J799" s="4" t="s">
        <v>37</v>
      </c>
      <c r="K799" s="4" t="s">
        <v>1121</v>
      </c>
      <c r="L799" s="4" t="s">
        <v>100</v>
      </c>
      <c r="M799" s="39">
        <v>38685.129999999997</v>
      </c>
      <c r="N799" s="39">
        <v>44501.74</v>
      </c>
      <c r="O799" s="38">
        <v>0.57889999999999997</v>
      </c>
      <c r="P799" s="39">
        <v>1.91</v>
      </c>
      <c r="Q799" s="39">
        <v>1.81</v>
      </c>
      <c r="R799" s="38">
        <v>0.31580000000000003</v>
      </c>
      <c r="S799" s="40">
        <v>20</v>
      </c>
      <c r="T799" s="39">
        <v>1.72</v>
      </c>
      <c r="U799" s="39">
        <v>1.94</v>
      </c>
      <c r="V799" s="39">
        <v>2.15</v>
      </c>
      <c r="W799" s="52">
        <v>0.88539999999999996</v>
      </c>
      <c r="X799" s="39">
        <v>43.82</v>
      </c>
      <c r="Y799" s="41">
        <v>-283541.73604557698</v>
      </c>
      <c r="Z799" s="39">
        <v>-6112</v>
      </c>
      <c r="AA799" s="39">
        <v>-2.9306187513564201</v>
      </c>
    </row>
    <row r="800" spans="1:27" x14ac:dyDescent="0.25">
      <c r="A800" s="7" t="str">
        <f t="shared" si="12"/>
        <v>2719Providence St Joseph Medical Center423071075700 - 04230 - PSJMC CARDIAC PHYSIOLOGY LAB</v>
      </c>
      <c r="B800" s="7"/>
      <c r="C800" s="29" t="s">
        <v>924</v>
      </c>
      <c r="D800" s="29" t="s">
        <v>924</v>
      </c>
      <c r="E800" s="29" t="s">
        <v>924</v>
      </c>
      <c r="F800" s="29">
        <v>2719</v>
      </c>
      <c r="G800" s="4" t="s">
        <v>1084</v>
      </c>
      <c r="H800" s="5">
        <v>4230</v>
      </c>
      <c r="I800" s="4" t="s">
        <v>96</v>
      </c>
      <c r="J800" s="4" t="s">
        <v>60</v>
      </c>
      <c r="K800" s="4" t="s">
        <v>1124</v>
      </c>
      <c r="L800" s="4" t="s">
        <v>97</v>
      </c>
      <c r="M800" s="39">
        <v>9748.94</v>
      </c>
      <c r="N800" s="39">
        <v>116400</v>
      </c>
      <c r="O800" s="38">
        <v>0.42109999999999997</v>
      </c>
      <c r="P800" s="39">
        <v>2.15</v>
      </c>
      <c r="Q800" s="39">
        <v>0.17</v>
      </c>
      <c r="R800" s="38">
        <v>0.27779999999999999</v>
      </c>
      <c r="S800" s="40">
        <v>20</v>
      </c>
      <c r="T800" s="39">
        <v>0.16</v>
      </c>
      <c r="U800" s="39">
        <v>0.18</v>
      </c>
      <c r="V800" s="39">
        <v>0.21</v>
      </c>
      <c r="W800" s="52">
        <v>0.90759999999999996</v>
      </c>
      <c r="X800" s="39">
        <v>10.19</v>
      </c>
      <c r="Y800" s="41">
        <v>-139716.37004708199</v>
      </c>
      <c r="Z800" s="39">
        <v>-1832</v>
      </c>
      <c r="AA800" s="39">
        <v>-0.87825502113248499</v>
      </c>
    </row>
    <row r="801" spans="1:27" x14ac:dyDescent="0.25">
      <c r="A801" s="7" t="str">
        <f t="shared" si="12"/>
        <v>2719Providence St Joseph Medical Center345071076700 - 03450 - PSJMC ULTRASOUND</v>
      </c>
      <c r="B801" s="7"/>
      <c r="C801" s="29" t="s">
        <v>924</v>
      </c>
      <c r="D801" s="29" t="s">
        <v>924</v>
      </c>
      <c r="E801" s="29" t="s">
        <v>924</v>
      </c>
      <c r="F801" s="29">
        <v>2719</v>
      </c>
      <c r="G801" s="4" t="s">
        <v>1084</v>
      </c>
      <c r="H801" s="5">
        <v>3450</v>
      </c>
      <c r="I801" s="4" t="s">
        <v>122</v>
      </c>
      <c r="J801" s="4" t="s">
        <v>57</v>
      </c>
      <c r="K801" s="4" t="s">
        <v>1122</v>
      </c>
      <c r="L801" s="4" t="s">
        <v>99</v>
      </c>
      <c r="M801" s="39">
        <v>20419.59</v>
      </c>
      <c r="N801" s="39">
        <v>21345.599999999999</v>
      </c>
      <c r="O801" s="38">
        <v>0.31580000000000003</v>
      </c>
      <c r="P801" s="39">
        <v>0.41</v>
      </c>
      <c r="Q801" s="39">
        <v>0.35</v>
      </c>
      <c r="R801" s="38">
        <v>5.2600000000000001E-2</v>
      </c>
      <c r="S801" s="40">
        <v>20</v>
      </c>
      <c r="T801" s="39">
        <v>0.38</v>
      </c>
      <c r="U801" s="39">
        <v>0.4</v>
      </c>
      <c r="V801" s="39">
        <v>0.43</v>
      </c>
      <c r="W801" s="52">
        <v>0.88039999999999996</v>
      </c>
      <c r="X801" s="39">
        <v>4.0999999999999996</v>
      </c>
      <c r="Y801" s="41">
        <v>-67352.041382679396</v>
      </c>
      <c r="Z801" s="39">
        <v>-1147</v>
      </c>
      <c r="AA801" s="39">
        <v>-0.54982366129305704</v>
      </c>
    </row>
    <row r="802" spans="1:27" x14ac:dyDescent="0.25">
      <c r="A802" s="7" t="str">
        <f t="shared" si="12"/>
        <v>2719Providence St Joseph Medical Center637071086700 - 06370 - PSJMC VOLUNTEERS</v>
      </c>
      <c r="B802" s="7"/>
      <c r="C802" s="29" t="s">
        <v>924</v>
      </c>
      <c r="D802" s="29" t="s">
        <v>924</v>
      </c>
      <c r="E802" s="29" t="s">
        <v>924</v>
      </c>
      <c r="F802" s="29">
        <v>2719</v>
      </c>
      <c r="G802" s="4" t="s">
        <v>1084</v>
      </c>
      <c r="H802" s="5">
        <v>6370</v>
      </c>
      <c r="I802" s="4" t="s">
        <v>15</v>
      </c>
      <c r="J802" s="4" t="s">
        <v>16</v>
      </c>
      <c r="K802" s="4" t="s">
        <v>1123</v>
      </c>
      <c r="L802" s="4" t="s">
        <v>17</v>
      </c>
      <c r="M802" s="39">
        <v>672.41</v>
      </c>
      <c r="N802" s="39">
        <v>805.21</v>
      </c>
      <c r="O802" s="38">
        <v>0.57889999999999997</v>
      </c>
      <c r="P802" s="39">
        <v>8.1199999999999992</v>
      </c>
      <c r="Q802" s="39">
        <v>6.39</v>
      </c>
      <c r="R802" s="38">
        <v>0.5</v>
      </c>
      <c r="S802" s="40">
        <v>20</v>
      </c>
      <c r="T802" s="39">
        <v>4.28</v>
      </c>
      <c r="U802" s="39">
        <v>5.94</v>
      </c>
      <c r="V802" s="39">
        <v>6.39</v>
      </c>
      <c r="W802" s="52">
        <v>0.87680000000000002</v>
      </c>
      <c r="X802" s="39">
        <v>2.82</v>
      </c>
      <c r="Y802" s="41">
        <v>8042.4028326059297</v>
      </c>
      <c r="Z802" s="39">
        <v>427</v>
      </c>
      <c r="AA802" s="39">
        <v>0.20456926799768499</v>
      </c>
    </row>
    <row r="803" spans="1:27" x14ac:dyDescent="0.25">
      <c r="A803" s="7" t="str">
        <f t="shared" si="12"/>
        <v>2719Providence St Joseph Medical Center522171083500 - 05221 - PSJMC LAUNDRY</v>
      </c>
      <c r="B803" s="7"/>
      <c r="C803" s="29" t="s">
        <v>924</v>
      </c>
      <c r="D803" s="29" t="s">
        <v>924</v>
      </c>
      <c r="E803" s="29" t="s">
        <v>924</v>
      </c>
      <c r="F803" s="29">
        <v>2719</v>
      </c>
      <c r="G803" s="4" t="s">
        <v>1084</v>
      </c>
      <c r="H803" s="5">
        <v>5221</v>
      </c>
      <c r="I803" s="4" t="s">
        <v>131</v>
      </c>
      <c r="J803" s="4" t="s">
        <v>50</v>
      </c>
      <c r="K803" s="4" t="s">
        <v>1126</v>
      </c>
      <c r="L803" s="4" t="s">
        <v>132</v>
      </c>
      <c r="M803" s="7"/>
      <c r="N803" s="39">
        <v>18760.09</v>
      </c>
      <c r="O803" s="38">
        <v>0.5</v>
      </c>
      <c r="P803" s="7"/>
      <c r="Q803" s="39">
        <v>0.4</v>
      </c>
      <c r="R803" s="38">
        <v>0.4</v>
      </c>
      <c r="S803" s="40">
        <v>21</v>
      </c>
      <c r="T803" s="39">
        <v>0.33</v>
      </c>
      <c r="U803" s="39">
        <v>0.37</v>
      </c>
      <c r="V803" s="39">
        <v>0.43</v>
      </c>
      <c r="W803" s="52">
        <v>0.86</v>
      </c>
      <c r="X803" s="39">
        <v>4.1399999999999997</v>
      </c>
      <c r="Y803" s="41">
        <v>9193.6623399227392</v>
      </c>
      <c r="Z803" s="39">
        <v>564</v>
      </c>
      <c r="AA803" s="39">
        <v>0.27021934524240798</v>
      </c>
    </row>
    <row r="804" spans="1:27" x14ac:dyDescent="0.25">
      <c r="A804" s="7" t="str">
        <f t="shared" si="12"/>
        <v>2719Providence St Joseph Medical Center302071074270 - 03020 - PSJMC RECOVERY ROOM</v>
      </c>
      <c r="B804" s="7"/>
      <c r="C804" s="29" t="s">
        <v>924</v>
      </c>
      <c r="D804" s="29" t="s">
        <v>924</v>
      </c>
      <c r="E804" s="29" t="s">
        <v>924</v>
      </c>
      <c r="F804" s="29">
        <v>2719</v>
      </c>
      <c r="G804" s="4" t="s">
        <v>1084</v>
      </c>
      <c r="H804" s="5">
        <v>3020</v>
      </c>
      <c r="I804" s="4" t="s">
        <v>89</v>
      </c>
      <c r="J804" s="4" t="s">
        <v>47</v>
      </c>
      <c r="K804" s="4" t="s">
        <v>1125</v>
      </c>
      <c r="L804" s="4" t="s">
        <v>90</v>
      </c>
      <c r="M804" s="39">
        <v>5928.15</v>
      </c>
      <c r="N804" s="39">
        <v>6241.05</v>
      </c>
      <c r="O804" s="38">
        <v>0.55000000000000004</v>
      </c>
      <c r="P804" s="39">
        <v>4.0599999999999996</v>
      </c>
      <c r="Q804" s="39">
        <v>3.92</v>
      </c>
      <c r="R804" s="38">
        <v>0.5</v>
      </c>
      <c r="S804" s="40">
        <v>21</v>
      </c>
      <c r="T804" s="39">
        <v>3.5</v>
      </c>
      <c r="U804" s="39">
        <v>3.78</v>
      </c>
      <c r="V804" s="39">
        <v>3.92</v>
      </c>
      <c r="W804" s="52">
        <v>0.86660000000000004</v>
      </c>
      <c r="X804" s="39">
        <v>13.58</v>
      </c>
      <c r="Y804" s="41">
        <v>53750.479462453899</v>
      </c>
      <c r="Z804" s="39">
        <v>1101</v>
      </c>
      <c r="AA804" s="39">
        <v>0.52794377561242101</v>
      </c>
    </row>
    <row r="805" spans="1:27" x14ac:dyDescent="0.25">
      <c r="A805" s="7" t="str">
        <f t="shared" si="12"/>
        <v>2719Providence St Joseph Medical Center128571074000 - 01285 - PSJMC Labor &amp; Delivery</v>
      </c>
      <c r="B805" s="7"/>
      <c r="C805" s="29" t="s">
        <v>924</v>
      </c>
      <c r="D805" s="29" t="s">
        <v>924</v>
      </c>
      <c r="E805" s="29" t="s">
        <v>924</v>
      </c>
      <c r="F805" s="29">
        <v>2719</v>
      </c>
      <c r="G805" s="4" t="s">
        <v>1084</v>
      </c>
      <c r="H805" s="5">
        <v>1285</v>
      </c>
      <c r="I805" s="4" t="s">
        <v>85</v>
      </c>
      <c r="J805" s="4" t="s">
        <v>23</v>
      </c>
      <c r="K805" s="4" t="s">
        <v>1128</v>
      </c>
      <c r="L805" s="4" t="s">
        <v>86</v>
      </c>
      <c r="M805" s="39">
        <v>2555</v>
      </c>
      <c r="N805" s="39">
        <v>2412</v>
      </c>
      <c r="O805" s="38">
        <v>0.57140000000000002</v>
      </c>
      <c r="P805" s="39">
        <v>29.17</v>
      </c>
      <c r="Q805" s="39">
        <v>31.37</v>
      </c>
      <c r="R805" s="38">
        <v>0.1429</v>
      </c>
      <c r="S805" s="40">
        <v>22</v>
      </c>
      <c r="T805" s="39">
        <v>34.549999999999997</v>
      </c>
      <c r="U805" s="39">
        <v>35.53</v>
      </c>
      <c r="V805" s="39">
        <v>38.1</v>
      </c>
      <c r="W805" s="52">
        <v>0.89880000000000004</v>
      </c>
      <c r="X805" s="39">
        <v>36.369999999999997</v>
      </c>
      <c r="Y805" s="41">
        <v>-1000100.73378853</v>
      </c>
      <c r="Z805" s="39">
        <v>-19491</v>
      </c>
      <c r="AA805" s="39">
        <v>-9.3448823129181697</v>
      </c>
    </row>
    <row r="806" spans="1:27" x14ac:dyDescent="0.25">
      <c r="A806" s="7" t="str">
        <f t="shared" si="12"/>
        <v>2719Providence St Joseph Medical Center582571087540 - 05825 - PSJMC RISK MANAGEMENT</v>
      </c>
      <c r="B806" s="7"/>
      <c r="C806" s="29" t="s">
        <v>924</v>
      </c>
      <c r="D806" s="29" t="s">
        <v>924</v>
      </c>
      <c r="E806" s="29" t="s">
        <v>924</v>
      </c>
      <c r="F806" s="29">
        <v>2719</v>
      </c>
      <c r="G806" s="4" t="s">
        <v>1084</v>
      </c>
      <c r="H806" s="5">
        <v>5825</v>
      </c>
      <c r="I806" s="4" t="s">
        <v>25</v>
      </c>
      <c r="J806" s="4" t="s">
        <v>26</v>
      </c>
      <c r="K806" s="4" t="s">
        <v>1127</v>
      </c>
      <c r="L806" s="4" t="s">
        <v>27</v>
      </c>
      <c r="M806" s="39">
        <v>102290</v>
      </c>
      <c r="N806" s="39">
        <v>106000</v>
      </c>
      <c r="O806" s="38">
        <v>0.47620000000000001</v>
      </c>
      <c r="P806" s="39">
        <v>0.03</v>
      </c>
      <c r="Q806" s="39">
        <v>0.04</v>
      </c>
      <c r="R806" s="38">
        <v>0.1429</v>
      </c>
      <c r="S806" s="40">
        <v>22</v>
      </c>
      <c r="T806" s="39">
        <v>0.05</v>
      </c>
      <c r="U806" s="39">
        <v>0.05</v>
      </c>
      <c r="V806" s="39">
        <v>7.0000000000000007E-2</v>
      </c>
      <c r="W806" s="52">
        <v>0.9113</v>
      </c>
      <c r="X806" s="39">
        <v>2</v>
      </c>
      <c r="Y806" s="41">
        <v>-80552.105292541295</v>
      </c>
      <c r="Z806" s="39">
        <v>-1644</v>
      </c>
      <c r="AA806" s="39">
        <v>-0.78844869449856603</v>
      </c>
    </row>
    <row r="807" spans="1:27" x14ac:dyDescent="0.25">
      <c r="A807" s="7" t="str">
        <f t="shared" si="12"/>
        <v>2719Providence St Joseph Medical Center341271076310 - 03412 - PSJMC RADIOLOGY-SPECIAL PROC</v>
      </c>
      <c r="B807" s="7"/>
      <c r="C807" s="29" t="s">
        <v>924</v>
      </c>
      <c r="D807" s="29" t="s">
        <v>924</v>
      </c>
      <c r="E807" s="29" t="s">
        <v>924</v>
      </c>
      <c r="F807" s="29">
        <v>2719</v>
      </c>
      <c r="G807" s="4" t="s">
        <v>1084</v>
      </c>
      <c r="H807" s="5">
        <v>3412</v>
      </c>
      <c r="I807" s="4" t="s">
        <v>118</v>
      </c>
      <c r="J807" s="4" t="s">
        <v>57</v>
      </c>
      <c r="K807" s="4" t="s">
        <v>1132</v>
      </c>
      <c r="L807" s="4" t="s">
        <v>99</v>
      </c>
      <c r="M807" s="39">
        <v>24382.98</v>
      </c>
      <c r="N807" s="39">
        <v>51917</v>
      </c>
      <c r="O807" s="38">
        <v>0.5</v>
      </c>
      <c r="P807" s="39">
        <v>0.31</v>
      </c>
      <c r="Q807" s="39">
        <v>0.17</v>
      </c>
      <c r="R807" s="38">
        <v>0.28570000000000001</v>
      </c>
      <c r="S807" s="40">
        <v>23</v>
      </c>
      <c r="T807" s="39">
        <v>0.17</v>
      </c>
      <c r="U807" s="39">
        <v>0.18</v>
      </c>
      <c r="V807" s="39">
        <v>0.21</v>
      </c>
      <c r="W807" s="52">
        <v>0.88690000000000002</v>
      </c>
      <c r="X807" s="39">
        <v>4.84</v>
      </c>
      <c r="Y807" s="41">
        <v>-32866.054725422902</v>
      </c>
      <c r="Z807" s="39">
        <v>-442</v>
      </c>
      <c r="AA807" s="39">
        <v>-0.21190991972120701</v>
      </c>
    </row>
    <row r="808" spans="1:27" x14ac:dyDescent="0.25">
      <c r="A808" s="7" t="str">
        <f t="shared" si="12"/>
        <v>2719Providence St Joseph Medical Center346071076500 - 03460 - PSJMC NUCLEAR MEDICINE</v>
      </c>
      <c r="B808" s="7"/>
      <c r="C808" s="29" t="s">
        <v>924</v>
      </c>
      <c r="D808" s="29" t="s">
        <v>924</v>
      </c>
      <c r="E808" s="29" t="s">
        <v>924</v>
      </c>
      <c r="F808" s="29">
        <v>2719</v>
      </c>
      <c r="G808" s="4" t="s">
        <v>1084</v>
      </c>
      <c r="H808" s="5">
        <v>3460</v>
      </c>
      <c r="I808" s="4" t="s">
        <v>120</v>
      </c>
      <c r="J808" s="4" t="s">
        <v>57</v>
      </c>
      <c r="K808" s="4" t="s">
        <v>1131</v>
      </c>
      <c r="L808" s="4" t="s">
        <v>99</v>
      </c>
      <c r="M808" s="39">
        <v>29665.23</v>
      </c>
      <c r="N808" s="39">
        <v>28751.86</v>
      </c>
      <c r="O808" s="38">
        <v>0.45450000000000002</v>
      </c>
      <c r="P808" s="39">
        <v>0.27</v>
      </c>
      <c r="Q808" s="39">
        <v>0.3</v>
      </c>
      <c r="R808" s="38">
        <v>0.77270000000000005</v>
      </c>
      <c r="S808" s="40">
        <v>23</v>
      </c>
      <c r="T808" s="39">
        <v>0.2</v>
      </c>
      <c r="U808" s="39">
        <v>0.22</v>
      </c>
      <c r="V808" s="39">
        <v>0.23</v>
      </c>
      <c r="W808" s="52">
        <v>0.9153</v>
      </c>
      <c r="X808" s="39">
        <v>4.59</v>
      </c>
      <c r="Y808" s="41">
        <v>148531.556443404</v>
      </c>
      <c r="Z808" s="39">
        <v>2663</v>
      </c>
      <c r="AA808" s="39">
        <v>1.27660416188711</v>
      </c>
    </row>
    <row r="809" spans="1:27" x14ac:dyDescent="0.25">
      <c r="A809" s="7" t="str">
        <f t="shared" si="12"/>
        <v>2719Providence St Joseph Medical Center121071061740 - 01210 - PSJMC 5NE</v>
      </c>
      <c r="B809" s="7"/>
      <c r="C809" s="29" t="s">
        <v>924</v>
      </c>
      <c r="D809" s="29" t="s">
        <v>924</v>
      </c>
      <c r="E809" s="29" t="s">
        <v>924</v>
      </c>
      <c r="F809" s="29">
        <v>2719</v>
      </c>
      <c r="G809" s="4" t="s">
        <v>1084</v>
      </c>
      <c r="H809" s="5">
        <v>1210</v>
      </c>
      <c r="I809" s="4" t="s">
        <v>147</v>
      </c>
      <c r="J809" s="4" t="s">
        <v>23</v>
      </c>
      <c r="K809" s="4" t="s">
        <v>1130</v>
      </c>
      <c r="L809" s="4" t="s">
        <v>74</v>
      </c>
      <c r="M809" s="39">
        <v>10955</v>
      </c>
      <c r="N809" s="39">
        <v>11350.32</v>
      </c>
      <c r="O809" s="38">
        <v>0.40910000000000002</v>
      </c>
      <c r="P809" s="39">
        <v>9.39</v>
      </c>
      <c r="Q809" s="39">
        <v>10.3</v>
      </c>
      <c r="R809" s="38">
        <v>0.52380000000000004</v>
      </c>
      <c r="S809" s="40">
        <v>23</v>
      </c>
      <c r="T809" s="39">
        <v>9.74</v>
      </c>
      <c r="U809" s="39">
        <v>9.9499999999999993</v>
      </c>
      <c r="V809" s="39">
        <v>10.220000000000001</v>
      </c>
      <c r="W809" s="52">
        <v>0.86909999999999998</v>
      </c>
      <c r="X809" s="39">
        <v>64.64</v>
      </c>
      <c r="Y809" s="41">
        <v>205998.64470119699</v>
      </c>
      <c r="Z809" s="39">
        <v>4874</v>
      </c>
      <c r="AA809" s="39">
        <v>2.3369087245298101</v>
      </c>
    </row>
    <row r="810" spans="1:27" x14ac:dyDescent="0.25">
      <c r="A810" s="7" t="str">
        <f t="shared" si="12"/>
        <v>2719Providence St Joseph Medical Center521171084400 - 05211 - PSJMC ENVIROMENTAL SERVICES</v>
      </c>
      <c r="B810" s="7"/>
      <c r="C810" s="29" t="s">
        <v>924</v>
      </c>
      <c r="D810" s="29" t="s">
        <v>924</v>
      </c>
      <c r="E810" s="29" t="s">
        <v>924</v>
      </c>
      <c r="F810" s="29">
        <v>2719</v>
      </c>
      <c r="G810" s="4" t="s">
        <v>1084</v>
      </c>
      <c r="H810" s="5">
        <v>5211</v>
      </c>
      <c r="I810" s="4" t="s">
        <v>50</v>
      </c>
      <c r="J810" s="4" t="s">
        <v>50</v>
      </c>
      <c r="K810" s="4" t="s">
        <v>1129</v>
      </c>
      <c r="L810" s="4" t="s">
        <v>51</v>
      </c>
      <c r="M810" s="39">
        <v>1000</v>
      </c>
      <c r="N810" s="39">
        <v>937.19</v>
      </c>
      <c r="O810" s="38">
        <v>0.54549999999999998</v>
      </c>
      <c r="P810" s="39">
        <v>143.72999999999999</v>
      </c>
      <c r="Q810" s="39">
        <v>148.43</v>
      </c>
      <c r="R810" s="38">
        <v>0.1429</v>
      </c>
      <c r="S810" s="40">
        <v>23</v>
      </c>
      <c r="T810" s="39">
        <v>165.23</v>
      </c>
      <c r="U810" s="39">
        <v>168.29</v>
      </c>
      <c r="V810" s="39">
        <v>175.04</v>
      </c>
      <c r="W810" s="52">
        <v>0.89790000000000003</v>
      </c>
      <c r="X810" s="39">
        <v>74.48</v>
      </c>
      <c r="Y810" s="41">
        <v>-374316.82003293099</v>
      </c>
      <c r="Z810" s="39">
        <v>-20311</v>
      </c>
      <c r="AA810" s="39">
        <v>-9.7382365897492509</v>
      </c>
    </row>
    <row r="811" spans="1:27" x14ac:dyDescent="0.25">
      <c r="A811" s="7" t="str">
        <f t="shared" si="12"/>
        <v>2719Providence St Joseph Medical Center592571083700 - 05925 - PSJMC MEDICAL TRANSPORTATION</v>
      </c>
      <c r="B811" s="7"/>
      <c r="C811" s="29" t="s">
        <v>924</v>
      </c>
      <c r="D811" s="29" t="s">
        <v>924</v>
      </c>
      <c r="E811" s="29" t="s">
        <v>924</v>
      </c>
      <c r="F811" s="29">
        <v>2719</v>
      </c>
      <c r="G811" s="4" t="s">
        <v>1084</v>
      </c>
      <c r="H811" s="5">
        <v>5925</v>
      </c>
      <c r="I811" s="4" t="s">
        <v>135</v>
      </c>
      <c r="J811" s="4" t="s">
        <v>136</v>
      </c>
      <c r="K811" s="4" t="s">
        <v>1133</v>
      </c>
      <c r="L811" s="4" t="s">
        <v>137</v>
      </c>
      <c r="M811" s="39">
        <v>627</v>
      </c>
      <c r="N811" s="39">
        <v>721.03</v>
      </c>
      <c r="O811" s="38">
        <v>0.59089999999999998</v>
      </c>
      <c r="P811" s="39">
        <v>59.65</v>
      </c>
      <c r="Q811" s="39">
        <v>56.36</v>
      </c>
      <c r="R811" s="38">
        <v>0.8</v>
      </c>
      <c r="S811" s="40">
        <v>23</v>
      </c>
      <c r="T811" s="39">
        <v>39.29</v>
      </c>
      <c r="U811" s="39">
        <v>44.03</v>
      </c>
      <c r="V811" s="39">
        <v>50.87</v>
      </c>
      <c r="W811" s="52">
        <v>0.92610000000000003</v>
      </c>
      <c r="X811" s="39">
        <v>21.1</v>
      </c>
      <c r="Y811" s="41">
        <v>176510.102388092</v>
      </c>
      <c r="Z811" s="39">
        <v>9728</v>
      </c>
      <c r="AA811" s="39">
        <v>4.6641452353210697</v>
      </c>
    </row>
    <row r="812" spans="1:27" x14ac:dyDescent="0.25">
      <c r="A812" s="7" t="str">
        <f t="shared" si="12"/>
        <v>2719Providence St Joseph Medical Center4199Respiratory &amp; Pulmonary Care Administration &amp; Support (U,N)</v>
      </c>
      <c r="B812" s="7"/>
      <c r="C812" s="29" t="s">
        <v>924</v>
      </c>
      <c r="D812" s="29" t="s">
        <v>924</v>
      </c>
      <c r="E812" s="29" t="s">
        <v>924</v>
      </c>
      <c r="F812" s="29">
        <v>2719</v>
      </c>
      <c r="G812" s="4" t="s">
        <v>1084</v>
      </c>
      <c r="H812" s="5">
        <v>4199</v>
      </c>
      <c r="I812" s="4" t="s">
        <v>1134</v>
      </c>
      <c r="J812" s="4" t="s">
        <v>44</v>
      </c>
      <c r="K812" s="4" t="s">
        <v>1135</v>
      </c>
      <c r="L812" s="4" t="s">
        <v>45</v>
      </c>
      <c r="M812" s="39">
        <v>24808.68</v>
      </c>
      <c r="N812" s="39">
        <v>26958.720000000001</v>
      </c>
      <c r="O812" s="38">
        <v>0.8538</v>
      </c>
      <c r="P812" s="39">
        <v>0.06</v>
      </c>
      <c r="Q812" s="39">
        <v>0.31</v>
      </c>
      <c r="R812" s="38">
        <v>0.93049999999999999</v>
      </c>
      <c r="S812" s="40">
        <v>24</v>
      </c>
      <c r="T812" s="39">
        <v>0.11</v>
      </c>
      <c r="U812" s="39">
        <v>0.13</v>
      </c>
      <c r="V812" s="39">
        <v>0.14000000000000001</v>
      </c>
      <c r="W812" s="52">
        <v>0.85899999999999999</v>
      </c>
      <c r="X812" s="39">
        <v>4.6100000000000003</v>
      </c>
      <c r="Y812" s="41">
        <v>258644.49781593701</v>
      </c>
      <c r="Z812" s="39">
        <v>5535</v>
      </c>
      <c r="AA812" s="39">
        <v>2.65387044257188</v>
      </c>
    </row>
    <row r="813" spans="1:27" x14ac:dyDescent="0.25">
      <c r="A813" s="7" t="str">
        <f t="shared" si="12"/>
        <v>2719Providence St Joseph Medical Center349971076350 - 03499 - PSJMC RADIOLOGY-ADMIN</v>
      </c>
      <c r="B813" s="7"/>
      <c r="C813" s="29" t="s">
        <v>924</v>
      </c>
      <c r="D813" s="29" t="s">
        <v>924</v>
      </c>
      <c r="E813" s="29" t="s">
        <v>924</v>
      </c>
      <c r="F813" s="29">
        <v>2719</v>
      </c>
      <c r="G813" s="4" t="s">
        <v>1084</v>
      </c>
      <c r="H813" s="5">
        <v>3499</v>
      </c>
      <c r="I813" s="4" t="s">
        <v>56</v>
      </c>
      <c r="J813" s="4" t="s">
        <v>57</v>
      </c>
      <c r="K813" s="4" t="s">
        <v>1137</v>
      </c>
      <c r="L813" s="4" t="s">
        <v>58</v>
      </c>
      <c r="M813" s="39">
        <v>253302</v>
      </c>
      <c r="N813" s="39">
        <v>287476.84000000003</v>
      </c>
      <c r="O813" s="38">
        <v>0.54169999999999996</v>
      </c>
      <c r="P813" s="39">
        <v>0.04</v>
      </c>
      <c r="Q813" s="39">
        <v>0.03</v>
      </c>
      <c r="R813" s="38">
        <v>8.6999999999999994E-2</v>
      </c>
      <c r="S813" s="40">
        <v>25</v>
      </c>
      <c r="T813" s="39">
        <v>0.05</v>
      </c>
      <c r="U813" s="39">
        <v>0.05</v>
      </c>
      <c r="V813" s="39">
        <v>0.05</v>
      </c>
      <c r="W813" s="52">
        <v>0.90590000000000004</v>
      </c>
      <c r="X813" s="39">
        <v>4.63</v>
      </c>
      <c r="Y813" s="41">
        <v>-286891.66413839802</v>
      </c>
      <c r="Z813" s="39">
        <v>-6210</v>
      </c>
      <c r="AA813" s="39">
        <v>-2.9774790650581702</v>
      </c>
    </row>
    <row r="814" spans="1:27" x14ac:dyDescent="0.25">
      <c r="A814" s="7" t="str">
        <f t="shared" si="12"/>
        <v>2719Providence St Joseph Medical Center621071087440 - 06210 - PSJMC CLINICAL EDUCATION</v>
      </c>
      <c r="B814" s="7"/>
      <c r="C814" s="29" t="s">
        <v>924</v>
      </c>
      <c r="D814" s="29" t="s">
        <v>924</v>
      </c>
      <c r="E814" s="29" t="s">
        <v>924</v>
      </c>
      <c r="F814" s="29">
        <v>2719</v>
      </c>
      <c r="G814" s="4" t="s">
        <v>1084</v>
      </c>
      <c r="H814" s="5">
        <v>6210</v>
      </c>
      <c r="I814" s="4" t="s">
        <v>28</v>
      </c>
      <c r="J814" s="4" t="s">
        <v>21</v>
      </c>
      <c r="K814" s="4" t="s">
        <v>1139</v>
      </c>
      <c r="L814" s="4" t="s">
        <v>18</v>
      </c>
      <c r="M814" s="39">
        <v>23392.76</v>
      </c>
      <c r="N814" s="39">
        <v>25623.31</v>
      </c>
      <c r="O814" s="38">
        <v>0.5</v>
      </c>
      <c r="P814" s="39">
        <v>0.57999999999999996</v>
      </c>
      <c r="Q814" s="39">
        <v>0.33</v>
      </c>
      <c r="R814" s="38">
        <v>0.21740000000000001</v>
      </c>
      <c r="S814" s="40">
        <v>25</v>
      </c>
      <c r="T814" s="39">
        <v>0.37</v>
      </c>
      <c r="U814" s="39">
        <v>0.39</v>
      </c>
      <c r="V814" s="39">
        <v>0.53</v>
      </c>
      <c r="W814" s="52">
        <v>0.90790000000000004</v>
      </c>
      <c r="X814" s="39">
        <v>4.43</v>
      </c>
      <c r="Y814" s="41">
        <v>-84447.297337293901</v>
      </c>
      <c r="Z814" s="39">
        <v>-1767</v>
      </c>
      <c r="AA814" s="39">
        <v>-0.84727809502270501</v>
      </c>
    </row>
    <row r="815" spans="1:27" x14ac:dyDescent="0.25">
      <c r="A815" s="7" t="str">
        <f t="shared" si="12"/>
        <v>2719Providence St Joseph Medical Center661071086100 - 06610 - PSJMC ADMINISTRATION</v>
      </c>
      <c r="B815" s="7"/>
      <c r="C815" s="29" t="s">
        <v>924</v>
      </c>
      <c r="D815" s="29" t="s">
        <v>924</v>
      </c>
      <c r="E815" s="29" t="s">
        <v>924</v>
      </c>
      <c r="F815" s="29">
        <v>2719</v>
      </c>
      <c r="G815" s="4" t="s">
        <v>1084</v>
      </c>
      <c r="H815" s="5">
        <v>6610</v>
      </c>
      <c r="I815" s="4" t="s">
        <v>72</v>
      </c>
      <c r="J815" s="4" t="s">
        <v>72</v>
      </c>
      <c r="K815" s="4" t="s">
        <v>1138</v>
      </c>
      <c r="L815" s="4" t="s">
        <v>14</v>
      </c>
      <c r="M815" s="39">
        <v>233.93</v>
      </c>
      <c r="N815" s="39">
        <v>256.23</v>
      </c>
      <c r="O815" s="38">
        <v>0.58330000000000004</v>
      </c>
      <c r="P815" s="39">
        <v>89.11</v>
      </c>
      <c r="Q815" s="39">
        <v>55.27</v>
      </c>
      <c r="R815" s="38">
        <v>0.375</v>
      </c>
      <c r="S815" s="40">
        <v>25</v>
      </c>
      <c r="T815" s="39">
        <v>49.31</v>
      </c>
      <c r="U815" s="39">
        <v>54.37</v>
      </c>
      <c r="V815" s="39">
        <v>63.23</v>
      </c>
      <c r="W815" s="52">
        <v>0.9214</v>
      </c>
      <c r="X815" s="39">
        <v>7.39</v>
      </c>
      <c r="Y815" s="41">
        <v>17483.285568982701</v>
      </c>
      <c r="Z815" s="39">
        <v>294</v>
      </c>
      <c r="AA815" s="39">
        <v>0.140813708143286</v>
      </c>
    </row>
    <row r="816" spans="1:27" x14ac:dyDescent="0.25">
      <c r="A816" s="7" t="str">
        <f t="shared" si="12"/>
        <v>2719Providence St Joseph Medical Center121071061710 - 01210 - PSJMC 7 NE</v>
      </c>
      <c r="B816" s="7"/>
      <c r="C816" s="29" t="s">
        <v>924</v>
      </c>
      <c r="D816" s="29" t="s">
        <v>924</v>
      </c>
      <c r="E816" s="29" t="s">
        <v>924</v>
      </c>
      <c r="F816" s="29">
        <v>2719</v>
      </c>
      <c r="G816" s="4" t="s">
        <v>1084</v>
      </c>
      <c r="H816" s="5">
        <v>1210</v>
      </c>
      <c r="I816" s="4" t="s">
        <v>147</v>
      </c>
      <c r="J816" s="4" t="s">
        <v>23</v>
      </c>
      <c r="K816" s="4" t="s">
        <v>1136</v>
      </c>
      <c r="L816" s="4" t="s">
        <v>74</v>
      </c>
      <c r="M816" s="39">
        <v>9193</v>
      </c>
      <c r="N816" s="39">
        <v>9304.52</v>
      </c>
      <c r="O816" s="38">
        <v>0.45829999999999999</v>
      </c>
      <c r="P816" s="39">
        <v>9.77</v>
      </c>
      <c r="Q816" s="39">
        <v>10.15</v>
      </c>
      <c r="R816" s="38">
        <v>0.41670000000000001</v>
      </c>
      <c r="S816" s="40">
        <v>25</v>
      </c>
      <c r="T816" s="39">
        <v>9.6199999999999992</v>
      </c>
      <c r="U816" s="39">
        <v>9.98</v>
      </c>
      <c r="V816" s="39">
        <v>10.33</v>
      </c>
      <c r="W816" s="52">
        <v>0.9042</v>
      </c>
      <c r="X816" s="39">
        <v>50.23</v>
      </c>
      <c r="Y816" s="41">
        <v>87448.055297738494</v>
      </c>
      <c r="Z816" s="39">
        <v>2067</v>
      </c>
      <c r="AA816" s="39">
        <v>0.99111938960763302</v>
      </c>
    </row>
    <row r="817" spans="1:27" x14ac:dyDescent="0.25">
      <c r="A817" s="7" t="str">
        <f t="shared" si="12"/>
        <v>2719Providence St Joseph Medical Center401071076420 - 04010 - PSJMC RADIATION THERAPY</v>
      </c>
      <c r="B817" s="7"/>
      <c r="C817" s="29" t="s">
        <v>924</v>
      </c>
      <c r="D817" s="29" t="s">
        <v>924</v>
      </c>
      <c r="E817" s="29" t="s">
        <v>924</v>
      </c>
      <c r="F817" s="29">
        <v>2719</v>
      </c>
      <c r="G817" s="4" t="s">
        <v>1084</v>
      </c>
      <c r="H817" s="5">
        <v>4010</v>
      </c>
      <c r="I817" s="4" t="s">
        <v>152</v>
      </c>
      <c r="J817" s="4" t="s">
        <v>153</v>
      </c>
      <c r="K817" s="4" t="s">
        <v>1141</v>
      </c>
      <c r="L817" s="4" t="s">
        <v>99</v>
      </c>
      <c r="M817" s="39">
        <v>95372.22</v>
      </c>
      <c r="N817" s="39">
        <v>87033.79</v>
      </c>
      <c r="O817" s="38">
        <v>0.64</v>
      </c>
      <c r="P817" s="39">
        <v>0.28999999999999998</v>
      </c>
      <c r="Q817" s="39">
        <v>0.31</v>
      </c>
      <c r="R817" s="38">
        <v>0.20830000000000001</v>
      </c>
      <c r="S817" s="40">
        <v>26</v>
      </c>
      <c r="T817" s="39">
        <v>0.32</v>
      </c>
      <c r="U817" s="39">
        <v>0.33</v>
      </c>
      <c r="V817" s="39">
        <v>0.38</v>
      </c>
      <c r="W817" s="52">
        <v>0.88260000000000005</v>
      </c>
      <c r="X817" s="39">
        <v>14.72</v>
      </c>
      <c r="Y817" s="41">
        <v>-104973.54143474701</v>
      </c>
      <c r="Z817" s="39">
        <v>-1840</v>
      </c>
      <c r="AA817" s="39">
        <v>-0.88220829110937304</v>
      </c>
    </row>
    <row r="818" spans="1:27" x14ac:dyDescent="0.25">
      <c r="A818" s="7" t="str">
        <f t="shared" si="12"/>
        <v>2719Providence St Joseph Medical Center504071084650 - 05040 - PSJMC BIOMEDICAL ENGINEERING</v>
      </c>
      <c r="B818" s="7"/>
      <c r="C818" s="29" t="s">
        <v>924</v>
      </c>
      <c r="D818" s="29" t="s">
        <v>924</v>
      </c>
      <c r="E818" s="29" t="s">
        <v>924</v>
      </c>
      <c r="F818" s="29">
        <v>2719</v>
      </c>
      <c r="G818" s="4" t="s">
        <v>1084</v>
      </c>
      <c r="H818" s="5">
        <v>5040</v>
      </c>
      <c r="I818" s="4" t="s">
        <v>142</v>
      </c>
      <c r="J818" s="4" t="s">
        <v>62</v>
      </c>
      <c r="K818" s="4" t="s">
        <v>1143</v>
      </c>
      <c r="L818" s="4" t="s">
        <v>143</v>
      </c>
      <c r="M818" s="39">
        <v>54.51</v>
      </c>
      <c r="N818" s="39">
        <v>94.82</v>
      </c>
      <c r="O818" s="38">
        <v>0.52</v>
      </c>
      <c r="P818" s="39">
        <v>221.71</v>
      </c>
      <c r="Q818" s="39">
        <v>140.02000000000001</v>
      </c>
      <c r="R818" s="38">
        <v>0.30430000000000001</v>
      </c>
      <c r="S818" s="40">
        <v>26</v>
      </c>
      <c r="T818" s="39">
        <v>138.22</v>
      </c>
      <c r="U818" s="39">
        <v>142.36000000000001</v>
      </c>
      <c r="V818" s="39">
        <v>153.35</v>
      </c>
      <c r="W818" s="52">
        <v>0.92410000000000003</v>
      </c>
      <c r="X818" s="39">
        <v>6.91</v>
      </c>
      <c r="Y818" s="41">
        <v>-6812.7608120655595</v>
      </c>
      <c r="Z818" s="39">
        <v>-195</v>
      </c>
      <c r="AA818" s="39">
        <v>-9.3532025709911301E-2</v>
      </c>
    </row>
    <row r="819" spans="1:27" x14ac:dyDescent="0.25">
      <c r="A819" s="7" t="str">
        <f t="shared" si="12"/>
        <v>2719Providence St Joseph Medical Center500171084500 600 PSJMC Plant Ops Plant Maint</v>
      </c>
      <c r="B819" s="7"/>
      <c r="C819" s="29" t="s">
        <v>924</v>
      </c>
      <c r="D819" s="29" t="s">
        <v>924</v>
      </c>
      <c r="E819" s="29" t="s">
        <v>924</v>
      </c>
      <c r="F819" s="29">
        <v>2719</v>
      </c>
      <c r="G819" s="4" t="s">
        <v>1084</v>
      </c>
      <c r="H819" s="5">
        <v>5001</v>
      </c>
      <c r="I819" s="4" t="s">
        <v>141</v>
      </c>
      <c r="J819" s="4" t="s">
        <v>62</v>
      </c>
      <c r="K819" s="4" t="s">
        <v>1142</v>
      </c>
      <c r="L819" s="4" t="s">
        <v>63</v>
      </c>
      <c r="M819" s="7"/>
      <c r="N819" s="39">
        <v>1664.47</v>
      </c>
      <c r="O819" s="38">
        <v>0.56000000000000005</v>
      </c>
      <c r="P819" s="7"/>
      <c r="Q819" s="39">
        <v>24.7</v>
      </c>
      <c r="R819" s="38">
        <v>0.20830000000000001</v>
      </c>
      <c r="S819" s="40">
        <v>26</v>
      </c>
      <c r="T819" s="39">
        <v>25.94</v>
      </c>
      <c r="U819" s="39">
        <v>28.04</v>
      </c>
      <c r="V819" s="39">
        <v>30.39</v>
      </c>
      <c r="W819" s="52">
        <v>0.92010000000000003</v>
      </c>
      <c r="X819" s="39">
        <v>21.48</v>
      </c>
      <c r="Y819" s="41">
        <v>-173837.87788689201</v>
      </c>
      <c r="Z819" s="39">
        <v>-5924</v>
      </c>
      <c r="AA819" s="39">
        <v>-2.8401981694540099</v>
      </c>
    </row>
    <row r="820" spans="1:27" x14ac:dyDescent="0.25">
      <c r="A820" s="7" t="str">
        <f t="shared" si="12"/>
        <v>2719Providence St Joseph Medical Center651071087100 - 06510 - PSJMC MEDICAL STAFF ADMIN</v>
      </c>
      <c r="B820" s="7"/>
      <c r="C820" s="29" t="s">
        <v>924</v>
      </c>
      <c r="D820" s="29" t="s">
        <v>924</v>
      </c>
      <c r="E820" s="29" t="s">
        <v>924</v>
      </c>
      <c r="F820" s="29">
        <v>2719</v>
      </c>
      <c r="G820" s="4" t="s">
        <v>1084</v>
      </c>
      <c r="H820" s="5">
        <v>6510</v>
      </c>
      <c r="I820" s="4" t="s">
        <v>19</v>
      </c>
      <c r="J820" s="4" t="s">
        <v>19</v>
      </c>
      <c r="K820" s="4" t="s">
        <v>1144</v>
      </c>
      <c r="L820" s="4" t="s">
        <v>20</v>
      </c>
      <c r="M820" s="39">
        <v>268</v>
      </c>
      <c r="N820" s="39">
        <v>251</v>
      </c>
      <c r="O820" s="38">
        <v>0.52</v>
      </c>
      <c r="P820" s="39">
        <v>30.87</v>
      </c>
      <c r="Q820" s="39">
        <v>31.65</v>
      </c>
      <c r="R820" s="38">
        <v>0.60870000000000002</v>
      </c>
      <c r="S820" s="40">
        <v>26</v>
      </c>
      <c r="T820" s="39">
        <v>23.46</v>
      </c>
      <c r="U820" s="39">
        <v>26.5</v>
      </c>
      <c r="V820" s="39">
        <v>30.26</v>
      </c>
      <c r="W820" s="52">
        <v>0.90100000000000002</v>
      </c>
      <c r="X820" s="39">
        <v>4.24</v>
      </c>
      <c r="Y820" s="41">
        <v>61568.119991188301</v>
      </c>
      <c r="Z820" s="39">
        <v>1461</v>
      </c>
      <c r="AA820" s="39">
        <v>0.70049146992545896</v>
      </c>
    </row>
    <row r="821" spans="1:27" x14ac:dyDescent="0.25">
      <c r="A821" s="7" t="str">
        <f t="shared" si="12"/>
        <v>2719Providence St Joseph Medical Center111171061510 - 01111 - PSJMC 4N Neuro</v>
      </c>
      <c r="B821" s="7"/>
      <c r="C821" s="29" t="s">
        <v>924</v>
      </c>
      <c r="D821" s="29" t="s">
        <v>924</v>
      </c>
      <c r="E821" s="29" t="s">
        <v>924</v>
      </c>
      <c r="F821" s="29">
        <v>2719</v>
      </c>
      <c r="G821" s="4" t="s">
        <v>1084</v>
      </c>
      <c r="H821" s="5">
        <v>1111</v>
      </c>
      <c r="I821" s="4" t="s">
        <v>146</v>
      </c>
      <c r="J821" s="4" t="s">
        <v>23</v>
      </c>
      <c r="K821" s="4" t="s">
        <v>1140</v>
      </c>
      <c r="L821" s="4" t="s">
        <v>74</v>
      </c>
      <c r="M821" s="7"/>
      <c r="N821" s="39">
        <v>10452</v>
      </c>
      <c r="O821" s="38">
        <v>0.56000000000000005</v>
      </c>
      <c r="P821" s="7"/>
      <c r="Q821" s="39">
        <v>12.38</v>
      </c>
      <c r="R821" s="38">
        <v>0.64</v>
      </c>
      <c r="S821" s="40">
        <v>26</v>
      </c>
      <c r="T821" s="39">
        <v>10.99</v>
      </c>
      <c r="U821" s="39">
        <v>11.29</v>
      </c>
      <c r="V821" s="39">
        <v>12.14</v>
      </c>
      <c r="W821" s="52">
        <v>0.89270000000000005</v>
      </c>
      <c r="X821" s="39">
        <v>69.709999999999994</v>
      </c>
      <c r="Y821" s="41">
        <v>549845.93255014205</v>
      </c>
      <c r="Z821" s="39">
        <v>13207</v>
      </c>
      <c r="AA821" s="39">
        <v>6.3323740414511702</v>
      </c>
    </row>
    <row r="822" spans="1:27" x14ac:dyDescent="0.25">
      <c r="A822" s="7" t="str">
        <f t="shared" si="12"/>
        <v>2719Providence St Joseph Medical Center141071064400 - 01410 - PSJMC PHYSICAL REHABILITATION</v>
      </c>
      <c r="B822" s="7"/>
      <c r="C822" s="29" t="s">
        <v>924</v>
      </c>
      <c r="D822" s="29" t="s">
        <v>924</v>
      </c>
      <c r="E822" s="29" t="s">
        <v>924</v>
      </c>
      <c r="F822" s="29">
        <v>2719</v>
      </c>
      <c r="G822" s="4" t="s">
        <v>1084</v>
      </c>
      <c r="H822" s="5">
        <v>1410</v>
      </c>
      <c r="I822" s="4" t="s">
        <v>113</v>
      </c>
      <c r="J822" s="4" t="s">
        <v>23</v>
      </c>
      <c r="K822" s="4" t="s">
        <v>1145</v>
      </c>
      <c r="L822" s="4" t="s">
        <v>74</v>
      </c>
      <c r="M822" s="39">
        <v>2918</v>
      </c>
      <c r="N822" s="39">
        <v>2899</v>
      </c>
      <c r="O822" s="38">
        <v>0.5</v>
      </c>
      <c r="P822" s="39">
        <v>10.34</v>
      </c>
      <c r="Q822" s="39">
        <v>10.6</v>
      </c>
      <c r="R822" s="38">
        <v>0.60870000000000002</v>
      </c>
      <c r="S822" s="40">
        <v>27</v>
      </c>
      <c r="T822" s="39">
        <v>9.7200000000000006</v>
      </c>
      <c r="U822" s="39">
        <v>9.81</v>
      </c>
      <c r="V822" s="39">
        <v>10.38</v>
      </c>
      <c r="W822" s="52">
        <v>0.85629999999999995</v>
      </c>
      <c r="X822" s="39">
        <v>17.25</v>
      </c>
      <c r="Y822" s="41">
        <v>114575.920250229</v>
      </c>
      <c r="Z822" s="39">
        <v>2767</v>
      </c>
      <c r="AA822" s="39">
        <v>1.32646680508627</v>
      </c>
    </row>
    <row r="823" spans="1:27" x14ac:dyDescent="0.25">
      <c r="A823" s="7" t="str">
        <f t="shared" si="12"/>
        <v>2719Providence St Joseph Medical Center3099Surgical Services Administration (U,N)</v>
      </c>
      <c r="B823" s="7"/>
      <c r="C823" s="29" t="s">
        <v>924</v>
      </c>
      <c r="D823" s="29" t="s">
        <v>924</v>
      </c>
      <c r="E823" s="29" t="s">
        <v>924</v>
      </c>
      <c r="F823" s="29">
        <v>2719</v>
      </c>
      <c r="G823" s="4" t="s">
        <v>1084</v>
      </c>
      <c r="H823" s="5">
        <v>3099</v>
      </c>
      <c r="I823" s="4" t="s">
        <v>46</v>
      </c>
      <c r="J823" s="4" t="s">
        <v>47</v>
      </c>
      <c r="K823" s="4" t="s">
        <v>48</v>
      </c>
      <c r="L823" s="4" t="s">
        <v>49</v>
      </c>
      <c r="M823" s="39">
        <v>8887</v>
      </c>
      <c r="N823" s="39">
        <v>8947</v>
      </c>
      <c r="O823" s="38">
        <v>0.49280000000000002</v>
      </c>
      <c r="P823" s="39">
        <v>1.54</v>
      </c>
      <c r="Q823" s="39">
        <v>1.95</v>
      </c>
      <c r="R823" s="38">
        <v>0.69210000000000005</v>
      </c>
      <c r="S823" s="40">
        <v>28</v>
      </c>
      <c r="T823" s="39">
        <v>1.06</v>
      </c>
      <c r="U823" s="39">
        <v>1.28</v>
      </c>
      <c r="V823" s="39">
        <v>1.62</v>
      </c>
      <c r="W823" s="52">
        <v>0.88880000000000003</v>
      </c>
      <c r="X823" s="39">
        <v>9.42</v>
      </c>
      <c r="Y823" s="41">
        <v>358198.50155125302</v>
      </c>
      <c r="Z823" s="39">
        <v>6762</v>
      </c>
      <c r="AA823" s="39">
        <v>3.2422330647505899</v>
      </c>
    </row>
    <row r="824" spans="1:27" x14ac:dyDescent="0.25">
      <c r="A824" s="7" t="str">
        <f t="shared" si="12"/>
        <v>2719Providence St Joseph Medical Center553071084700 - 05530 - PSJMC PBX</v>
      </c>
      <c r="B824" s="7"/>
      <c r="C824" s="29" t="s">
        <v>924</v>
      </c>
      <c r="D824" s="29" t="s">
        <v>924</v>
      </c>
      <c r="E824" s="29" t="s">
        <v>924</v>
      </c>
      <c r="F824" s="29">
        <v>2719</v>
      </c>
      <c r="G824" s="4" t="s">
        <v>1084</v>
      </c>
      <c r="H824" s="5">
        <v>5530</v>
      </c>
      <c r="I824" s="4" t="s">
        <v>144</v>
      </c>
      <c r="J824" s="4" t="s">
        <v>68</v>
      </c>
      <c r="K824" s="4" t="s">
        <v>1146</v>
      </c>
      <c r="L824" s="4" t="s">
        <v>18</v>
      </c>
      <c r="M824" s="39">
        <v>23392.76</v>
      </c>
      <c r="N824" s="39">
        <v>25623.31</v>
      </c>
      <c r="O824" s="38">
        <v>0.55169999999999997</v>
      </c>
      <c r="P824" s="39">
        <v>0.65</v>
      </c>
      <c r="Q824" s="39">
        <v>0.57999999999999996</v>
      </c>
      <c r="R824" s="38">
        <v>0.72409999999999997</v>
      </c>
      <c r="S824" s="40">
        <v>30</v>
      </c>
      <c r="T824" s="39">
        <v>0.37</v>
      </c>
      <c r="U824" s="39">
        <v>0.47</v>
      </c>
      <c r="V824" s="39">
        <v>0.51</v>
      </c>
      <c r="W824" s="52">
        <v>0.92789999999999995</v>
      </c>
      <c r="X824" s="39">
        <v>7.73</v>
      </c>
      <c r="Y824" s="41">
        <v>60080.751562808196</v>
      </c>
      <c r="Z824" s="39">
        <v>3144</v>
      </c>
      <c r="AA824" s="39">
        <v>1.5072826764560101</v>
      </c>
    </row>
    <row r="825" spans="1:27" x14ac:dyDescent="0.25">
      <c r="A825" s="7" t="str">
        <f t="shared" si="12"/>
        <v>2719Providence St Joseph Medical Center464071074350, PSJMC DFCC INFUSION CENTER</v>
      </c>
      <c r="B825" s="7"/>
      <c r="C825" s="29" t="s">
        <v>924</v>
      </c>
      <c r="D825" s="29" t="s">
        <v>924</v>
      </c>
      <c r="E825" s="29" t="s">
        <v>924</v>
      </c>
      <c r="F825" s="29">
        <v>2719</v>
      </c>
      <c r="G825" s="4" t="s">
        <v>1084</v>
      </c>
      <c r="H825" s="5">
        <v>4640</v>
      </c>
      <c r="I825" s="4" t="s">
        <v>82</v>
      </c>
      <c r="J825" s="4" t="s">
        <v>83</v>
      </c>
      <c r="K825" s="4" t="s">
        <v>1147</v>
      </c>
      <c r="L825" s="4" t="s">
        <v>84</v>
      </c>
      <c r="M825" s="7"/>
      <c r="N825" s="39">
        <v>3090</v>
      </c>
      <c r="O825" s="38">
        <v>0.56669999999999998</v>
      </c>
      <c r="P825" s="7"/>
      <c r="Q825" s="39">
        <v>2.2200000000000002</v>
      </c>
      <c r="R825" s="38">
        <v>0.44829999999999998</v>
      </c>
      <c r="S825" s="40">
        <v>31</v>
      </c>
      <c r="T825" s="39">
        <v>1.93</v>
      </c>
      <c r="U825" s="39">
        <v>2.08</v>
      </c>
      <c r="V825" s="39">
        <v>2.23</v>
      </c>
      <c r="W825" s="52">
        <v>0.89839999999999998</v>
      </c>
      <c r="X825" s="39">
        <v>3.67</v>
      </c>
      <c r="Y825" s="41">
        <v>28237.823961704202</v>
      </c>
      <c r="Z825" s="39">
        <v>500</v>
      </c>
      <c r="AA825" s="39">
        <v>0.23995174407963399</v>
      </c>
    </row>
    <row r="826" spans="1:27" x14ac:dyDescent="0.25">
      <c r="A826" s="7" t="str">
        <f t="shared" si="12"/>
        <v>2719Providence St Joseph Medical Center4490Pharmacy Administration and Support (U,N)</v>
      </c>
      <c r="B826" s="7"/>
      <c r="C826" s="29" t="s">
        <v>924</v>
      </c>
      <c r="D826" s="29" t="s">
        <v>924</v>
      </c>
      <c r="E826" s="29" t="s">
        <v>924</v>
      </c>
      <c r="F826" s="29">
        <v>2719</v>
      </c>
      <c r="G826" s="4" t="s">
        <v>1084</v>
      </c>
      <c r="H826" s="5">
        <v>4490</v>
      </c>
      <c r="I826" s="4" t="s">
        <v>36</v>
      </c>
      <c r="J826" s="4" t="s">
        <v>37</v>
      </c>
      <c r="K826" s="4" t="s">
        <v>38</v>
      </c>
      <c r="L826" s="4" t="s">
        <v>39</v>
      </c>
      <c r="M826" s="39">
        <v>35138.269999999997</v>
      </c>
      <c r="N826" s="39">
        <v>38947.43</v>
      </c>
      <c r="O826" s="38">
        <v>0.46939999999999998</v>
      </c>
      <c r="P826" s="39">
        <v>0.23</v>
      </c>
      <c r="Q826" s="39">
        <v>0.14000000000000001</v>
      </c>
      <c r="R826" s="38">
        <v>0.20660000000000001</v>
      </c>
      <c r="S826" s="40">
        <v>33</v>
      </c>
      <c r="T826" s="39">
        <v>0.15</v>
      </c>
      <c r="U826" s="39">
        <v>0.18</v>
      </c>
      <c r="V826" s="39">
        <v>0.21</v>
      </c>
      <c r="W826" s="52">
        <v>0.89319999999999999</v>
      </c>
      <c r="X826" s="39">
        <v>3.01</v>
      </c>
      <c r="Y826" s="41">
        <v>-110851.402184452</v>
      </c>
      <c r="Z826" s="39">
        <v>-1571</v>
      </c>
      <c r="AA826" s="39">
        <v>-0.753143286870541</v>
      </c>
    </row>
    <row r="827" spans="1:27" x14ac:dyDescent="0.25">
      <c r="A827" s="7" t="str">
        <f t="shared" si="12"/>
        <v>3855Providence St Joseph Medical Center Polson162046561700, MEDICAL SURGICAL</v>
      </c>
      <c r="B827" s="7"/>
      <c r="C827" s="29" t="s">
        <v>297</v>
      </c>
      <c r="D827" s="29" t="s">
        <v>298</v>
      </c>
      <c r="E827" s="29" t="s">
        <v>299</v>
      </c>
      <c r="F827" s="29">
        <v>3855</v>
      </c>
      <c r="G827" s="4" t="s">
        <v>508</v>
      </c>
      <c r="H827" s="5">
        <v>1620</v>
      </c>
      <c r="I827" s="4" t="s">
        <v>285</v>
      </c>
      <c r="J827" s="4" t="s">
        <v>23</v>
      </c>
      <c r="K827" s="4" t="s">
        <v>509</v>
      </c>
      <c r="L827" s="4" t="s">
        <v>114</v>
      </c>
      <c r="M827" s="6">
        <v>1877</v>
      </c>
      <c r="N827" s="6">
        <v>1366</v>
      </c>
      <c r="O827" s="7"/>
      <c r="P827" s="6">
        <v>22.94</v>
      </c>
      <c r="Q827" s="6">
        <v>30.25</v>
      </c>
      <c r="R827" s="7"/>
      <c r="S827" s="20">
        <v>9</v>
      </c>
      <c r="T827" s="6">
        <v>13.35</v>
      </c>
      <c r="U827" s="6">
        <v>13.96</v>
      </c>
      <c r="V827" s="6">
        <v>14.55</v>
      </c>
      <c r="W827" s="19">
        <v>0.92249999999999999</v>
      </c>
      <c r="X827" s="6">
        <v>21.54</v>
      </c>
      <c r="Y827" s="21">
        <v>671657.19557033305</v>
      </c>
      <c r="Z827" s="6">
        <v>24255</v>
      </c>
      <c r="AA827" s="6">
        <v>11.628990289145399</v>
      </c>
    </row>
    <row r="828" spans="1:27" x14ac:dyDescent="0.25">
      <c r="A828" s="7" t="str">
        <f t="shared" si="12"/>
        <v>3855Providence St Joseph Medical Center Polson500146584500, FAC ENGINEERING</v>
      </c>
      <c r="B828" s="7"/>
      <c r="C828" s="29" t="s">
        <v>297</v>
      </c>
      <c r="D828" s="29" t="s">
        <v>298</v>
      </c>
      <c r="E828" s="29" t="s">
        <v>299</v>
      </c>
      <c r="F828" s="29">
        <v>3855</v>
      </c>
      <c r="G828" s="4" t="s">
        <v>508</v>
      </c>
      <c r="H828" s="5">
        <v>5001</v>
      </c>
      <c r="I828" s="4" t="s">
        <v>141</v>
      </c>
      <c r="J828" s="4" t="s">
        <v>62</v>
      </c>
      <c r="K828" s="4" t="s">
        <v>518</v>
      </c>
      <c r="L828" s="4" t="s">
        <v>63</v>
      </c>
      <c r="M828" s="6">
        <v>143.71</v>
      </c>
      <c r="N828" s="6">
        <v>144.33000000000001</v>
      </c>
      <c r="O828" s="19">
        <v>0.55559999999999998</v>
      </c>
      <c r="P828" s="6">
        <v>64.08</v>
      </c>
      <c r="Q828" s="6">
        <v>56.33</v>
      </c>
      <c r="R828" s="19">
        <v>0.44440000000000002</v>
      </c>
      <c r="S828" s="20">
        <v>10</v>
      </c>
      <c r="T828" s="6">
        <v>44.79</v>
      </c>
      <c r="U828" s="6">
        <v>49.46</v>
      </c>
      <c r="V828" s="6">
        <v>62.61</v>
      </c>
      <c r="W828" s="19">
        <v>0.92220000000000002</v>
      </c>
      <c r="X828" s="6">
        <v>4.24</v>
      </c>
      <c r="Y828" s="21">
        <v>27571.952599029701</v>
      </c>
      <c r="Z828" s="6">
        <v>1103</v>
      </c>
      <c r="AA828" s="6">
        <v>0.52863417273786995</v>
      </c>
    </row>
    <row r="829" spans="1:27" x14ac:dyDescent="0.25">
      <c r="A829" s="7" t="str">
        <f t="shared" si="12"/>
        <v>3855Providence St Joseph Medical Center Polson411046577200, RESPIRATORY THERAPY</v>
      </c>
      <c r="B829" s="7"/>
      <c r="C829" s="29" t="s">
        <v>297</v>
      </c>
      <c r="D829" s="29" t="s">
        <v>298</v>
      </c>
      <c r="E829" s="29" t="s">
        <v>299</v>
      </c>
      <c r="F829" s="29">
        <v>3855</v>
      </c>
      <c r="G829" s="4" t="s">
        <v>508</v>
      </c>
      <c r="H829" s="5">
        <v>4110</v>
      </c>
      <c r="I829" s="4" t="s">
        <v>145</v>
      </c>
      <c r="J829" s="4" t="s">
        <v>44</v>
      </c>
      <c r="K829" s="4" t="s">
        <v>515</v>
      </c>
      <c r="L829" s="4" t="s">
        <v>45</v>
      </c>
      <c r="M829" s="6">
        <v>661.5</v>
      </c>
      <c r="N829" s="6">
        <v>705</v>
      </c>
      <c r="O829" s="19">
        <v>0.15379999999999999</v>
      </c>
      <c r="P829" s="6">
        <v>8.19</v>
      </c>
      <c r="Q829" s="6">
        <v>7.95</v>
      </c>
      <c r="R829" s="19">
        <v>0.61539999999999995</v>
      </c>
      <c r="S829" s="20">
        <v>14</v>
      </c>
      <c r="T829" s="6">
        <v>2.94</v>
      </c>
      <c r="U829" s="6">
        <v>4.41</v>
      </c>
      <c r="V829" s="6">
        <v>7.44</v>
      </c>
      <c r="W829" s="19">
        <v>0.91249999999999998</v>
      </c>
      <c r="X829" s="6">
        <v>2.95</v>
      </c>
      <c r="Y829" s="21">
        <v>86923.222199007505</v>
      </c>
      <c r="Z829" s="6">
        <v>2746</v>
      </c>
      <c r="AA829" s="6">
        <v>1.3164102784716001</v>
      </c>
    </row>
    <row r="830" spans="1:27" x14ac:dyDescent="0.25">
      <c r="A830" s="7" t="str">
        <f t="shared" si="12"/>
        <v>3855Providence St Joseph Medical Center Polson511246583400, DIETARY</v>
      </c>
      <c r="B830" s="7"/>
      <c r="C830" s="29" t="s">
        <v>297</v>
      </c>
      <c r="D830" s="29" t="s">
        <v>298</v>
      </c>
      <c r="E830" s="29" t="s">
        <v>299</v>
      </c>
      <c r="F830" s="29">
        <v>3855</v>
      </c>
      <c r="G830" s="4" t="s">
        <v>508</v>
      </c>
      <c r="H830" s="5">
        <v>5112</v>
      </c>
      <c r="I830" s="4" t="s">
        <v>281</v>
      </c>
      <c r="J830" s="4" t="s">
        <v>65</v>
      </c>
      <c r="K830" s="4" t="s">
        <v>516</v>
      </c>
      <c r="L830" s="4" t="s">
        <v>282</v>
      </c>
      <c r="M830" s="6">
        <v>57312.7</v>
      </c>
      <c r="N830" s="6">
        <v>71012.02</v>
      </c>
      <c r="O830" s="19">
        <v>0.5</v>
      </c>
      <c r="P830" s="6">
        <v>0.38</v>
      </c>
      <c r="Q830" s="6">
        <v>0.32</v>
      </c>
      <c r="R830" s="19">
        <v>1</v>
      </c>
      <c r="S830" s="20">
        <v>17</v>
      </c>
      <c r="T830" s="6">
        <v>0.21</v>
      </c>
      <c r="U830" s="6">
        <v>0.21</v>
      </c>
      <c r="V830" s="6">
        <v>0.22</v>
      </c>
      <c r="W830" s="19">
        <v>0.94269999999999998</v>
      </c>
      <c r="X830" s="6">
        <v>11.53</v>
      </c>
      <c r="Y830" s="21">
        <v>140747.66747446099</v>
      </c>
      <c r="Z830" s="6">
        <v>8229</v>
      </c>
      <c r="AA830" s="6">
        <v>3.9455199515139299</v>
      </c>
    </row>
    <row r="831" spans="1:27" x14ac:dyDescent="0.25">
      <c r="A831" s="7" t="str">
        <f t="shared" si="12"/>
        <v>3855Providence St Joseph Medical Center Polson661046586100, ADMINISTRATION (U)</v>
      </c>
      <c r="B831" s="7"/>
      <c r="C831" s="29" t="s">
        <v>297</v>
      </c>
      <c r="D831" s="29" t="s">
        <v>298</v>
      </c>
      <c r="E831" s="29" t="s">
        <v>299</v>
      </c>
      <c r="F831" s="29">
        <v>3855</v>
      </c>
      <c r="G831" s="4" t="s">
        <v>508</v>
      </c>
      <c r="H831" s="5">
        <v>6610</v>
      </c>
      <c r="I831" s="4" t="s">
        <v>72</v>
      </c>
      <c r="J831" s="4" t="s">
        <v>72</v>
      </c>
      <c r="K831" s="4" t="s">
        <v>519</v>
      </c>
      <c r="L831" s="4" t="s">
        <v>14</v>
      </c>
      <c r="M831" s="6">
        <v>33.17</v>
      </c>
      <c r="N831" s="6">
        <v>37.18</v>
      </c>
      <c r="O831" s="19">
        <v>0.27650000000000002</v>
      </c>
      <c r="P831" s="6">
        <v>232.24</v>
      </c>
      <c r="Q831" s="6">
        <v>209.71</v>
      </c>
      <c r="R831" s="19">
        <v>0.67410000000000003</v>
      </c>
      <c r="S831" s="20">
        <v>18</v>
      </c>
      <c r="T831" s="6">
        <v>89.04</v>
      </c>
      <c r="U831" s="6">
        <v>94</v>
      </c>
      <c r="V831" s="6">
        <v>116.17</v>
      </c>
      <c r="W831" s="19">
        <v>0.93389999999999995</v>
      </c>
      <c r="X831" s="6">
        <v>4.01</v>
      </c>
      <c r="Y831" s="21">
        <v>358238.07302218099</v>
      </c>
      <c r="Z831" s="6">
        <v>4621</v>
      </c>
      <c r="AA831" s="6">
        <v>2.2157414579158199</v>
      </c>
    </row>
    <row r="832" spans="1:27" x14ac:dyDescent="0.25">
      <c r="A832" s="7" t="str">
        <f t="shared" si="12"/>
        <v>3855Providence St Joseph Medical Center Polson441046577100, PHARMACY</v>
      </c>
      <c r="B832" s="7"/>
      <c r="C832" s="29" t="s">
        <v>297</v>
      </c>
      <c r="D832" s="29" t="s">
        <v>298</v>
      </c>
      <c r="E832" s="29" t="s">
        <v>299</v>
      </c>
      <c r="F832" s="29">
        <v>3855</v>
      </c>
      <c r="G832" s="4" t="s">
        <v>508</v>
      </c>
      <c r="H832" s="5">
        <v>4410</v>
      </c>
      <c r="I832" s="4" t="s">
        <v>37</v>
      </c>
      <c r="J832" s="4" t="s">
        <v>37</v>
      </c>
      <c r="K832" s="4" t="s">
        <v>513</v>
      </c>
      <c r="L832" s="4" t="s">
        <v>100</v>
      </c>
      <c r="M832" s="6">
        <v>2512.1799999999998</v>
      </c>
      <c r="N832" s="6">
        <v>2999.93</v>
      </c>
      <c r="O832" s="19">
        <v>0.52769999999999995</v>
      </c>
      <c r="P832" s="6">
        <v>1.88</v>
      </c>
      <c r="Q832" s="6">
        <v>2.25</v>
      </c>
      <c r="R832" s="19">
        <v>0.35620000000000002</v>
      </c>
      <c r="S832" s="20">
        <v>24</v>
      </c>
      <c r="T832" s="6">
        <v>2.08</v>
      </c>
      <c r="U832" s="6">
        <v>2.2400000000000002</v>
      </c>
      <c r="V832" s="6">
        <v>2.48</v>
      </c>
      <c r="W832" s="19">
        <v>0.91339999999999999</v>
      </c>
      <c r="X832" s="6">
        <v>3.56</v>
      </c>
      <c r="Y832" s="21">
        <v>2688.4029397716199</v>
      </c>
      <c r="Z832" s="6">
        <v>68</v>
      </c>
      <c r="AA832" s="6">
        <v>3.2668384384268098E-2</v>
      </c>
    </row>
    <row r="833" spans="1:27" x14ac:dyDescent="0.25">
      <c r="A833" s="7" t="str">
        <f t="shared" si="12"/>
        <v>3855Providence St Joseph Medical Center Polson3350Clinical Operations &amp; Blood Bank Combined</v>
      </c>
      <c r="B833" s="7"/>
      <c r="C833" s="29" t="s">
        <v>297</v>
      </c>
      <c r="D833" s="29" t="s">
        <v>298</v>
      </c>
      <c r="E833" s="29" t="s">
        <v>299</v>
      </c>
      <c r="F833" s="29">
        <v>3855</v>
      </c>
      <c r="G833" s="4" t="s">
        <v>508</v>
      </c>
      <c r="H833" s="5">
        <v>3350</v>
      </c>
      <c r="I833" s="4" t="s">
        <v>93</v>
      </c>
      <c r="J833" s="4" t="s">
        <v>53</v>
      </c>
      <c r="K833" s="4" t="s">
        <v>520</v>
      </c>
      <c r="L833" s="4" t="s">
        <v>94</v>
      </c>
      <c r="M833" s="6">
        <v>777.08</v>
      </c>
      <c r="N833" s="6">
        <v>726.45</v>
      </c>
      <c r="O833" s="19">
        <v>0.3478</v>
      </c>
      <c r="P833" s="6">
        <v>22.55</v>
      </c>
      <c r="Q833" s="6">
        <v>26.62</v>
      </c>
      <c r="R833" s="19">
        <v>0.56520000000000004</v>
      </c>
      <c r="S833" s="20">
        <v>24</v>
      </c>
      <c r="T833" s="6">
        <v>19.149999999999999</v>
      </c>
      <c r="U833" s="6">
        <v>20.25</v>
      </c>
      <c r="V833" s="6">
        <v>24.44</v>
      </c>
      <c r="W833" s="19">
        <v>0.94179999999999997</v>
      </c>
      <c r="X833" s="6">
        <v>9.8699999999999992</v>
      </c>
      <c r="Y833" s="21">
        <v>165895.159411125</v>
      </c>
      <c r="Z833" s="6">
        <v>4966</v>
      </c>
      <c r="AA833" s="6">
        <v>2.3810621159591001</v>
      </c>
    </row>
    <row r="834" spans="1:27" x14ac:dyDescent="0.25">
      <c r="A834" s="7" t="str">
        <f t="shared" si="12"/>
        <v>3855Providence St Joseph Medical Center Polson521046584400, ENVIRONMENTAL SERVICES</v>
      </c>
      <c r="B834" s="7"/>
      <c r="C834" s="29" t="s">
        <v>297</v>
      </c>
      <c r="D834" s="29" t="s">
        <v>298</v>
      </c>
      <c r="E834" s="29" t="s">
        <v>299</v>
      </c>
      <c r="F834" s="29">
        <v>3855</v>
      </c>
      <c r="G834" s="4" t="s">
        <v>508</v>
      </c>
      <c r="H834" s="5">
        <v>5210</v>
      </c>
      <c r="I834" s="4" t="s">
        <v>293</v>
      </c>
      <c r="J834" s="4" t="s">
        <v>50</v>
      </c>
      <c r="K834" s="4" t="s">
        <v>517</v>
      </c>
      <c r="L834" s="4" t="s">
        <v>51</v>
      </c>
      <c r="M834" s="6">
        <v>143.71</v>
      </c>
      <c r="N834" s="6">
        <v>144.33000000000001</v>
      </c>
      <c r="O834" s="19">
        <v>0.44</v>
      </c>
      <c r="P834" s="6">
        <v>93.79</v>
      </c>
      <c r="Q834" s="6">
        <v>99.43</v>
      </c>
      <c r="R834" s="7"/>
      <c r="S834" s="20">
        <v>26</v>
      </c>
      <c r="T834" s="6">
        <v>183.31</v>
      </c>
      <c r="U834" s="6">
        <v>191.2</v>
      </c>
      <c r="V834" s="6">
        <v>204.35</v>
      </c>
      <c r="W834" s="19">
        <v>0.93799999999999994</v>
      </c>
      <c r="X834" s="6">
        <v>7.36</v>
      </c>
      <c r="Y834" s="21">
        <v>-195207.812647393</v>
      </c>
      <c r="Z834" s="6">
        <v>-14069</v>
      </c>
      <c r="AA834" s="6">
        <v>-6.7455433522188297</v>
      </c>
    </row>
    <row r="835" spans="1:27" x14ac:dyDescent="0.25">
      <c r="A835" s="7" t="str">
        <f t="shared" ref="A835:A898" si="13">F835&amp;G835&amp;H835&amp;K835</f>
        <v>3855Providence St Joseph Medical Center Polson341146576300, DIAGNOSTIC IMAGING</v>
      </c>
      <c r="B835" s="7"/>
      <c r="C835" s="29" t="s">
        <v>297</v>
      </c>
      <c r="D835" s="29" t="s">
        <v>298</v>
      </c>
      <c r="E835" s="29" t="s">
        <v>299</v>
      </c>
      <c r="F835" s="29">
        <v>3855</v>
      </c>
      <c r="G835" s="4" t="s">
        <v>508</v>
      </c>
      <c r="H835" s="5">
        <v>3411</v>
      </c>
      <c r="I835" s="4" t="s">
        <v>117</v>
      </c>
      <c r="J835" s="4" t="s">
        <v>57</v>
      </c>
      <c r="K835" s="4" t="s">
        <v>512</v>
      </c>
      <c r="L835" s="4" t="s">
        <v>99</v>
      </c>
      <c r="M835" s="6">
        <v>6120.16</v>
      </c>
      <c r="N835" s="6">
        <v>7458.96</v>
      </c>
      <c r="O835" s="19">
        <v>0.56000000000000005</v>
      </c>
      <c r="P835" s="6">
        <v>1.87</v>
      </c>
      <c r="Q835" s="6">
        <v>1.28</v>
      </c>
      <c r="R835" s="19">
        <v>0.84</v>
      </c>
      <c r="S835" s="20">
        <v>26</v>
      </c>
      <c r="T835" s="6">
        <v>0.56000000000000005</v>
      </c>
      <c r="U835" s="6">
        <v>0.59</v>
      </c>
      <c r="V835" s="6">
        <v>0.78</v>
      </c>
      <c r="W835" s="19">
        <v>0.94550000000000001</v>
      </c>
      <c r="X835" s="6">
        <v>4.8499999999999996</v>
      </c>
      <c r="Y835" s="21">
        <v>154413.264205213</v>
      </c>
      <c r="Z835" s="6">
        <v>5461</v>
      </c>
      <c r="AA835" s="6">
        <v>2.6183971082884701</v>
      </c>
    </row>
    <row r="836" spans="1:27" x14ac:dyDescent="0.25">
      <c r="A836" s="7" t="str">
        <f t="shared" si="13"/>
        <v>3855Providence St Joseph Medical Center Polson201046570100, EMERGENCY SERVICES</v>
      </c>
      <c r="B836" s="7"/>
      <c r="C836" s="29" t="s">
        <v>297</v>
      </c>
      <c r="D836" s="29" t="s">
        <v>298</v>
      </c>
      <c r="E836" s="29" t="s">
        <v>299</v>
      </c>
      <c r="F836" s="29">
        <v>3855</v>
      </c>
      <c r="G836" s="4" t="s">
        <v>508</v>
      </c>
      <c r="H836" s="5">
        <v>2010</v>
      </c>
      <c r="I836" s="4" t="s">
        <v>75</v>
      </c>
      <c r="J836" s="4" t="s">
        <v>76</v>
      </c>
      <c r="K836" s="4" t="s">
        <v>510</v>
      </c>
      <c r="L836" s="4" t="s">
        <v>77</v>
      </c>
      <c r="M836" s="6">
        <v>4884</v>
      </c>
      <c r="N836" s="6">
        <v>4808</v>
      </c>
      <c r="O836" s="19">
        <v>0.15379999999999999</v>
      </c>
      <c r="P836" s="6">
        <v>2.94</v>
      </c>
      <c r="Q836" s="6">
        <v>2.98</v>
      </c>
      <c r="R836" s="19">
        <v>0.57689999999999997</v>
      </c>
      <c r="S836" s="20">
        <v>27</v>
      </c>
      <c r="T836" s="6">
        <v>2.19</v>
      </c>
      <c r="U836" s="6">
        <v>2.52</v>
      </c>
      <c r="V836" s="6">
        <v>2.87</v>
      </c>
      <c r="W836" s="19">
        <v>0.91339999999999999</v>
      </c>
      <c r="X836" s="6">
        <v>7.55</v>
      </c>
      <c r="Y836" s="21">
        <v>89991.289329641906</v>
      </c>
      <c r="Z836" s="6">
        <v>2482</v>
      </c>
      <c r="AA836" s="6">
        <v>1.1900726987411401</v>
      </c>
    </row>
    <row r="837" spans="1:27" x14ac:dyDescent="0.25">
      <c r="A837" s="7" t="str">
        <f t="shared" si="13"/>
        <v>3855Providence St Joseph Medical Center Polson441146577102, SJH Retail Pharmacy</v>
      </c>
      <c r="B837" s="7"/>
      <c r="C837" s="29" t="s">
        <v>297</v>
      </c>
      <c r="D837" s="29" t="s">
        <v>298</v>
      </c>
      <c r="E837" s="29" t="s">
        <v>299</v>
      </c>
      <c r="F837" s="29">
        <v>3855</v>
      </c>
      <c r="G837" s="4" t="s">
        <v>508</v>
      </c>
      <c r="H837" s="5">
        <v>4411</v>
      </c>
      <c r="I837" s="4" t="s">
        <v>154</v>
      </c>
      <c r="J837" s="4" t="s">
        <v>37</v>
      </c>
      <c r="K837" s="4" t="s">
        <v>514</v>
      </c>
      <c r="L837" s="4" t="s">
        <v>155</v>
      </c>
      <c r="M837" s="7"/>
      <c r="N837" s="6">
        <v>20967</v>
      </c>
      <c r="O837" s="19">
        <v>0.40739999999999998</v>
      </c>
      <c r="P837" s="7"/>
      <c r="Q837" s="6">
        <v>0.18</v>
      </c>
      <c r="R837" s="19">
        <v>0.04</v>
      </c>
      <c r="S837" s="20">
        <v>28</v>
      </c>
      <c r="T837" s="6">
        <v>0.21</v>
      </c>
      <c r="U837" s="6">
        <v>0.22</v>
      </c>
      <c r="V837" s="6">
        <v>0.23</v>
      </c>
      <c r="W837" s="19">
        <v>0.91569999999999996</v>
      </c>
      <c r="X837" s="6">
        <v>2.0299999999999998</v>
      </c>
      <c r="Y837" s="21">
        <v>-28718.685274298601</v>
      </c>
      <c r="Z837" s="6">
        <v>-803</v>
      </c>
      <c r="AA837" s="6">
        <v>-0.38520456393730701</v>
      </c>
    </row>
    <row r="838" spans="1:27" x14ac:dyDescent="0.25">
      <c r="A838" s="7" t="str">
        <f t="shared" si="13"/>
        <v>3855Providence St Joseph Medical Center Polson2210Multi-discipline Combined Clinic</v>
      </c>
      <c r="B838" s="7"/>
      <c r="C838" s="29" t="s">
        <v>297</v>
      </c>
      <c r="D838" s="29" t="s">
        <v>298</v>
      </c>
      <c r="E838" s="29" t="s">
        <v>299</v>
      </c>
      <c r="F838" s="29">
        <v>3855</v>
      </c>
      <c r="G838" s="4" t="s">
        <v>508</v>
      </c>
      <c r="H838" s="5">
        <v>2210</v>
      </c>
      <c r="I838" s="4" t="s">
        <v>511</v>
      </c>
      <c r="J838" s="4" t="s">
        <v>176</v>
      </c>
      <c r="K838" s="4" t="s">
        <v>511</v>
      </c>
      <c r="L838" s="4" t="s">
        <v>77</v>
      </c>
      <c r="M838" s="6">
        <v>26522</v>
      </c>
      <c r="N838" s="6">
        <v>25312</v>
      </c>
      <c r="O838" s="19">
        <v>0.5</v>
      </c>
      <c r="P838" s="6">
        <v>1.18</v>
      </c>
      <c r="Q838" s="6">
        <v>1.1000000000000001</v>
      </c>
      <c r="R838" s="19">
        <v>0.38240000000000002</v>
      </c>
      <c r="S838" s="20">
        <v>35</v>
      </c>
      <c r="T838" s="6">
        <v>1.02</v>
      </c>
      <c r="U838" s="6">
        <v>1.0900000000000001</v>
      </c>
      <c r="V838" s="6">
        <v>1.1200000000000001</v>
      </c>
      <c r="W838" s="19">
        <v>0.90639999999999998</v>
      </c>
      <c r="X838" s="6">
        <v>14.72</v>
      </c>
      <c r="Y838" s="21">
        <v>5800.6571151750804</v>
      </c>
      <c r="Z838" s="6">
        <v>262</v>
      </c>
      <c r="AA838" s="6">
        <v>0.12576880832835399</v>
      </c>
    </row>
    <row r="839" spans="1:27" x14ac:dyDescent="0.25">
      <c r="A839" s="7" t="str">
        <f t="shared" si="13"/>
        <v>3853Providence St Joseph's Hospital Chewelah500137584500, PLANT OPERATIONS</v>
      </c>
      <c r="B839" s="7"/>
      <c r="C839" s="29" t="s">
        <v>297</v>
      </c>
      <c r="D839" s="29" t="s">
        <v>349</v>
      </c>
      <c r="E839" s="29" t="s">
        <v>186</v>
      </c>
      <c r="F839" s="29">
        <v>3853</v>
      </c>
      <c r="G839" s="4" t="s">
        <v>460</v>
      </c>
      <c r="H839" s="5">
        <v>5001</v>
      </c>
      <c r="I839" s="4" t="s">
        <v>141</v>
      </c>
      <c r="J839" s="4" t="s">
        <v>62</v>
      </c>
      <c r="K839" s="4" t="s">
        <v>467</v>
      </c>
      <c r="L839" s="4" t="s">
        <v>63</v>
      </c>
      <c r="M839" s="6">
        <v>104.08</v>
      </c>
      <c r="N839" s="6">
        <v>104.08</v>
      </c>
      <c r="O839" s="19">
        <v>0.28570000000000001</v>
      </c>
      <c r="P839" s="6">
        <v>47.16</v>
      </c>
      <c r="Q839" s="6">
        <v>43.64</v>
      </c>
      <c r="R839" s="19">
        <v>0.1429</v>
      </c>
      <c r="S839" s="20">
        <v>8</v>
      </c>
      <c r="T839" s="6">
        <v>47.09</v>
      </c>
      <c r="U839" s="6">
        <v>51.88</v>
      </c>
      <c r="V839" s="6">
        <v>70.47</v>
      </c>
      <c r="W839" s="19">
        <v>0.92269999999999996</v>
      </c>
      <c r="X839" s="6">
        <v>2.37</v>
      </c>
      <c r="Y839" s="21">
        <v>-19670.728688250299</v>
      </c>
      <c r="Z839" s="6">
        <v>-909</v>
      </c>
      <c r="AA839" s="6">
        <v>-0.435788230942252</v>
      </c>
    </row>
    <row r="840" spans="1:27" x14ac:dyDescent="0.25">
      <c r="A840" s="7" t="str">
        <f t="shared" si="13"/>
        <v>3853Providence St Joseph's Hospital Chewelah4870PT OT SLP Combined Inpatient Outpatient</v>
      </c>
      <c r="B840" s="7"/>
      <c r="C840" s="29" t="s">
        <v>297</v>
      </c>
      <c r="D840" s="29" t="s">
        <v>349</v>
      </c>
      <c r="E840" s="29" t="s">
        <v>186</v>
      </c>
      <c r="F840" s="29">
        <v>3853</v>
      </c>
      <c r="G840" s="4" t="s">
        <v>460</v>
      </c>
      <c r="H840" s="5">
        <v>4870</v>
      </c>
      <c r="I840" s="4" t="s">
        <v>283</v>
      </c>
      <c r="J840" s="4" t="s">
        <v>41</v>
      </c>
      <c r="K840" s="4" t="s">
        <v>461</v>
      </c>
      <c r="L840" s="4" t="s">
        <v>79</v>
      </c>
      <c r="M840" s="6">
        <v>304.60000000000002</v>
      </c>
      <c r="N840" s="6">
        <v>445.56</v>
      </c>
      <c r="O840" s="19">
        <v>0.1429</v>
      </c>
      <c r="P840" s="6">
        <v>53.26</v>
      </c>
      <c r="Q840" s="6">
        <v>33.99</v>
      </c>
      <c r="R840" s="19">
        <v>0.57140000000000002</v>
      </c>
      <c r="S840" s="20">
        <v>8</v>
      </c>
      <c r="T840" s="6">
        <v>29.38</v>
      </c>
      <c r="U840" s="6">
        <v>30.24</v>
      </c>
      <c r="V840" s="6">
        <v>32.130000000000003</v>
      </c>
      <c r="W840" s="19">
        <v>0.87539999999999996</v>
      </c>
      <c r="X840" s="6">
        <v>8.32</v>
      </c>
      <c r="Y840" s="21">
        <v>94457.350253407407</v>
      </c>
      <c r="Z840" s="6">
        <v>1962</v>
      </c>
      <c r="AA840" s="6">
        <v>0.94045477406891398</v>
      </c>
    </row>
    <row r="841" spans="1:27" x14ac:dyDescent="0.25">
      <c r="A841" s="7" t="str">
        <f t="shared" si="13"/>
        <v>3853Providence St Joseph's Hospital Chewelah3001Surgical Services Combined Without Anesthesia</v>
      </c>
      <c r="B841" s="7"/>
      <c r="C841" s="29" t="s">
        <v>297</v>
      </c>
      <c r="D841" s="29" t="s">
        <v>349</v>
      </c>
      <c r="E841" s="29" t="s">
        <v>186</v>
      </c>
      <c r="F841" s="29">
        <v>3853</v>
      </c>
      <c r="G841" s="4" t="s">
        <v>460</v>
      </c>
      <c r="H841" s="5">
        <v>3001</v>
      </c>
      <c r="I841" s="4" t="s">
        <v>286</v>
      </c>
      <c r="J841" s="4" t="s">
        <v>47</v>
      </c>
      <c r="K841" s="4" t="s">
        <v>286</v>
      </c>
      <c r="L841" s="4" t="s">
        <v>88</v>
      </c>
      <c r="M841" s="6">
        <v>950.37</v>
      </c>
      <c r="N841" s="6">
        <v>863.52</v>
      </c>
      <c r="O841" s="19">
        <v>1</v>
      </c>
      <c r="P841" s="6">
        <v>8.6300000000000008</v>
      </c>
      <c r="Q841" s="6">
        <v>6.49</v>
      </c>
      <c r="R841" s="7"/>
      <c r="S841" s="20">
        <v>9</v>
      </c>
      <c r="T841" s="6">
        <v>23.24</v>
      </c>
      <c r="U841" s="6">
        <v>26.27</v>
      </c>
      <c r="V841" s="6">
        <v>30.51</v>
      </c>
      <c r="W841" s="19">
        <v>0.85089999999999999</v>
      </c>
      <c r="X841" s="6">
        <v>3.16</v>
      </c>
      <c r="Y841" s="21">
        <v>-699421.06501671602</v>
      </c>
      <c r="Z841" s="6">
        <v>-20069</v>
      </c>
      <c r="AA841" s="6">
        <v>-9.6220969922767594</v>
      </c>
    </row>
    <row r="842" spans="1:27" x14ac:dyDescent="0.25">
      <c r="A842" s="7" t="str">
        <f t="shared" si="13"/>
        <v>3853Providence St Joseph's Hospital Chewelah201037570100, 70101 EMERGENCY SERVICES</v>
      </c>
      <c r="B842" s="7"/>
      <c r="C842" s="29" t="s">
        <v>297</v>
      </c>
      <c r="D842" s="29" t="s">
        <v>349</v>
      </c>
      <c r="E842" s="29" t="s">
        <v>186</v>
      </c>
      <c r="F842" s="29">
        <v>3853</v>
      </c>
      <c r="G842" s="4" t="s">
        <v>460</v>
      </c>
      <c r="H842" s="5">
        <v>2010</v>
      </c>
      <c r="I842" s="4" t="s">
        <v>75</v>
      </c>
      <c r="J842" s="4" t="s">
        <v>76</v>
      </c>
      <c r="K842" s="4" t="s">
        <v>462</v>
      </c>
      <c r="L842" s="4" t="s">
        <v>77</v>
      </c>
      <c r="M842" s="6">
        <v>4363</v>
      </c>
      <c r="N842" s="6">
        <v>4881</v>
      </c>
      <c r="O842" s="19">
        <v>0.4</v>
      </c>
      <c r="P842" s="6">
        <v>3.39</v>
      </c>
      <c r="Q842" s="6">
        <v>3.08</v>
      </c>
      <c r="R842" s="19">
        <v>0.3</v>
      </c>
      <c r="S842" s="20">
        <v>11</v>
      </c>
      <c r="T842" s="6">
        <v>3.03</v>
      </c>
      <c r="U842" s="6">
        <v>3.35</v>
      </c>
      <c r="V842" s="6">
        <v>3.96</v>
      </c>
      <c r="W842" s="19">
        <v>0.85919999999999996</v>
      </c>
      <c r="X842" s="6">
        <v>8.4</v>
      </c>
      <c r="Y842" s="21">
        <v>-56187.9439589877</v>
      </c>
      <c r="Z842" s="6">
        <v>-1511</v>
      </c>
      <c r="AA842" s="6">
        <v>-0.72446700771387496</v>
      </c>
    </row>
    <row r="843" spans="1:27" x14ac:dyDescent="0.25">
      <c r="A843" s="7" t="str">
        <f t="shared" si="13"/>
        <v>3853Providence St Joseph's Hospital Chewelah661037586100, 86102 ADMINISTRATION</v>
      </c>
      <c r="B843" s="7"/>
      <c r="C843" s="29" t="s">
        <v>297</v>
      </c>
      <c r="D843" s="29" t="s">
        <v>349</v>
      </c>
      <c r="E843" s="29" t="s">
        <v>186</v>
      </c>
      <c r="F843" s="29">
        <v>3853</v>
      </c>
      <c r="G843" s="4" t="s">
        <v>460</v>
      </c>
      <c r="H843" s="5">
        <v>6610</v>
      </c>
      <c r="I843" s="4" t="s">
        <v>72</v>
      </c>
      <c r="J843" s="4" t="s">
        <v>72</v>
      </c>
      <c r="K843" s="4" t="s">
        <v>468</v>
      </c>
      <c r="L843" s="4" t="s">
        <v>14</v>
      </c>
      <c r="M843" s="6">
        <v>15.25</v>
      </c>
      <c r="N843" s="6">
        <v>14.77</v>
      </c>
      <c r="O843" s="19">
        <v>0.16669999999999999</v>
      </c>
      <c r="P843" s="6">
        <v>187.47</v>
      </c>
      <c r="Q843" s="6">
        <v>276.35000000000002</v>
      </c>
      <c r="R843" s="19">
        <v>0.5</v>
      </c>
      <c r="S843" s="20">
        <v>13</v>
      </c>
      <c r="T843" s="6">
        <v>124.73</v>
      </c>
      <c r="U843" s="6">
        <v>155.36000000000001</v>
      </c>
      <c r="V843" s="6">
        <v>276.35000000000002</v>
      </c>
      <c r="W843" s="19">
        <v>0.88149999999999995</v>
      </c>
      <c r="X843" s="6">
        <v>2.23</v>
      </c>
      <c r="Y843" s="21">
        <v>84225.161034268996</v>
      </c>
      <c r="Z843" s="6">
        <v>2048</v>
      </c>
      <c r="AA843" s="6">
        <v>0.98191101569989103</v>
      </c>
    </row>
    <row r="844" spans="1:27" x14ac:dyDescent="0.25">
      <c r="A844" s="7" t="str">
        <f t="shared" si="13"/>
        <v>3853Providence St Joseph's Hospital Chewelah191037587200, NURSING ADMINISTRATION</v>
      </c>
      <c r="B844" s="7"/>
      <c r="C844" s="29" t="s">
        <v>297</v>
      </c>
      <c r="D844" s="29" t="s">
        <v>349</v>
      </c>
      <c r="E844" s="29" t="s">
        <v>186</v>
      </c>
      <c r="F844" s="29">
        <v>3853</v>
      </c>
      <c r="G844" s="4" t="s">
        <v>460</v>
      </c>
      <c r="H844" s="5">
        <v>1910</v>
      </c>
      <c r="I844" s="4" t="s">
        <v>34</v>
      </c>
      <c r="J844" s="4" t="s">
        <v>23</v>
      </c>
      <c r="K844" s="4" t="s">
        <v>469</v>
      </c>
      <c r="L844" s="4" t="s">
        <v>35</v>
      </c>
      <c r="M844" s="6">
        <v>72</v>
      </c>
      <c r="N844" s="6">
        <v>75</v>
      </c>
      <c r="O844" s="19">
        <v>0.69230000000000003</v>
      </c>
      <c r="P844" s="6">
        <v>138.13999999999999</v>
      </c>
      <c r="Q844" s="6">
        <v>145.44</v>
      </c>
      <c r="R844" s="19">
        <v>0.15379999999999999</v>
      </c>
      <c r="S844" s="20">
        <v>14</v>
      </c>
      <c r="T844" s="6">
        <v>153.52000000000001</v>
      </c>
      <c r="U844" s="6">
        <v>168.98</v>
      </c>
      <c r="V844" s="6">
        <v>216.58</v>
      </c>
      <c r="W844" s="19">
        <v>0.87439999999999996</v>
      </c>
      <c r="X844" s="6">
        <v>4.4400000000000004</v>
      </c>
      <c r="Y844" s="21">
        <v>-232868.76470486401</v>
      </c>
      <c r="Z844" s="6">
        <v>-5233</v>
      </c>
      <c r="AA844" s="6">
        <v>-2.50919628941047</v>
      </c>
    </row>
    <row r="845" spans="1:27" x14ac:dyDescent="0.25">
      <c r="A845" s="7" t="str">
        <f t="shared" si="13"/>
        <v>3853Providence St Joseph's Hospital Chewelah4899Rehabilitation Services Administration (U,N)</v>
      </c>
      <c r="B845" s="7"/>
      <c r="C845" s="29" t="s">
        <v>297</v>
      </c>
      <c r="D845" s="29" t="s">
        <v>349</v>
      </c>
      <c r="E845" s="29" t="s">
        <v>186</v>
      </c>
      <c r="F845" s="29">
        <v>3853</v>
      </c>
      <c r="G845" s="4" t="s">
        <v>460</v>
      </c>
      <c r="H845" s="5">
        <v>4899</v>
      </c>
      <c r="I845" s="4" t="s">
        <v>40</v>
      </c>
      <c r="J845" s="4" t="s">
        <v>41</v>
      </c>
      <c r="K845" s="4" t="s">
        <v>42</v>
      </c>
      <c r="L845" s="4" t="s">
        <v>43</v>
      </c>
      <c r="M845" s="7"/>
      <c r="N845" s="6">
        <v>346.19</v>
      </c>
      <c r="O845" s="19">
        <v>9.8500000000000004E-2</v>
      </c>
      <c r="P845" s="7"/>
      <c r="Q845" s="6">
        <v>14.64</v>
      </c>
      <c r="R845" s="19">
        <v>0.98619999999999997</v>
      </c>
      <c r="S845" s="20">
        <v>14</v>
      </c>
      <c r="T845" s="6">
        <v>1.49</v>
      </c>
      <c r="U845" s="6">
        <v>2.13</v>
      </c>
      <c r="V845" s="6">
        <v>6.28</v>
      </c>
      <c r="W845" s="19">
        <v>0.89829999999999999</v>
      </c>
      <c r="X845" s="6">
        <v>2.71</v>
      </c>
      <c r="Y845" s="21">
        <v>122503.80390180901</v>
      </c>
      <c r="Z845" s="6">
        <v>4831</v>
      </c>
      <c r="AA845" s="6">
        <v>2.3164310017626102</v>
      </c>
    </row>
    <row r="846" spans="1:27" x14ac:dyDescent="0.25">
      <c r="A846" s="7" t="str">
        <f t="shared" si="13"/>
        <v>3853Providence St Joseph's Hospital Chewelah341137576300, DIAGNOSTIC IMAGING</v>
      </c>
      <c r="B846" s="7"/>
      <c r="C846" s="29" t="s">
        <v>297</v>
      </c>
      <c r="D846" s="29" t="s">
        <v>349</v>
      </c>
      <c r="E846" s="29" t="s">
        <v>186</v>
      </c>
      <c r="F846" s="29">
        <v>3853</v>
      </c>
      <c r="G846" s="4" t="s">
        <v>460</v>
      </c>
      <c r="H846" s="5">
        <v>3411</v>
      </c>
      <c r="I846" s="4" t="s">
        <v>117</v>
      </c>
      <c r="J846" s="4" t="s">
        <v>57</v>
      </c>
      <c r="K846" s="4" t="s">
        <v>463</v>
      </c>
      <c r="L846" s="4" t="s">
        <v>99</v>
      </c>
      <c r="M846" s="6">
        <v>14310.01</v>
      </c>
      <c r="N846" s="6">
        <v>14176.93</v>
      </c>
      <c r="O846" s="19">
        <v>0.57140000000000002</v>
      </c>
      <c r="P846" s="6">
        <v>0.65</v>
      </c>
      <c r="Q846" s="6">
        <v>0.64</v>
      </c>
      <c r="R846" s="19">
        <v>0.35709999999999997</v>
      </c>
      <c r="S846" s="20">
        <v>15</v>
      </c>
      <c r="T846" s="6">
        <v>0.6</v>
      </c>
      <c r="U846" s="6">
        <v>0.64</v>
      </c>
      <c r="V846" s="6">
        <v>0.82</v>
      </c>
      <c r="W846" s="19">
        <v>0.8589</v>
      </c>
      <c r="X846" s="6">
        <v>5.07</v>
      </c>
      <c r="Y846" s="21">
        <v>435.76111610780401</v>
      </c>
      <c r="Z846" s="6">
        <v>11</v>
      </c>
      <c r="AA846" s="6">
        <v>5.1367374081827703E-3</v>
      </c>
    </row>
    <row r="847" spans="1:27" x14ac:dyDescent="0.25">
      <c r="A847" s="7" t="str">
        <f t="shared" si="13"/>
        <v>3853Providence St Joseph's Hospital Chewelah441037577100, PHARMACY</v>
      </c>
      <c r="B847" s="7"/>
      <c r="C847" s="29" t="s">
        <v>297</v>
      </c>
      <c r="D847" s="29" t="s">
        <v>349</v>
      </c>
      <c r="E847" s="29" t="s">
        <v>186</v>
      </c>
      <c r="F847" s="29">
        <v>3853</v>
      </c>
      <c r="G847" s="43" t="s">
        <v>460</v>
      </c>
      <c r="H847" s="42">
        <v>4410</v>
      </c>
      <c r="I847" s="43" t="s">
        <v>37</v>
      </c>
      <c r="J847" s="43" t="s">
        <v>37</v>
      </c>
      <c r="K847" s="43" t="s">
        <v>464</v>
      </c>
      <c r="L847" s="43" t="s">
        <v>100</v>
      </c>
      <c r="M847" s="46">
        <v>898.85</v>
      </c>
      <c r="N847" s="46">
        <v>1049.72</v>
      </c>
      <c r="O847" s="45">
        <v>0.125</v>
      </c>
      <c r="P847" s="46">
        <v>7.03</v>
      </c>
      <c r="Q847" s="46">
        <v>7.01</v>
      </c>
      <c r="R847" s="45">
        <v>1</v>
      </c>
      <c r="S847" s="47">
        <v>17</v>
      </c>
      <c r="T847" s="46">
        <v>2.16</v>
      </c>
      <c r="U847" s="46">
        <v>2.27</v>
      </c>
      <c r="V847" s="46">
        <v>2.48</v>
      </c>
      <c r="W847" s="45">
        <v>0.92349999999999999</v>
      </c>
      <c r="X847" s="46">
        <v>3.83</v>
      </c>
      <c r="Y847" s="48">
        <v>283089.23677807802</v>
      </c>
      <c r="Z847" s="46">
        <v>5408</v>
      </c>
      <c r="AA847" s="46">
        <v>2.5928835321472201</v>
      </c>
    </row>
    <row r="848" spans="1:27" x14ac:dyDescent="0.25">
      <c r="A848" s="7" t="str">
        <f t="shared" si="13"/>
        <v>3853Providence St Joseph's Hospital Chewelah511237583400, DIETARY</v>
      </c>
      <c r="B848" s="7"/>
      <c r="C848" s="29" t="s">
        <v>297</v>
      </c>
      <c r="D848" s="29" t="s">
        <v>349</v>
      </c>
      <c r="E848" s="29" t="s">
        <v>186</v>
      </c>
      <c r="F848" s="29">
        <v>3853</v>
      </c>
      <c r="G848" s="4" t="s">
        <v>460</v>
      </c>
      <c r="H848" s="5">
        <v>5112</v>
      </c>
      <c r="I848" s="4" t="s">
        <v>281</v>
      </c>
      <c r="J848" s="4" t="s">
        <v>65</v>
      </c>
      <c r="K848" s="4" t="s">
        <v>466</v>
      </c>
      <c r="L848" s="4" t="s">
        <v>282</v>
      </c>
      <c r="M848" s="6">
        <v>54469.54</v>
      </c>
      <c r="N848" s="6">
        <v>67380.78</v>
      </c>
      <c r="O848" s="19">
        <v>0.33329999999999999</v>
      </c>
      <c r="P848" s="6">
        <v>0.25</v>
      </c>
      <c r="Q848" s="6">
        <v>0.2</v>
      </c>
      <c r="R848" s="19">
        <v>0.23530000000000001</v>
      </c>
      <c r="S848" s="20">
        <v>19</v>
      </c>
      <c r="T848" s="6">
        <v>0.2</v>
      </c>
      <c r="U848" s="6">
        <v>0.21</v>
      </c>
      <c r="V848" s="6">
        <v>0.22</v>
      </c>
      <c r="W848" s="19">
        <v>0.88290000000000002</v>
      </c>
      <c r="X848" s="6">
        <v>7.35</v>
      </c>
      <c r="Y848" s="21">
        <v>-9928.5502180893</v>
      </c>
      <c r="Z848" s="6">
        <v>-697</v>
      </c>
      <c r="AA848" s="6">
        <v>-0.33408164777412303</v>
      </c>
    </row>
    <row r="849" spans="1:27" x14ac:dyDescent="0.25">
      <c r="A849" s="7" t="str">
        <f t="shared" si="13"/>
        <v>3853Providence St Joseph's Hospital Chewelah413037577200, RESPIRATORY THERAPY</v>
      </c>
      <c r="B849" s="7"/>
      <c r="C849" s="29" t="s">
        <v>297</v>
      </c>
      <c r="D849" s="29" t="s">
        <v>349</v>
      </c>
      <c r="E849" s="29" t="s">
        <v>186</v>
      </c>
      <c r="F849" s="29">
        <v>3853</v>
      </c>
      <c r="G849" s="4" t="s">
        <v>460</v>
      </c>
      <c r="H849" s="5">
        <v>4130</v>
      </c>
      <c r="I849" s="4" t="s">
        <v>184</v>
      </c>
      <c r="J849" s="4" t="s">
        <v>44</v>
      </c>
      <c r="K849" s="4" t="s">
        <v>465</v>
      </c>
      <c r="L849" s="4" t="s">
        <v>45</v>
      </c>
      <c r="M849" s="6">
        <v>409.5</v>
      </c>
      <c r="N849" s="6">
        <v>403.2</v>
      </c>
      <c r="O849" s="19">
        <v>0</v>
      </c>
      <c r="P849" s="6">
        <v>20.43</v>
      </c>
      <c r="Q849" s="6">
        <v>18.329999999999998</v>
      </c>
      <c r="R849" s="7"/>
      <c r="S849" s="20">
        <v>26</v>
      </c>
      <c r="T849" s="6">
        <v>2.2400000000000002</v>
      </c>
      <c r="U849" s="6">
        <v>2.61</v>
      </c>
      <c r="V849" s="6">
        <v>2.92</v>
      </c>
      <c r="W849" s="19">
        <v>0.90269999999999995</v>
      </c>
      <c r="X849" s="6">
        <v>3.94</v>
      </c>
      <c r="Y849" s="21">
        <v>191879.05319667701</v>
      </c>
      <c r="Z849" s="6">
        <v>7052</v>
      </c>
      <c r="AA849" s="6">
        <v>3.3810592836726898</v>
      </c>
    </row>
    <row r="850" spans="1:27" x14ac:dyDescent="0.25">
      <c r="A850" s="7" t="str">
        <f t="shared" si="13"/>
        <v>3848Providence St Patrick Hospital &amp; Health Science Ce423046075700, CARDIOVASCULAR LAB</v>
      </c>
      <c r="B850" s="7"/>
      <c r="C850" s="29" t="s">
        <v>297</v>
      </c>
      <c r="D850" s="29" t="s">
        <v>298</v>
      </c>
      <c r="E850" s="29" t="s">
        <v>299</v>
      </c>
      <c r="F850" s="29">
        <v>3848</v>
      </c>
      <c r="G850" s="4" t="s">
        <v>300</v>
      </c>
      <c r="H850" s="5">
        <v>4230</v>
      </c>
      <c r="I850" s="4" t="s">
        <v>96</v>
      </c>
      <c r="J850" s="4" t="s">
        <v>60</v>
      </c>
      <c r="K850" s="4" t="s">
        <v>317</v>
      </c>
      <c r="L850" s="4" t="s">
        <v>97</v>
      </c>
      <c r="M850" s="7"/>
      <c r="N850" s="6">
        <v>216012</v>
      </c>
      <c r="O850" s="19">
        <v>0.92400000000000004</v>
      </c>
      <c r="P850" s="7"/>
      <c r="Q850" s="6">
        <v>0.16</v>
      </c>
      <c r="R850" s="19">
        <v>0.27639999999999998</v>
      </c>
      <c r="S850" s="20">
        <v>8</v>
      </c>
      <c r="T850" s="6">
        <v>0.16</v>
      </c>
      <c r="U850" s="6">
        <v>0.18</v>
      </c>
      <c r="V850" s="6">
        <v>0.21</v>
      </c>
      <c r="W850" s="19">
        <v>0.87990000000000002</v>
      </c>
      <c r="X850" s="6">
        <v>19.39</v>
      </c>
      <c r="Y850" s="21">
        <v>-135909.40959123999</v>
      </c>
      <c r="Z850" s="6">
        <v>-3748</v>
      </c>
      <c r="AA850" s="6">
        <v>-1.7967930373407399</v>
      </c>
    </row>
    <row r="851" spans="1:27" x14ac:dyDescent="0.25">
      <c r="A851" s="7" t="str">
        <f t="shared" si="13"/>
        <v>3848Providence St Patrick Hospital &amp; Health Science Ce123946061701, NEURO/ORTHO</v>
      </c>
      <c r="B851" s="7"/>
      <c r="C851" s="29" t="s">
        <v>297</v>
      </c>
      <c r="D851" s="29" t="s">
        <v>298</v>
      </c>
      <c r="E851" s="29" t="s">
        <v>299</v>
      </c>
      <c r="F851" s="29">
        <v>3848</v>
      </c>
      <c r="G851" s="4" t="s">
        <v>300</v>
      </c>
      <c r="H851" s="5">
        <v>1239</v>
      </c>
      <c r="I851" s="4" t="s">
        <v>289</v>
      </c>
      <c r="J851" s="4" t="s">
        <v>23</v>
      </c>
      <c r="K851" s="4" t="s">
        <v>314</v>
      </c>
      <c r="L851" s="4" t="s">
        <v>74</v>
      </c>
      <c r="M851" s="6">
        <v>7866</v>
      </c>
      <c r="N851" s="6">
        <v>8423</v>
      </c>
      <c r="O851" s="19">
        <v>0.71430000000000005</v>
      </c>
      <c r="P851" s="6">
        <v>11.71</v>
      </c>
      <c r="Q851" s="6">
        <v>11.57</v>
      </c>
      <c r="R851" s="19">
        <v>1</v>
      </c>
      <c r="S851" s="20">
        <v>8</v>
      </c>
      <c r="T851" s="6">
        <v>9.7100000000000009</v>
      </c>
      <c r="U851" s="6">
        <v>9.7899999999999991</v>
      </c>
      <c r="V851" s="6">
        <v>10.210000000000001</v>
      </c>
      <c r="W851" s="19">
        <v>0.91520000000000001</v>
      </c>
      <c r="X851" s="6">
        <v>51.21</v>
      </c>
      <c r="Y851" s="21">
        <v>446052.149229659</v>
      </c>
      <c r="Z851" s="6">
        <v>16707</v>
      </c>
      <c r="AA851" s="6">
        <v>8.0102095773047992</v>
      </c>
    </row>
    <row r="852" spans="1:27" x14ac:dyDescent="0.25">
      <c r="A852" s="7" t="str">
        <f t="shared" si="13"/>
        <v>3848Providence St Patrick Hospital &amp; Health Science Ce441146077102, RETAIL PHARMACY (U)</v>
      </c>
      <c r="B852" s="7"/>
      <c r="C852" s="29" t="s">
        <v>297</v>
      </c>
      <c r="D852" s="29" t="s">
        <v>298</v>
      </c>
      <c r="E852" s="29" t="s">
        <v>299</v>
      </c>
      <c r="F852" s="29">
        <v>3848</v>
      </c>
      <c r="G852" s="4" t="s">
        <v>300</v>
      </c>
      <c r="H852" s="5">
        <v>4411</v>
      </c>
      <c r="I852" s="4" t="s">
        <v>154</v>
      </c>
      <c r="J852" s="4" t="s">
        <v>37</v>
      </c>
      <c r="K852" s="4" t="s">
        <v>336</v>
      </c>
      <c r="L852" s="4" t="s">
        <v>155</v>
      </c>
      <c r="M852" s="6">
        <v>473306</v>
      </c>
      <c r="N852" s="6">
        <v>66694</v>
      </c>
      <c r="O852" s="7"/>
      <c r="P852" s="6">
        <v>0.03</v>
      </c>
      <c r="Q852" s="6">
        <v>0.22</v>
      </c>
      <c r="R852" s="19">
        <v>0.63260000000000005</v>
      </c>
      <c r="S852" s="20">
        <v>9</v>
      </c>
      <c r="T852" s="6">
        <v>0.2</v>
      </c>
      <c r="U852" s="6">
        <v>0.2</v>
      </c>
      <c r="V852" s="6">
        <v>0.21</v>
      </c>
      <c r="W852" s="19">
        <v>0.88680000000000003</v>
      </c>
      <c r="X852" s="6">
        <v>7.88</v>
      </c>
      <c r="Y852" s="21">
        <v>50532.891432685101</v>
      </c>
      <c r="Z852" s="6">
        <v>1394</v>
      </c>
      <c r="AA852" s="6">
        <v>0.66827371186170004</v>
      </c>
    </row>
    <row r="853" spans="1:27" x14ac:dyDescent="0.25">
      <c r="A853" s="7" t="str">
        <f t="shared" si="13"/>
        <v>3848Providence St Patrick Hospital &amp; Health Science Ce481546077700, PHYSICAL THERAPY</v>
      </c>
      <c r="B853" s="7"/>
      <c r="C853" s="29" t="s">
        <v>297</v>
      </c>
      <c r="D853" s="29" t="s">
        <v>298</v>
      </c>
      <c r="E853" s="29" t="s">
        <v>299</v>
      </c>
      <c r="F853" s="29">
        <v>3848</v>
      </c>
      <c r="G853" s="4" t="s">
        <v>300</v>
      </c>
      <c r="H853" s="5">
        <v>4815</v>
      </c>
      <c r="I853" s="4" t="s">
        <v>280</v>
      </c>
      <c r="J853" s="4" t="s">
        <v>41</v>
      </c>
      <c r="K853" s="4" t="s">
        <v>325</v>
      </c>
      <c r="L853" s="4" t="s">
        <v>79</v>
      </c>
      <c r="M853" s="6">
        <v>1192.1199999999999</v>
      </c>
      <c r="N853" s="6">
        <v>1198.94</v>
      </c>
      <c r="O853" s="19">
        <v>1</v>
      </c>
      <c r="P853" s="6">
        <v>21.61</v>
      </c>
      <c r="Q853" s="6">
        <v>20.81</v>
      </c>
      <c r="R853" s="19">
        <v>0.18179999999999999</v>
      </c>
      <c r="S853" s="20">
        <v>10</v>
      </c>
      <c r="T853" s="6">
        <v>21.02</v>
      </c>
      <c r="U853" s="6">
        <v>21.91</v>
      </c>
      <c r="V853" s="6">
        <v>22.91</v>
      </c>
      <c r="W853" s="19">
        <v>0.9022</v>
      </c>
      <c r="X853" s="6">
        <v>13.29</v>
      </c>
      <c r="Y853" s="21">
        <v>-48277.191737307003</v>
      </c>
      <c r="Z853" s="6">
        <v>-1397</v>
      </c>
      <c r="AA853" s="6">
        <v>-0.66999180621348697</v>
      </c>
    </row>
    <row r="854" spans="1:27" x14ac:dyDescent="0.25">
      <c r="A854" s="7" t="str">
        <f t="shared" si="13"/>
        <v>3848Providence St Patrick Hospital &amp; Health Science Ce623046082100, 87940 EDUCATION</v>
      </c>
      <c r="B854" s="7"/>
      <c r="C854" s="29" t="s">
        <v>297</v>
      </c>
      <c r="D854" s="29" t="s">
        <v>298</v>
      </c>
      <c r="E854" s="29" t="s">
        <v>299</v>
      </c>
      <c r="F854" s="29">
        <v>3848</v>
      </c>
      <c r="G854" s="4" t="s">
        <v>300</v>
      </c>
      <c r="H854" s="5">
        <v>6230</v>
      </c>
      <c r="I854" s="4" t="s">
        <v>284</v>
      </c>
      <c r="J854" s="4" t="s">
        <v>21</v>
      </c>
      <c r="K854" s="4" t="s">
        <v>328</v>
      </c>
      <c r="L854" s="4" t="s">
        <v>18</v>
      </c>
      <c r="M854" s="6">
        <v>18029.03</v>
      </c>
      <c r="N854" s="6">
        <v>19397.45</v>
      </c>
      <c r="O854" s="19">
        <v>0.66669999999999996</v>
      </c>
      <c r="P854" s="6">
        <v>0.82</v>
      </c>
      <c r="Q854" s="6">
        <v>0.51</v>
      </c>
      <c r="R854" s="19">
        <v>0.55559999999999998</v>
      </c>
      <c r="S854" s="20">
        <v>10</v>
      </c>
      <c r="T854" s="6">
        <v>0.41</v>
      </c>
      <c r="U854" s="6">
        <v>0.43</v>
      </c>
      <c r="V854" s="6">
        <v>0.5</v>
      </c>
      <c r="W854" s="19">
        <v>0.9123</v>
      </c>
      <c r="X854" s="6">
        <v>5.2</v>
      </c>
      <c r="Y854" s="21">
        <v>46499.767991262801</v>
      </c>
      <c r="Z854" s="6">
        <v>1703</v>
      </c>
      <c r="AA854" s="6">
        <v>0.81647406231493003</v>
      </c>
    </row>
    <row r="855" spans="1:27" x14ac:dyDescent="0.25">
      <c r="A855" s="7" t="str">
        <f t="shared" si="13"/>
        <v>3848Providence St Patrick Hospital &amp; Health Science Ce307146074701, STERILE PROCESSING</v>
      </c>
      <c r="B855" s="7"/>
      <c r="C855" s="29" t="s">
        <v>297</v>
      </c>
      <c r="D855" s="29" t="s">
        <v>298</v>
      </c>
      <c r="E855" s="29" t="s">
        <v>299</v>
      </c>
      <c r="F855" s="29">
        <v>3848</v>
      </c>
      <c r="G855" s="4" t="s">
        <v>300</v>
      </c>
      <c r="H855" s="5">
        <v>3071</v>
      </c>
      <c r="I855" s="4" t="s">
        <v>290</v>
      </c>
      <c r="J855" s="4" t="s">
        <v>47</v>
      </c>
      <c r="K855" s="4" t="s">
        <v>309</v>
      </c>
      <c r="L855" s="4" t="s">
        <v>92</v>
      </c>
      <c r="M855" s="6">
        <v>1403.03</v>
      </c>
      <c r="N855" s="6">
        <v>1437.24</v>
      </c>
      <c r="O855" s="19">
        <v>0.72729999999999995</v>
      </c>
      <c r="P855" s="6">
        <v>19.02</v>
      </c>
      <c r="Q855" s="6">
        <v>19.989999999999998</v>
      </c>
      <c r="R855" s="19">
        <v>0.2727</v>
      </c>
      <c r="S855" s="20">
        <v>12</v>
      </c>
      <c r="T855" s="6">
        <v>19.93</v>
      </c>
      <c r="U855" s="6">
        <v>20.010000000000002</v>
      </c>
      <c r="V855" s="6">
        <v>23.67</v>
      </c>
      <c r="W855" s="19">
        <v>0.90890000000000004</v>
      </c>
      <c r="X855" s="6">
        <v>15.19</v>
      </c>
      <c r="Y855" s="21">
        <v>665.25128541646097</v>
      </c>
      <c r="Z855" s="6">
        <v>40</v>
      </c>
      <c r="AA855" s="6">
        <v>1.92015130532237E-2</v>
      </c>
    </row>
    <row r="856" spans="1:27" x14ac:dyDescent="0.25">
      <c r="A856" s="7" t="str">
        <f t="shared" si="13"/>
        <v>3848Providence St Patrick Hospital &amp; Health Science Ce121446061730, MEDICAL ONCOLOGY</v>
      </c>
      <c r="B856" s="7"/>
      <c r="C856" s="29" t="s">
        <v>297</v>
      </c>
      <c r="D856" s="29" t="s">
        <v>298</v>
      </c>
      <c r="E856" s="29" t="s">
        <v>299</v>
      </c>
      <c r="F856" s="29">
        <v>3848</v>
      </c>
      <c r="G856" s="4" t="s">
        <v>300</v>
      </c>
      <c r="H856" s="5">
        <v>1214</v>
      </c>
      <c r="I856" s="4" t="s">
        <v>109</v>
      </c>
      <c r="J856" s="4" t="s">
        <v>23</v>
      </c>
      <c r="K856" s="4" t="s">
        <v>315</v>
      </c>
      <c r="L856" s="4" t="s">
        <v>74</v>
      </c>
      <c r="M856" s="6">
        <v>9001</v>
      </c>
      <c r="N856" s="6">
        <v>9309</v>
      </c>
      <c r="O856" s="19">
        <v>0.72729999999999995</v>
      </c>
      <c r="P856" s="6">
        <v>11.06</v>
      </c>
      <c r="Q856" s="6">
        <v>10.87</v>
      </c>
      <c r="R856" s="19">
        <v>0.45450000000000002</v>
      </c>
      <c r="S856" s="20">
        <v>12</v>
      </c>
      <c r="T856" s="6">
        <v>9.6300000000000008</v>
      </c>
      <c r="U856" s="6">
        <v>10.4</v>
      </c>
      <c r="V856" s="6">
        <v>10.98</v>
      </c>
      <c r="W856" s="19">
        <v>0.91269999999999996</v>
      </c>
      <c r="X856" s="6">
        <v>53.29</v>
      </c>
      <c r="Y856" s="21">
        <v>138197.03446886901</v>
      </c>
      <c r="Z856" s="6">
        <v>5073</v>
      </c>
      <c r="AA856" s="6">
        <v>2.4323278380915299</v>
      </c>
    </row>
    <row r="857" spans="1:27" x14ac:dyDescent="0.25">
      <c r="A857" s="7" t="str">
        <f t="shared" si="13"/>
        <v>3848Providence St Patrick Hospital &amp; Health Science Ce5530COMMUNICATIONS PC (U)</v>
      </c>
      <c r="B857" s="7"/>
      <c r="C857" s="29" t="s">
        <v>297</v>
      </c>
      <c r="D857" s="29" t="s">
        <v>298</v>
      </c>
      <c r="E857" s="29" t="s">
        <v>299</v>
      </c>
      <c r="F857" s="29">
        <v>3848</v>
      </c>
      <c r="G857" s="4" t="s">
        <v>300</v>
      </c>
      <c r="H857" s="5">
        <v>5530</v>
      </c>
      <c r="I857" s="4" t="s">
        <v>144</v>
      </c>
      <c r="J857" s="4" t="s">
        <v>68</v>
      </c>
      <c r="K857" s="4" t="s">
        <v>342</v>
      </c>
      <c r="L857" s="4" t="s">
        <v>343</v>
      </c>
      <c r="M857" s="6">
        <v>5021.26</v>
      </c>
      <c r="N857" s="6">
        <v>5069.5600000000004</v>
      </c>
      <c r="O857" s="19">
        <v>0.47399999999999998</v>
      </c>
      <c r="P857" s="6">
        <v>0.83</v>
      </c>
      <c r="Q857" s="6">
        <v>2.98</v>
      </c>
      <c r="R857" s="19">
        <v>0.45090000000000002</v>
      </c>
      <c r="S857" s="20">
        <v>13</v>
      </c>
      <c r="T857" s="6">
        <v>2.58</v>
      </c>
      <c r="U857" s="6">
        <v>2.77</v>
      </c>
      <c r="V857" s="6">
        <v>3.12</v>
      </c>
      <c r="W857" s="19">
        <v>0.89759999999999995</v>
      </c>
      <c r="X857" s="6">
        <v>8.08</v>
      </c>
      <c r="Y857" s="21">
        <v>18447.710764167801</v>
      </c>
      <c r="Z857" s="6">
        <v>1208</v>
      </c>
      <c r="AA857" s="6">
        <v>0.579065874001359</v>
      </c>
    </row>
    <row r="858" spans="1:27" x14ac:dyDescent="0.25">
      <c r="A858" s="7" t="str">
        <f t="shared" si="13"/>
        <v>3848Providence St Patrick Hospital &amp; Health Science Ce449046004490, Pharmacy Administration and Support (U)</v>
      </c>
      <c r="B858" s="7"/>
      <c r="C858" s="29" t="s">
        <v>297</v>
      </c>
      <c r="D858" s="29" t="s">
        <v>298</v>
      </c>
      <c r="E858" s="29" t="s">
        <v>299</v>
      </c>
      <c r="F858" s="29">
        <v>3848</v>
      </c>
      <c r="G858" s="4" t="s">
        <v>300</v>
      </c>
      <c r="H858" s="5">
        <v>4490</v>
      </c>
      <c r="I858" s="4" t="s">
        <v>36</v>
      </c>
      <c r="J858" s="4" t="s">
        <v>37</v>
      </c>
      <c r="K858" s="4" t="s">
        <v>311</v>
      </c>
      <c r="L858" s="4" t="s">
        <v>39</v>
      </c>
      <c r="M858" s="6">
        <v>33173.42</v>
      </c>
      <c r="N858" s="6">
        <v>35303.360000000001</v>
      </c>
      <c r="O858" s="19">
        <v>0.48630000000000001</v>
      </c>
      <c r="P858" s="6">
        <v>0.17</v>
      </c>
      <c r="Q858" s="6">
        <v>0.19</v>
      </c>
      <c r="R858" s="19">
        <v>0.66479999999999995</v>
      </c>
      <c r="S858" s="20">
        <v>13</v>
      </c>
      <c r="T858" s="6">
        <v>0.14000000000000001</v>
      </c>
      <c r="U858" s="6">
        <v>0.15</v>
      </c>
      <c r="V858" s="6">
        <v>0.17</v>
      </c>
      <c r="W858" s="19">
        <v>0.97889999999999999</v>
      </c>
      <c r="X858" s="6">
        <v>3.3</v>
      </c>
      <c r="Y858" s="21">
        <v>81567.311151055605</v>
      </c>
      <c r="Z858" s="6">
        <v>1473</v>
      </c>
      <c r="AA858" s="6">
        <v>0.70631559496006702</v>
      </c>
    </row>
    <row r="859" spans="1:27" x14ac:dyDescent="0.25">
      <c r="A859" s="7" t="str">
        <f t="shared" si="13"/>
        <v>3848Providence St Patrick Hospital &amp; Health Science Ce12704607400 Family Maternity Center</v>
      </c>
      <c r="B859" s="7"/>
      <c r="C859" s="29" t="s">
        <v>297</v>
      </c>
      <c r="D859" s="29" t="s">
        <v>298</v>
      </c>
      <c r="E859" s="29" t="s">
        <v>299</v>
      </c>
      <c r="F859" s="29">
        <v>3848</v>
      </c>
      <c r="G859" s="4" t="s">
        <v>300</v>
      </c>
      <c r="H859" s="5">
        <v>1270</v>
      </c>
      <c r="I859" s="4" t="s">
        <v>199</v>
      </c>
      <c r="J859" s="4" t="s">
        <v>23</v>
      </c>
      <c r="K859" s="4" t="s">
        <v>348</v>
      </c>
      <c r="L859" s="4" t="s">
        <v>86</v>
      </c>
      <c r="M859" s="7"/>
      <c r="N859" s="6">
        <v>198</v>
      </c>
      <c r="O859" s="19">
        <v>0</v>
      </c>
      <c r="P859" s="7"/>
      <c r="Q859" s="6">
        <v>174.24</v>
      </c>
      <c r="R859" s="7"/>
      <c r="S859" s="20">
        <v>13</v>
      </c>
      <c r="T859" s="6">
        <v>65.36</v>
      </c>
      <c r="U859" s="6">
        <v>69.010000000000005</v>
      </c>
      <c r="V859" s="6">
        <v>74.77</v>
      </c>
      <c r="W859" s="19">
        <v>0.96120000000000005</v>
      </c>
      <c r="X859" s="6">
        <v>17.260000000000002</v>
      </c>
      <c r="Y859" s="21">
        <v>828401.21717902005</v>
      </c>
      <c r="Z859" s="6">
        <v>21784</v>
      </c>
      <c r="AA859" s="6">
        <v>10.444281981511701</v>
      </c>
    </row>
    <row r="860" spans="1:27" x14ac:dyDescent="0.25">
      <c r="A860" s="7" t="str">
        <f t="shared" si="13"/>
        <v>3848Providence St Patrick Hospital &amp; Health Science Ce464046076430 Chemo OP Services</v>
      </c>
      <c r="B860" s="7"/>
      <c r="C860" s="29" t="s">
        <v>297</v>
      </c>
      <c r="D860" s="29" t="s">
        <v>298</v>
      </c>
      <c r="E860" s="29" t="s">
        <v>299</v>
      </c>
      <c r="F860" s="29">
        <v>3848</v>
      </c>
      <c r="G860" s="153" t="s">
        <v>300</v>
      </c>
      <c r="H860" s="154">
        <v>4640</v>
      </c>
      <c r="I860" s="153" t="s">
        <v>82</v>
      </c>
      <c r="J860" s="153" t="s">
        <v>83</v>
      </c>
      <c r="K860" s="153" t="s">
        <v>330</v>
      </c>
      <c r="L860" s="153" t="s">
        <v>99</v>
      </c>
      <c r="M860" s="155">
        <v>71884.84</v>
      </c>
      <c r="N860" s="155">
        <v>67959.960000000006</v>
      </c>
      <c r="O860" s="156">
        <v>0.57140000000000002</v>
      </c>
      <c r="P860" s="155">
        <v>0.57999999999999996</v>
      </c>
      <c r="Q860" s="155">
        <v>0.59</v>
      </c>
      <c r="R860" s="156">
        <v>0.3</v>
      </c>
      <c r="S860" s="157">
        <v>14</v>
      </c>
      <c r="T860" s="155">
        <v>0.57999999999999996</v>
      </c>
      <c r="U860" s="155">
        <v>0.6</v>
      </c>
      <c r="V860" s="155">
        <v>0.62</v>
      </c>
      <c r="W860" s="156">
        <v>0.89870000000000005</v>
      </c>
      <c r="X860" s="155">
        <v>21.37</v>
      </c>
      <c r="Y860" s="158">
        <f>42.66*Z860</f>
        <v>-32259.618266384805</v>
      </c>
      <c r="Z860" s="155">
        <f>SUM((Q860-U860)*N860)/W860</f>
        <v>-756.20295983086748</v>
      </c>
      <c r="AA860" s="155">
        <f>Z860/2085.71</f>
        <v>-0.36256380792673359</v>
      </c>
    </row>
    <row r="861" spans="1:27" x14ac:dyDescent="0.25">
      <c r="A861" s="7" t="str">
        <f t="shared" si="13"/>
        <v>3848Providence St Patrick Hospital &amp; Health Science Ce482546077900, OCCUPATIONAL THERAPY</v>
      </c>
      <c r="B861" s="7"/>
      <c r="C861" s="29" t="s">
        <v>297</v>
      </c>
      <c r="D861" s="29" t="s">
        <v>298</v>
      </c>
      <c r="E861" s="29" t="s">
        <v>299</v>
      </c>
      <c r="F861" s="29">
        <v>3848</v>
      </c>
      <c r="G861" s="4" t="s">
        <v>300</v>
      </c>
      <c r="H861" s="5">
        <v>4825</v>
      </c>
      <c r="I861" s="4" t="s">
        <v>128</v>
      </c>
      <c r="J861" s="4" t="s">
        <v>41</v>
      </c>
      <c r="K861" s="4" t="s">
        <v>327</v>
      </c>
      <c r="L861" s="4" t="s">
        <v>79</v>
      </c>
      <c r="M861" s="6">
        <v>409.89</v>
      </c>
      <c r="N861" s="6">
        <v>421.94</v>
      </c>
      <c r="O861" s="19">
        <v>0.69230000000000003</v>
      </c>
      <c r="P861" s="6">
        <v>20.73</v>
      </c>
      <c r="Q861" s="6">
        <v>21.66</v>
      </c>
      <c r="R861" s="19">
        <v>0.3846</v>
      </c>
      <c r="S861" s="20">
        <v>14</v>
      </c>
      <c r="T861" s="6">
        <v>20.11</v>
      </c>
      <c r="U861" s="6">
        <v>21.54</v>
      </c>
      <c r="V861" s="6">
        <v>24.38</v>
      </c>
      <c r="W861" s="19">
        <v>0.92520000000000002</v>
      </c>
      <c r="X861" s="6">
        <v>4.75</v>
      </c>
      <c r="Y861" s="21">
        <v>2559.9747443531501</v>
      </c>
      <c r="Z861" s="6">
        <v>84</v>
      </c>
      <c r="AA861" s="6">
        <v>4.0129867723184297E-2</v>
      </c>
    </row>
    <row r="862" spans="1:27" x14ac:dyDescent="0.25">
      <c r="A862" s="7" t="str">
        <f t="shared" si="13"/>
        <v>3848Providence St Patrick Hospital &amp; Health Science Ce511146083401, CLINICAL NUTRITION</v>
      </c>
      <c r="B862" s="7"/>
      <c r="C862" s="29" t="s">
        <v>297</v>
      </c>
      <c r="D862" s="29" t="s">
        <v>298</v>
      </c>
      <c r="E862" s="29" t="s">
        <v>299</v>
      </c>
      <c r="F862" s="29">
        <v>3848</v>
      </c>
      <c r="G862" s="4" t="s">
        <v>300</v>
      </c>
      <c r="H862" s="5">
        <v>5111</v>
      </c>
      <c r="I862" s="4" t="s">
        <v>64</v>
      </c>
      <c r="J862" s="4" t="s">
        <v>65</v>
      </c>
      <c r="K862" s="4" t="s">
        <v>338</v>
      </c>
      <c r="L862" s="4" t="s">
        <v>67</v>
      </c>
      <c r="M862" s="6">
        <v>24157</v>
      </c>
      <c r="N862" s="6">
        <v>24703</v>
      </c>
      <c r="O862" s="19">
        <v>0.42859999999999998</v>
      </c>
      <c r="P862" s="6">
        <v>0.43</v>
      </c>
      <c r="Q862" s="6">
        <v>0.41</v>
      </c>
      <c r="R862" s="19">
        <v>0.4667</v>
      </c>
      <c r="S862" s="20">
        <v>15</v>
      </c>
      <c r="T862" s="6">
        <v>0.35</v>
      </c>
      <c r="U862" s="6">
        <v>0.37</v>
      </c>
      <c r="V862" s="6">
        <v>0.41</v>
      </c>
      <c r="W862" s="19">
        <v>0.86170000000000002</v>
      </c>
      <c r="X862" s="6">
        <v>5.65</v>
      </c>
      <c r="Y862" s="21">
        <v>32043.122218767501</v>
      </c>
      <c r="Z862" s="6">
        <v>1177</v>
      </c>
      <c r="AA862" s="6">
        <v>0.56438489482771304</v>
      </c>
    </row>
    <row r="863" spans="1:27" x14ac:dyDescent="0.25">
      <c r="A863" s="7" t="str">
        <f t="shared" si="13"/>
        <v>3848Providence St Patrick Hospital &amp; Health Science Ce463046077610, ENDOSCOPY</v>
      </c>
      <c r="B863" s="7"/>
      <c r="C863" s="29" t="s">
        <v>297</v>
      </c>
      <c r="D863" s="29" t="s">
        <v>298</v>
      </c>
      <c r="E863" s="29" t="s">
        <v>299</v>
      </c>
      <c r="F863" s="29">
        <v>3848</v>
      </c>
      <c r="G863" s="4" t="s">
        <v>300</v>
      </c>
      <c r="H863" s="5">
        <v>4630</v>
      </c>
      <c r="I863" s="4" t="s">
        <v>104</v>
      </c>
      <c r="J863" s="4" t="s">
        <v>83</v>
      </c>
      <c r="K863" s="4" t="s">
        <v>324</v>
      </c>
      <c r="L863" s="4" t="s">
        <v>99</v>
      </c>
      <c r="M863" s="6">
        <v>15893.54</v>
      </c>
      <c r="N863" s="6">
        <v>86592.11</v>
      </c>
      <c r="O863" s="19">
        <v>0.85709999999999997</v>
      </c>
      <c r="P863" s="6">
        <v>1.65</v>
      </c>
      <c r="Q863" s="6">
        <v>0.38</v>
      </c>
      <c r="R863" s="19">
        <v>0.41670000000000001</v>
      </c>
      <c r="S863" s="20">
        <v>15</v>
      </c>
      <c r="T863" s="6">
        <v>0.33</v>
      </c>
      <c r="U863" s="6">
        <v>0.35</v>
      </c>
      <c r="V863" s="6">
        <v>0.45</v>
      </c>
      <c r="W863" s="19">
        <v>0.90229999999999999</v>
      </c>
      <c r="X863" s="6">
        <v>17.63</v>
      </c>
      <c r="Y863" s="21">
        <v>106267.68057341799</v>
      </c>
      <c r="Z863" s="6">
        <v>3182</v>
      </c>
      <c r="AA863" s="6">
        <v>1.52563637244165</v>
      </c>
    </row>
    <row r="864" spans="1:27" x14ac:dyDescent="0.25">
      <c r="A864" s="7" t="str">
        <f t="shared" si="13"/>
        <v>3848Providence St Patrick Hospital &amp; Health Science Ce141046064400, IP REHAB FACILITY</v>
      </c>
      <c r="B864" s="7"/>
      <c r="C864" s="29" t="s">
        <v>297</v>
      </c>
      <c r="D864" s="29" t="s">
        <v>298</v>
      </c>
      <c r="E864" s="29" t="s">
        <v>299</v>
      </c>
      <c r="F864" s="29">
        <v>3848</v>
      </c>
      <c r="G864" s="4" t="s">
        <v>300</v>
      </c>
      <c r="H864" s="5">
        <v>1410</v>
      </c>
      <c r="I864" s="4" t="s">
        <v>113</v>
      </c>
      <c r="J864" s="4" t="s">
        <v>23</v>
      </c>
      <c r="K864" s="4" t="s">
        <v>302</v>
      </c>
      <c r="L864" s="4" t="s">
        <v>74</v>
      </c>
      <c r="M864" s="6">
        <v>2392</v>
      </c>
      <c r="N864" s="6">
        <v>2407</v>
      </c>
      <c r="O864" s="19">
        <v>0.26669999999999999</v>
      </c>
      <c r="P864" s="6">
        <v>11</v>
      </c>
      <c r="Q864" s="6">
        <v>10.94</v>
      </c>
      <c r="R864" s="19">
        <v>0.5</v>
      </c>
      <c r="S864" s="20">
        <v>16</v>
      </c>
      <c r="T864" s="6">
        <v>10.34</v>
      </c>
      <c r="U864" s="6">
        <v>10.69</v>
      </c>
      <c r="V864" s="6">
        <v>10.94</v>
      </c>
      <c r="W864" s="19">
        <v>0.90920000000000001</v>
      </c>
      <c r="X864" s="6">
        <v>13.92</v>
      </c>
      <c r="Y864" s="21">
        <v>23440.677435869799</v>
      </c>
      <c r="Z864" s="6">
        <v>732</v>
      </c>
      <c r="AA864" s="6">
        <v>0.35116606512564502</v>
      </c>
    </row>
    <row r="865" spans="1:27" x14ac:dyDescent="0.25">
      <c r="A865" s="7" t="str">
        <f t="shared" si="13"/>
        <v>3848Providence St Patrick Hospital &amp; Health Science Ce335046075000, CLINICAL LABORATORY SERVICES</v>
      </c>
      <c r="B865" s="7"/>
      <c r="C865" s="29" t="s">
        <v>297</v>
      </c>
      <c r="D865" s="29" t="s">
        <v>298</v>
      </c>
      <c r="E865" s="29" t="s">
        <v>299</v>
      </c>
      <c r="F865" s="29">
        <v>3848</v>
      </c>
      <c r="G865" s="4" t="s">
        <v>300</v>
      </c>
      <c r="H865" s="5">
        <v>3350</v>
      </c>
      <c r="I865" s="4" t="s">
        <v>93</v>
      </c>
      <c r="J865" s="4" t="s">
        <v>53</v>
      </c>
      <c r="K865" s="4" t="s">
        <v>310</v>
      </c>
      <c r="L865" s="4" t="s">
        <v>94</v>
      </c>
      <c r="M865" s="6">
        <v>4457.57</v>
      </c>
      <c r="N865" s="6">
        <v>5677.65</v>
      </c>
      <c r="O865" s="19">
        <v>0.4667</v>
      </c>
      <c r="P865" s="6">
        <v>19.48</v>
      </c>
      <c r="Q865" s="6">
        <v>19.440000000000001</v>
      </c>
      <c r="R865" s="19">
        <v>1</v>
      </c>
      <c r="S865" s="20">
        <v>16</v>
      </c>
      <c r="T865" s="6">
        <v>12.7</v>
      </c>
      <c r="U865" s="6">
        <v>13.42</v>
      </c>
      <c r="V865" s="6">
        <v>13.96</v>
      </c>
      <c r="W865" s="19">
        <v>0.93179999999999996</v>
      </c>
      <c r="X865" s="6">
        <v>56.96</v>
      </c>
      <c r="Y865" s="21">
        <v>972879.43167935195</v>
      </c>
      <c r="Z865" s="6">
        <v>37031</v>
      </c>
      <c r="AA865" s="6">
        <v>17.754537148233599</v>
      </c>
    </row>
    <row r="866" spans="1:27" x14ac:dyDescent="0.25">
      <c r="A866" s="7" t="str">
        <f t="shared" si="13"/>
        <v>3848Providence St Patrick Hospital &amp; Health Science Ce171046072300, OBSERVATION UNIT</v>
      </c>
      <c r="B866" s="7"/>
      <c r="C866" s="29" t="s">
        <v>297</v>
      </c>
      <c r="D866" s="29" t="s">
        <v>298</v>
      </c>
      <c r="E866" s="29" t="s">
        <v>299</v>
      </c>
      <c r="F866" s="29">
        <v>3848</v>
      </c>
      <c r="G866" s="4" t="s">
        <v>300</v>
      </c>
      <c r="H866" s="5">
        <v>1710</v>
      </c>
      <c r="I866" s="4" t="s">
        <v>193</v>
      </c>
      <c r="J866" s="4" t="s">
        <v>23</v>
      </c>
      <c r="K866" s="4" t="s">
        <v>304</v>
      </c>
      <c r="L866" s="4" t="s">
        <v>194</v>
      </c>
      <c r="M866" s="6">
        <v>5550</v>
      </c>
      <c r="N866" s="6">
        <v>2417</v>
      </c>
      <c r="O866" s="7"/>
      <c r="P866" s="6">
        <v>1.96</v>
      </c>
      <c r="Q866" s="6">
        <v>4.5599999999999996</v>
      </c>
      <c r="R866" s="7"/>
      <c r="S866" s="20">
        <v>18</v>
      </c>
      <c r="T866" s="6">
        <v>11.57</v>
      </c>
      <c r="U866" s="6">
        <v>12.21</v>
      </c>
      <c r="V866" s="6">
        <v>13.55</v>
      </c>
      <c r="W866" s="19">
        <v>0.89590000000000003</v>
      </c>
      <c r="X866" s="6">
        <v>5.92</v>
      </c>
      <c r="Y866" s="21">
        <v>-696164.54600346996</v>
      </c>
      <c r="Z866" s="6">
        <v>-20593</v>
      </c>
      <c r="AA866" s="6">
        <v>-9.8735928016045005</v>
      </c>
    </row>
    <row r="867" spans="1:27" x14ac:dyDescent="0.25">
      <c r="A867" s="7" t="str">
        <f t="shared" si="13"/>
        <v>3848Providence St Patrick Hospital &amp; Health Science Ce504046084601, BIOMED</v>
      </c>
      <c r="B867" s="7"/>
      <c r="C867" s="29" t="s">
        <v>297</v>
      </c>
      <c r="D867" s="29" t="s">
        <v>298</v>
      </c>
      <c r="E867" s="29" t="s">
        <v>299</v>
      </c>
      <c r="F867" s="29">
        <v>3848</v>
      </c>
      <c r="G867" s="4" t="s">
        <v>300</v>
      </c>
      <c r="H867" s="5">
        <v>5040</v>
      </c>
      <c r="I867" s="4" t="s">
        <v>142</v>
      </c>
      <c r="J867" s="4" t="s">
        <v>62</v>
      </c>
      <c r="K867" s="4" t="s">
        <v>341</v>
      </c>
      <c r="L867" s="4" t="s">
        <v>143</v>
      </c>
      <c r="M867" s="6">
        <v>77.08</v>
      </c>
      <c r="N867" s="6">
        <v>77.08</v>
      </c>
      <c r="O867" s="19">
        <v>0.84209999999999996</v>
      </c>
      <c r="P867" s="6">
        <v>241.52</v>
      </c>
      <c r="Q867" s="6">
        <v>250.7</v>
      </c>
      <c r="R867" s="19">
        <v>0.94440000000000002</v>
      </c>
      <c r="S867" s="20">
        <v>20</v>
      </c>
      <c r="T867" s="6">
        <v>128.08000000000001</v>
      </c>
      <c r="U867" s="6">
        <v>139.37</v>
      </c>
      <c r="V867" s="6">
        <v>156.65</v>
      </c>
      <c r="W867" s="19">
        <v>0.89139999999999997</v>
      </c>
      <c r="X867" s="6">
        <v>10.42</v>
      </c>
      <c r="Y867" s="21">
        <v>340873.76177667</v>
      </c>
      <c r="Z867" s="6">
        <v>9682</v>
      </c>
      <c r="AA867" s="6">
        <v>4.6418802913079</v>
      </c>
    </row>
    <row r="868" spans="1:27" x14ac:dyDescent="0.25">
      <c r="A868" s="7" t="str">
        <f t="shared" si="13"/>
        <v>3848Providence St Patrick Hospital &amp; Health Science Ce101046060100, INTENSIVE CARE UNIT</v>
      </c>
      <c r="B868" s="7"/>
      <c r="C868" s="29" t="s">
        <v>297</v>
      </c>
      <c r="D868" s="29" t="s">
        <v>298</v>
      </c>
      <c r="E868" s="29" t="s">
        <v>299</v>
      </c>
      <c r="F868" s="29">
        <v>3848</v>
      </c>
      <c r="G868" s="4" t="s">
        <v>300</v>
      </c>
      <c r="H868" s="5">
        <v>1010</v>
      </c>
      <c r="I868" s="4" t="s">
        <v>287</v>
      </c>
      <c r="J868" s="4" t="s">
        <v>23</v>
      </c>
      <c r="K868" s="4" t="s">
        <v>312</v>
      </c>
      <c r="L868" s="4" t="s">
        <v>74</v>
      </c>
      <c r="M868" s="6">
        <v>4666</v>
      </c>
      <c r="N868" s="6">
        <v>4577</v>
      </c>
      <c r="O868" s="19">
        <v>0.65</v>
      </c>
      <c r="P868" s="6">
        <v>21.53</v>
      </c>
      <c r="Q868" s="6">
        <v>22.42</v>
      </c>
      <c r="R868" s="19">
        <v>0.89470000000000005</v>
      </c>
      <c r="S868" s="20">
        <v>21</v>
      </c>
      <c r="T868" s="6">
        <v>17.93</v>
      </c>
      <c r="U868" s="6">
        <v>18.86</v>
      </c>
      <c r="V868" s="6">
        <v>20.32</v>
      </c>
      <c r="W868" s="19">
        <v>0.87560000000000004</v>
      </c>
      <c r="X868" s="6">
        <v>56.33</v>
      </c>
      <c r="Y868" s="21">
        <v>629678.18784732104</v>
      </c>
      <c r="Z868" s="6">
        <v>18901</v>
      </c>
      <c r="AA868" s="6">
        <v>9.0622416280559808</v>
      </c>
    </row>
    <row r="869" spans="1:27" x14ac:dyDescent="0.25">
      <c r="A869" s="7" t="str">
        <f t="shared" si="13"/>
        <v>3848Providence St Patrick Hospital &amp; Health Science Ce582546087520, QUALITY ASSURANCE</v>
      </c>
      <c r="B869" s="7"/>
      <c r="C869" s="29" t="s">
        <v>297</v>
      </c>
      <c r="D869" s="29" t="s">
        <v>298</v>
      </c>
      <c r="E869" s="29" t="s">
        <v>299</v>
      </c>
      <c r="F869" s="29">
        <v>3848</v>
      </c>
      <c r="G869" s="4" t="s">
        <v>300</v>
      </c>
      <c r="H869" s="5">
        <v>5825</v>
      </c>
      <c r="I869" s="4" t="s">
        <v>25</v>
      </c>
      <c r="J869" s="4" t="s">
        <v>26</v>
      </c>
      <c r="K869" s="4" t="s">
        <v>347</v>
      </c>
      <c r="L869" s="4" t="s">
        <v>27</v>
      </c>
      <c r="M869" s="6">
        <v>269710</v>
      </c>
      <c r="N869" s="6">
        <v>145677</v>
      </c>
      <c r="O869" s="19">
        <v>0.3</v>
      </c>
      <c r="P869" s="6">
        <v>0.04</v>
      </c>
      <c r="Q869" s="6">
        <v>0.09</v>
      </c>
      <c r="R869" s="19">
        <v>0.7</v>
      </c>
      <c r="S869" s="20">
        <v>21</v>
      </c>
      <c r="T869" s="6">
        <v>0.04</v>
      </c>
      <c r="U869" s="6">
        <v>0.06</v>
      </c>
      <c r="V869" s="6">
        <v>7.0000000000000007E-2</v>
      </c>
      <c r="W869" s="19">
        <v>0.87329999999999997</v>
      </c>
      <c r="X869" s="6">
        <v>7.15</v>
      </c>
      <c r="Y869" s="21">
        <v>165743.30578074799</v>
      </c>
      <c r="Z869" s="6">
        <v>4904</v>
      </c>
      <c r="AA869" s="6">
        <v>2.3512631136429198</v>
      </c>
    </row>
    <row r="870" spans="1:27" x14ac:dyDescent="0.25">
      <c r="A870" s="7" t="str">
        <f t="shared" si="13"/>
        <v>3848Providence St Patrick Hospital &amp; Health Science Ce121246061794, SURGICAL PEDIATRICS</v>
      </c>
      <c r="B870" s="7"/>
      <c r="C870" s="29" t="s">
        <v>297</v>
      </c>
      <c r="D870" s="29" t="s">
        <v>298</v>
      </c>
      <c r="E870" s="29" t="s">
        <v>299</v>
      </c>
      <c r="F870" s="29">
        <v>3848</v>
      </c>
      <c r="G870" s="4" t="s">
        <v>300</v>
      </c>
      <c r="H870" s="5">
        <v>1212</v>
      </c>
      <c r="I870" s="4" t="s">
        <v>160</v>
      </c>
      <c r="J870" s="4" t="s">
        <v>23</v>
      </c>
      <c r="K870" s="4" t="s">
        <v>316</v>
      </c>
      <c r="L870" s="4" t="s">
        <v>74</v>
      </c>
      <c r="M870" s="6">
        <v>5943</v>
      </c>
      <c r="N870" s="6">
        <v>5975</v>
      </c>
      <c r="O870" s="19">
        <v>0.35</v>
      </c>
      <c r="P870" s="6">
        <v>11.42</v>
      </c>
      <c r="Q870" s="6">
        <v>11.87</v>
      </c>
      <c r="R870" s="19">
        <v>0.65</v>
      </c>
      <c r="S870" s="20">
        <v>21</v>
      </c>
      <c r="T870" s="6">
        <v>10.130000000000001</v>
      </c>
      <c r="U870" s="6">
        <v>11.16</v>
      </c>
      <c r="V870" s="6">
        <v>11.44</v>
      </c>
      <c r="W870" s="19">
        <v>0.89980000000000004</v>
      </c>
      <c r="X870" s="6">
        <v>37.9</v>
      </c>
      <c r="Y870" s="21">
        <v>147395.59990004601</v>
      </c>
      <c r="Z870" s="6">
        <v>4942</v>
      </c>
      <c r="AA870" s="6">
        <v>2.3692582327165401</v>
      </c>
    </row>
    <row r="871" spans="1:27" x14ac:dyDescent="0.25">
      <c r="A871" s="7" t="str">
        <f t="shared" si="13"/>
        <v>3848Providence St Patrick Hospital &amp; Health Science Ce411046077200, RESPIRATORY THERAPY</v>
      </c>
      <c r="B871" s="7"/>
      <c r="C871" s="29" t="s">
        <v>297</v>
      </c>
      <c r="D871" s="29" t="s">
        <v>298</v>
      </c>
      <c r="E871" s="29" t="s">
        <v>299</v>
      </c>
      <c r="F871" s="29">
        <v>3848</v>
      </c>
      <c r="G871" s="4" t="s">
        <v>300</v>
      </c>
      <c r="H871" s="5">
        <v>4110</v>
      </c>
      <c r="I871" s="4" t="s">
        <v>145</v>
      </c>
      <c r="J871" s="4" t="s">
        <v>44</v>
      </c>
      <c r="K871" s="4" t="s">
        <v>337</v>
      </c>
      <c r="L871" s="4" t="s">
        <v>45</v>
      </c>
      <c r="M871" s="6">
        <v>16331.84</v>
      </c>
      <c r="N871" s="6">
        <v>17586.66</v>
      </c>
      <c r="O871" s="19">
        <v>0.65</v>
      </c>
      <c r="P871" s="6">
        <v>2.74</v>
      </c>
      <c r="Q871" s="6">
        <v>2.5499999999999998</v>
      </c>
      <c r="R871" s="19">
        <v>0.5</v>
      </c>
      <c r="S871" s="20">
        <v>21</v>
      </c>
      <c r="T871" s="6">
        <v>2.12</v>
      </c>
      <c r="U871" s="6">
        <v>2.29</v>
      </c>
      <c r="V871" s="6">
        <v>2.5499999999999998</v>
      </c>
      <c r="W871" s="19">
        <v>0.89290000000000003</v>
      </c>
      <c r="X871" s="6">
        <v>24.11</v>
      </c>
      <c r="Y871" s="21">
        <v>149885.404147803</v>
      </c>
      <c r="Z871" s="6">
        <v>5182</v>
      </c>
      <c r="AA871" s="6">
        <v>2.48459818230207</v>
      </c>
    </row>
    <row r="872" spans="1:27" x14ac:dyDescent="0.25">
      <c r="A872" s="7" t="str">
        <f t="shared" si="13"/>
        <v>3848Providence St Patrick Hospital &amp; Health Science Ce112246060300, 4 NORTH CARDIO SURG</v>
      </c>
      <c r="B872" s="7"/>
      <c r="C872" s="29" t="s">
        <v>297</v>
      </c>
      <c r="D872" s="29" t="s">
        <v>298</v>
      </c>
      <c r="E872" s="29" t="s">
        <v>299</v>
      </c>
      <c r="F872" s="29">
        <v>3848</v>
      </c>
      <c r="G872" s="4" t="s">
        <v>300</v>
      </c>
      <c r="H872" s="5">
        <v>1122</v>
      </c>
      <c r="I872" s="4" t="s">
        <v>105</v>
      </c>
      <c r="J872" s="4" t="s">
        <v>23</v>
      </c>
      <c r="K872" s="4" t="s">
        <v>313</v>
      </c>
      <c r="L872" s="4" t="s">
        <v>74</v>
      </c>
      <c r="M872" s="6">
        <v>9153</v>
      </c>
      <c r="N872" s="6">
        <v>9136</v>
      </c>
      <c r="O872" s="19">
        <v>0.61899999999999999</v>
      </c>
      <c r="P872" s="6">
        <v>10.73</v>
      </c>
      <c r="Q872" s="6">
        <v>10.93</v>
      </c>
      <c r="R872" s="19">
        <v>9.5200000000000007E-2</v>
      </c>
      <c r="S872" s="20">
        <v>22</v>
      </c>
      <c r="T872" s="6">
        <v>11.46</v>
      </c>
      <c r="U872" s="6">
        <v>12.17</v>
      </c>
      <c r="V872" s="6">
        <v>12.46</v>
      </c>
      <c r="W872" s="19">
        <v>0.91320000000000001</v>
      </c>
      <c r="X872" s="6">
        <v>52.58</v>
      </c>
      <c r="Y872" s="21">
        <v>-334253.58488283103</v>
      </c>
      <c r="Z872" s="6">
        <v>-12087</v>
      </c>
      <c r="AA872" s="6">
        <v>-5.7952730748067403</v>
      </c>
    </row>
    <row r="873" spans="1:27" x14ac:dyDescent="0.25">
      <c r="A873" s="7" t="str">
        <f t="shared" si="13"/>
        <v>3848Providence St Patrick Hospital &amp; Health Science Ce464046072340, OP INFUSION</v>
      </c>
      <c r="B873" s="7"/>
      <c r="C873" s="29" t="s">
        <v>297</v>
      </c>
      <c r="D873" s="29" t="s">
        <v>298</v>
      </c>
      <c r="E873" s="29" t="s">
        <v>299</v>
      </c>
      <c r="F873" s="29">
        <v>3848</v>
      </c>
      <c r="G873" s="4" t="s">
        <v>300</v>
      </c>
      <c r="H873" s="5">
        <v>4640</v>
      </c>
      <c r="I873" s="4" t="s">
        <v>82</v>
      </c>
      <c r="J873" s="4" t="s">
        <v>83</v>
      </c>
      <c r="K873" s="4" t="s">
        <v>305</v>
      </c>
      <c r="L873" s="4" t="s">
        <v>84</v>
      </c>
      <c r="M873" s="6">
        <v>4419</v>
      </c>
      <c r="N873" s="6">
        <v>3483</v>
      </c>
      <c r="O873" s="19">
        <v>0.38100000000000001</v>
      </c>
      <c r="P873" s="6">
        <v>0.95</v>
      </c>
      <c r="Q873" s="6">
        <v>1.25</v>
      </c>
      <c r="R873" s="19">
        <v>9.5200000000000007E-2</v>
      </c>
      <c r="S873" s="20">
        <v>22</v>
      </c>
      <c r="T873" s="6">
        <v>1.45</v>
      </c>
      <c r="U873" s="6">
        <v>1.78</v>
      </c>
      <c r="V873" s="6">
        <v>2.0699999999999998</v>
      </c>
      <c r="W873" s="19">
        <v>1</v>
      </c>
      <c r="X873" s="6">
        <v>2.1</v>
      </c>
      <c r="Y873" s="21">
        <v>-64847.038222796</v>
      </c>
      <c r="Z873" s="6">
        <v>-1820</v>
      </c>
      <c r="AA873" s="6">
        <v>-0.87249844177014901</v>
      </c>
    </row>
    <row r="874" spans="1:27" x14ac:dyDescent="0.25">
      <c r="A874" s="7" t="str">
        <f t="shared" si="13"/>
        <v>3848Providence St Patrick Hospital &amp; Health Science Ce341246076309, SPECIAL PROCEDURES</v>
      </c>
      <c r="B874" s="7"/>
      <c r="C874" s="29" t="s">
        <v>297</v>
      </c>
      <c r="D874" s="29" t="s">
        <v>298</v>
      </c>
      <c r="E874" s="29" t="s">
        <v>299</v>
      </c>
      <c r="F874" s="29">
        <v>3848</v>
      </c>
      <c r="G874" s="4" t="s">
        <v>300</v>
      </c>
      <c r="H874" s="5">
        <v>3412</v>
      </c>
      <c r="I874" s="4" t="s">
        <v>118</v>
      </c>
      <c r="J874" s="4" t="s">
        <v>57</v>
      </c>
      <c r="K874" s="4" t="s">
        <v>320</v>
      </c>
      <c r="L874" s="4" t="s">
        <v>99</v>
      </c>
      <c r="M874" s="6">
        <v>41163.519999999997</v>
      </c>
      <c r="N874" s="6">
        <v>41243.11</v>
      </c>
      <c r="O874" s="19">
        <v>0.5</v>
      </c>
      <c r="P874" s="6">
        <v>0.13</v>
      </c>
      <c r="Q874" s="6">
        <v>0.13</v>
      </c>
      <c r="R874" s="19">
        <v>0.13639999999999999</v>
      </c>
      <c r="S874" s="20">
        <v>23</v>
      </c>
      <c r="T874" s="6">
        <v>0.16</v>
      </c>
      <c r="U874" s="6">
        <v>0.2</v>
      </c>
      <c r="V874" s="6">
        <v>0.22</v>
      </c>
      <c r="W874" s="19">
        <v>0.89690000000000003</v>
      </c>
      <c r="X874" s="6">
        <v>2.87</v>
      </c>
      <c r="Y874" s="21">
        <v>-131248.78606176999</v>
      </c>
      <c r="Z874" s="6">
        <v>-3211</v>
      </c>
      <c r="AA874" s="6">
        <v>-1.5394613168788001</v>
      </c>
    </row>
    <row r="875" spans="1:27" x14ac:dyDescent="0.25">
      <c r="A875" s="7" t="str">
        <f t="shared" si="13"/>
        <v>3848Providence St Patrick Hospital &amp; Health Science Ce432046076200, NEURODIAGNOSTICS</v>
      </c>
      <c r="B875" s="7"/>
      <c r="C875" s="29" t="s">
        <v>297</v>
      </c>
      <c r="D875" s="29" t="s">
        <v>298</v>
      </c>
      <c r="E875" s="29" t="s">
        <v>299</v>
      </c>
      <c r="F875" s="29">
        <v>3848</v>
      </c>
      <c r="G875" s="4" t="s">
        <v>300</v>
      </c>
      <c r="H875" s="5">
        <v>4320</v>
      </c>
      <c r="I875" s="4" t="s">
        <v>166</v>
      </c>
      <c r="J875" s="4" t="s">
        <v>116</v>
      </c>
      <c r="K875" s="4" t="s">
        <v>318</v>
      </c>
      <c r="L875" s="4" t="s">
        <v>99</v>
      </c>
      <c r="M875" s="6">
        <v>14574.22</v>
      </c>
      <c r="N875" s="6">
        <v>13696.81</v>
      </c>
      <c r="O875" s="19">
        <v>0.81820000000000004</v>
      </c>
      <c r="P875" s="6">
        <v>0.83</v>
      </c>
      <c r="Q875" s="6">
        <v>0.85</v>
      </c>
      <c r="R875" s="19">
        <v>0.21740000000000001</v>
      </c>
      <c r="S875" s="20">
        <v>23</v>
      </c>
      <c r="T875" s="6">
        <v>0.87</v>
      </c>
      <c r="U875" s="6">
        <v>0.92</v>
      </c>
      <c r="V875" s="6">
        <v>0.98</v>
      </c>
      <c r="W875" s="19">
        <v>0.88519999999999999</v>
      </c>
      <c r="X875" s="6">
        <v>6.36</v>
      </c>
      <c r="Y875" s="21">
        <v>-30264.737429819601</v>
      </c>
      <c r="Z875" s="6">
        <v>-970</v>
      </c>
      <c r="AA875" s="6">
        <v>-0.46517847253762001</v>
      </c>
    </row>
    <row r="876" spans="1:27" x14ac:dyDescent="0.25">
      <c r="A876" s="7" t="str">
        <f t="shared" si="13"/>
        <v>3848Providence St Patrick Hospital &amp; Health Science Ce651046087100, MEDICAL STAFF ADMINISTRATION (U)</v>
      </c>
      <c r="B876" s="7"/>
      <c r="C876" s="29" t="s">
        <v>297</v>
      </c>
      <c r="D876" s="29" t="s">
        <v>298</v>
      </c>
      <c r="E876" s="29" t="s">
        <v>299</v>
      </c>
      <c r="F876" s="29">
        <v>3848</v>
      </c>
      <c r="G876" s="4" t="s">
        <v>300</v>
      </c>
      <c r="H876" s="5">
        <v>6510</v>
      </c>
      <c r="I876" s="4" t="s">
        <v>19</v>
      </c>
      <c r="J876" s="4" t="s">
        <v>19</v>
      </c>
      <c r="K876" s="4" t="s">
        <v>346</v>
      </c>
      <c r="L876" s="4" t="s">
        <v>20</v>
      </c>
      <c r="M876" s="6">
        <v>234</v>
      </c>
      <c r="N876" s="6">
        <v>231</v>
      </c>
      <c r="O876" s="19">
        <v>0.67100000000000004</v>
      </c>
      <c r="P876" s="6">
        <v>26.24</v>
      </c>
      <c r="Q876" s="6">
        <v>27.26</v>
      </c>
      <c r="R876" s="19">
        <v>0.26960000000000001</v>
      </c>
      <c r="S876" s="20">
        <v>23</v>
      </c>
      <c r="T876" s="6">
        <v>26.98</v>
      </c>
      <c r="U876" s="6">
        <v>28.47</v>
      </c>
      <c r="V876" s="6">
        <v>34.08</v>
      </c>
      <c r="W876" s="19">
        <v>0.90400000000000003</v>
      </c>
      <c r="X876" s="6">
        <v>3.35</v>
      </c>
      <c r="Y876" s="21">
        <v>-8212.9070346226799</v>
      </c>
      <c r="Z876" s="6">
        <v>-288</v>
      </c>
      <c r="AA876" s="6">
        <v>-0.138021678170059</v>
      </c>
    </row>
    <row r="877" spans="1:27" x14ac:dyDescent="0.25">
      <c r="A877" s="7" t="str">
        <f t="shared" si="13"/>
        <v>3848Providence St Patrick Hospital &amp; Health Science Ce511246083400, DIETARY</v>
      </c>
      <c r="B877" s="7"/>
      <c r="C877" s="29" t="s">
        <v>297</v>
      </c>
      <c r="D877" s="29" t="s">
        <v>298</v>
      </c>
      <c r="E877" s="29" t="s">
        <v>299</v>
      </c>
      <c r="F877" s="29">
        <v>3848</v>
      </c>
      <c r="G877" s="4" t="s">
        <v>300</v>
      </c>
      <c r="H877" s="5">
        <v>5112</v>
      </c>
      <c r="I877" s="4" t="s">
        <v>281</v>
      </c>
      <c r="J877" s="4" t="s">
        <v>65</v>
      </c>
      <c r="K877" s="4" t="s">
        <v>329</v>
      </c>
      <c r="L877" s="4" t="s">
        <v>282</v>
      </c>
      <c r="M877" s="6">
        <v>1270360.3600000001</v>
      </c>
      <c r="N877" s="6">
        <v>1344240.28</v>
      </c>
      <c r="O877" s="19">
        <v>0.95450000000000002</v>
      </c>
      <c r="P877" s="6">
        <v>0.08</v>
      </c>
      <c r="Q877" s="6">
        <v>0.08</v>
      </c>
      <c r="R877" s="7"/>
      <c r="S877" s="20">
        <v>23</v>
      </c>
      <c r="T877" s="6">
        <v>0.13</v>
      </c>
      <c r="U877" s="6">
        <v>0.15</v>
      </c>
      <c r="V877" s="6">
        <v>0.16</v>
      </c>
      <c r="W877" s="19">
        <v>0.92369999999999997</v>
      </c>
      <c r="X877" s="6">
        <v>52.48</v>
      </c>
      <c r="Y877" s="21">
        <v>-1526894.5803074499</v>
      </c>
      <c r="Z877" s="6">
        <v>-108835</v>
      </c>
      <c r="AA877" s="6">
        <v>-52.181120296995097</v>
      </c>
    </row>
    <row r="878" spans="1:27" x14ac:dyDescent="0.25">
      <c r="A878" s="7" t="str">
        <f t="shared" si="13"/>
        <v>3848Providence St Patrick Hospital &amp; Health Science Ce349946076310, 76311, 76312 SUPPORT SERVICES RADIOLOGY</v>
      </c>
      <c r="B878" s="7"/>
      <c r="C878" s="29" t="s">
        <v>297</v>
      </c>
      <c r="D878" s="29" t="s">
        <v>298</v>
      </c>
      <c r="E878" s="29" t="s">
        <v>299</v>
      </c>
      <c r="F878" s="29">
        <v>3848</v>
      </c>
      <c r="G878" s="4" t="s">
        <v>300</v>
      </c>
      <c r="H878" s="5">
        <v>3499</v>
      </c>
      <c r="I878" s="4" t="s">
        <v>56</v>
      </c>
      <c r="J878" s="4" t="s">
        <v>57</v>
      </c>
      <c r="K878" s="4" t="s">
        <v>321</v>
      </c>
      <c r="L878" s="4" t="s">
        <v>58</v>
      </c>
      <c r="M878" s="6">
        <v>344312</v>
      </c>
      <c r="N878" s="6">
        <v>230706</v>
      </c>
      <c r="O878" s="19">
        <v>0.54549999999999998</v>
      </c>
      <c r="P878" s="6">
        <v>7.0000000000000007E-2</v>
      </c>
      <c r="Q878" s="6">
        <v>0.13</v>
      </c>
      <c r="R878" s="19">
        <v>0.8095</v>
      </c>
      <c r="S878" s="20">
        <v>23</v>
      </c>
      <c r="T878" s="6">
        <v>0.06</v>
      </c>
      <c r="U878" s="6">
        <v>0.06</v>
      </c>
      <c r="V878" s="6">
        <v>0.08</v>
      </c>
      <c r="W878" s="19">
        <v>0.9073</v>
      </c>
      <c r="X878" s="6">
        <v>15.76</v>
      </c>
      <c r="Y878" s="21">
        <v>470331.44336662302</v>
      </c>
      <c r="Z878" s="6">
        <v>17614</v>
      </c>
      <c r="AA878" s="6">
        <v>8.4451169374026893</v>
      </c>
    </row>
    <row r="879" spans="1:27" x14ac:dyDescent="0.25">
      <c r="A879" s="7" t="str">
        <f t="shared" si="13"/>
        <v>3848Providence St Patrick Hospital &amp; Health Science Ce139046063400, MENTAL HEALTH</v>
      </c>
      <c r="B879" s="7"/>
      <c r="C879" s="29" t="s">
        <v>297</v>
      </c>
      <c r="D879" s="29" t="s">
        <v>298</v>
      </c>
      <c r="E879" s="29" t="s">
        <v>299</v>
      </c>
      <c r="F879" s="29">
        <v>3848</v>
      </c>
      <c r="G879" s="4" t="s">
        <v>300</v>
      </c>
      <c r="H879" s="5">
        <v>1390</v>
      </c>
      <c r="I879" s="4" t="s">
        <v>174</v>
      </c>
      <c r="J879" s="4" t="s">
        <v>23</v>
      </c>
      <c r="K879" s="4" t="s">
        <v>301</v>
      </c>
      <c r="L879" s="4" t="s">
        <v>114</v>
      </c>
      <c r="M879" s="6">
        <v>8681</v>
      </c>
      <c r="N879" s="6">
        <v>7494</v>
      </c>
      <c r="O879" s="7"/>
      <c r="P879" s="6">
        <v>8.83</v>
      </c>
      <c r="Q879" s="6">
        <v>10.82</v>
      </c>
      <c r="R879" s="19">
        <v>0.66830000000000001</v>
      </c>
      <c r="S879" s="20">
        <v>24</v>
      </c>
      <c r="T879" s="6">
        <v>8.6</v>
      </c>
      <c r="U879" s="6">
        <v>9.58</v>
      </c>
      <c r="V879" s="6">
        <v>9.98</v>
      </c>
      <c r="W879" s="19">
        <v>0.90449999999999997</v>
      </c>
      <c r="X879" s="6">
        <v>43.1</v>
      </c>
      <c r="Y879" s="21">
        <v>315083.50828299799</v>
      </c>
      <c r="Z879" s="6">
        <v>10521</v>
      </c>
      <c r="AA879" s="6">
        <v>5.0443814314500903</v>
      </c>
    </row>
    <row r="880" spans="1:27" x14ac:dyDescent="0.25">
      <c r="A880" s="7" t="str">
        <f t="shared" si="13"/>
        <v>3848Providence St Patrick Hospital &amp; Health Science Ce343046076600, MRI</v>
      </c>
      <c r="B880" s="7"/>
      <c r="C880" s="29" t="s">
        <v>297</v>
      </c>
      <c r="D880" s="29" t="s">
        <v>298</v>
      </c>
      <c r="E880" s="29" t="s">
        <v>299</v>
      </c>
      <c r="F880" s="29">
        <v>3848</v>
      </c>
      <c r="G880" s="4" t="s">
        <v>300</v>
      </c>
      <c r="H880" s="5">
        <v>3430</v>
      </c>
      <c r="I880" s="4" t="s">
        <v>121</v>
      </c>
      <c r="J880" s="4" t="s">
        <v>57</v>
      </c>
      <c r="K880" s="4" t="s">
        <v>332</v>
      </c>
      <c r="L880" s="4" t="s">
        <v>99</v>
      </c>
      <c r="M880" s="6">
        <v>32846.620000000003</v>
      </c>
      <c r="N880" s="6">
        <v>33973.82</v>
      </c>
      <c r="O880" s="19">
        <v>0.70830000000000004</v>
      </c>
      <c r="P880" s="6">
        <v>0.33</v>
      </c>
      <c r="Q880" s="6">
        <v>0.32</v>
      </c>
      <c r="R880" s="19">
        <v>0.625</v>
      </c>
      <c r="S880" s="20">
        <v>25</v>
      </c>
      <c r="T880" s="6">
        <v>0.26</v>
      </c>
      <c r="U880" s="6">
        <v>0.28999999999999998</v>
      </c>
      <c r="V880" s="6">
        <v>0.3</v>
      </c>
      <c r="W880" s="19">
        <v>0.88180000000000003</v>
      </c>
      <c r="X880" s="6">
        <v>5.88</v>
      </c>
      <c r="Y880" s="21">
        <v>35840.261300227503</v>
      </c>
      <c r="Z880" s="6">
        <v>1091</v>
      </c>
      <c r="AA880" s="6">
        <v>0.52301483430903195</v>
      </c>
    </row>
    <row r="881" spans="1:27" x14ac:dyDescent="0.25">
      <c r="A881" s="7" t="str">
        <f t="shared" si="13"/>
        <v>3848Providence St Patrick Hospital &amp; Health Science Ce591046084202, SAFETY</v>
      </c>
      <c r="B881" s="7"/>
      <c r="C881" s="29" t="s">
        <v>297</v>
      </c>
      <c r="D881" s="29" t="s">
        <v>298</v>
      </c>
      <c r="E881" s="29" t="s">
        <v>299</v>
      </c>
      <c r="F881" s="29">
        <v>3848</v>
      </c>
      <c r="G881" s="4" t="s">
        <v>300</v>
      </c>
      <c r="H881" s="5">
        <v>5910</v>
      </c>
      <c r="I881" s="4" t="s">
        <v>139</v>
      </c>
      <c r="J881" s="4" t="s">
        <v>136</v>
      </c>
      <c r="K881" s="4" t="s">
        <v>339</v>
      </c>
      <c r="L881" s="4" t="s">
        <v>140</v>
      </c>
      <c r="M881" s="6">
        <v>2200</v>
      </c>
      <c r="N881" s="6">
        <v>2200</v>
      </c>
      <c r="O881" s="19">
        <v>0.625</v>
      </c>
      <c r="P881" s="6">
        <v>13.57</v>
      </c>
      <c r="Q881" s="6">
        <v>14.68</v>
      </c>
      <c r="R881" s="19">
        <v>0.52380000000000004</v>
      </c>
      <c r="S881" s="20">
        <v>25</v>
      </c>
      <c r="T881" s="6">
        <v>9.39</v>
      </c>
      <c r="U881" s="6">
        <v>10.54</v>
      </c>
      <c r="V881" s="6">
        <v>14.39</v>
      </c>
      <c r="W881" s="19">
        <v>0.90210000000000001</v>
      </c>
      <c r="X881" s="6">
        <v>17.21</v>
      </c>
      <c r="Y881" s="21">
        <v>192787.654928462</v>
      </c>
      <c r="Z881" s="6">
        <v>10190</v>
      </c>
      <c r="AA881" s="6">
        <v>4.8858558978031903</v>
      </c>
    </row>
    <row r="882" spans="1:27" x14ac:dyDescent="0.25">
      <c r="A882" s="7" t="str">
        <f t="shared" si="13"/>
        <v>3848Providence St Patrick Hospital &amp; Health Science Ce303046074271, SURGICAL SHORT STAY UNIT</v>
      </c>
      <c r="B882" s="7"/>
      <c r="C882" s="29" t="s">
        <v>297</v>
      </c>
      <c r="D882" s="29" t="s">
        <v>298</v>
      </c>
      <c r="E882" s="29" t="s">
        <v>299</v>
      </c>
      <c r="F882" s="29">
        <v>3848</v>
      </c>
      <c r="G882" s="153" t="s">
        <v>300</v>
      </c>
      <c r="H882" s="154">
        <v>3030</v>
      </c>
      <c r="I882" s="153" t="s">
        <v>80</v>
      </c>
      <c r="J882" s="153" t="s">
        <v>47</v>
      </c>
      <c r="K882" s="153" t="s">
        <v>308</v>
      </c>
      <c r="L882" s="153" t="s">
        <v>81</v>
      </c>
      <c r="M882" s="155">
        <v>5623.09</v>
      </c>
      <c r="N882" s="155">
        <v>9515.75</v>
      </c>
      <c r="O882" s="156">
        <v>0.76</v>
      </c>
      <c r="P882" s="155">
        <v>5.13</v>
      </c>
      <c r="Q882" s="155">
        <v>3.28</v>
      </c>
      <c r="R882" s="156">
        <v>0.86960000000000004</v>
      </c>
      <c r="S882" s="157">
        <v>26</v>
      </c>
      <c r="T882" s="155">
        <v>2.36</v>
      </c>
      <c r="U882" s="155">
        <v>2.65</v>
      </c>
      <c r="V882" s="155">
        <v>3.31</v>
      </c>
      <c r="W882" s="156">
        <v>0.89219999999999999</v>
      </c>
      <c r="X882" s="155">
        <v>16.809999999999999</v>
      </c>
      <c r="Y882" s="158">
        <f>42.66*Z882</f>
        <v>286643.57078009407</v>
      </c>
      <c r="Z882" s="155">
        <f>SUM((Q882-U882)*N882)/W882</f>
        <v>6719.2585743106911</v>
      </c>
      <c r="AA882" s="155">
        <f>Z882/2085.71</f>
        <v>3.221568949811187</v>
      </c>
    </row>
    <row r="883" spans="1:27" x14ac:dyDescent="0.25">
      <c r="A883" s="7" t="str">
        <f t="shared" si="13"/>
        <v>3848Providence St Patrick Hospital &amp; Health Science Ce302046074270, RECOVERY ROOM SERVICES</v>
      </c>
      <c r="B883" s="7"/>
      <c r="C883" s="29" t="s">
        <v>297</v>
      </c>
      <c r="D883" s="29" t="s">
        <v>298</v>
      </c>
      <c r="E883" s="29" t="s">
        <v>299</v>
      </c>
      <c r="F883" s="29">
        <v>3848</v>
      </c>
      <c r="G883" s="4" t="s">
        <v>300</v>
      </c>
      <c r="H883" s="5">
        <v>3020</v>
      </c>
      <c r="I883" s="4" t="s">
        <v>89</v>
      </c>
      <c r="J883" s="4" t="s">
        <v>47</v>
      </c>
      <c r="K883" s="4" t="s">
        <v>307</v>
      </c>
      <c r="L883" s="4" t="s">
        <v>90</v>
      </c>
      <c r="M883" s="6">
        <v>3443.89</v>
      </c>
      <c r="N883" s="6">
        <v>6902.78</v>
      </c>
      <c r="O883" s="19">
        <v>0.88</v>
      </c>
      <c r="P883" s="6">
        <v>4.5999999999999996</v>
      </c>
      <c r="Q883" s="6">
        <v>2.42</v>
      </c>
      <c r="R883" s="19">
        <v>0</v>
      </c>
      <c r="S883" s="20">
        <v>26</v>
      </c>
      <c r="T883" s="6">
        <v>3.37</v>
      </c>
      <c r="U883" s="6">
        <v>3.54</v>
      </c>
      <c r="V883" s="6">
        <v>3.82</v>
      </c>
      <c r="W883" s="19">
        <v>0.90290000000000004</v>
      </c>
      <c r="X883" s="6">
        <v>8.8800000000000008</v>
      </c>
      <c r="Y883" s="21">
        <v>-370546.22825884802</v>
      </c>
      <c r="Z883" s="6">
        <v>-8543</v>
      </c>
      <c r="AA883" s="6">
        <v>-4.0958495069503602</v>
      </c>
    </row>
    <row r="884" spans="1:27" x14ac:dyDescent="0.25">
      <c r="A884" s="7" t="str">
        <f t="shared" si="13"/>
        <v>3848Providence St Patrick Hospital &amp; Health Science Ce637046086700, AUXILIARY GROUPS</v>
      </c>
      <c r="B884" s="7"/>
      <c r="C884" s="29" t="s">
        <v>297</v>
      </c>
      <c r="D884" s="29" t="s">
        <v>298</v>
      </c>
      <c r="E884" s="29" t="s">
        <v>299</v>
      </c>
      <c r="F884" s="29">
        <v>3848</v>
      </c>
      <c r="G884" s="4" t="s">
        <v>300</v>
      </c>
      <c r="H884" s="5">
        <v>6370</v>
      </c>
      <c r="I884" s="4" t="s">
        <v>15</v>
      </c>
      <c r="J884" s="4" t="s">
        <v>16</v>
      </c>
      <c r="K884" s="4" t="s">
        <v>345</v>
      </c>
      <c r="L884" s="4" t="s">
        <v>17</v>
      </c>
      <c r="M884" s="6">
        <v>246.3</v>
      </c>
      <c r="N884" s="6">
        <v>238.95</v>
      </c>
      <c r="O884" s="19">
        <v>0.15379999999999999</v>
      </c>
      <c r="P884" s="6">
        <v>13.46</v>
      </c>
      <c r="Q884" s="6">
        <v>15.63</v>
      </c>
      <c r="R884" s="19">
        <v>0.84619999999999995</v>
      </c>
      <c r="S884" s="20">
        <v>27</v>
      </c>
      <c r="T884" s="6">
        <v>6.46</v>
      </c>
      <c r="U884" s="6">
        <v>7.16</v>
      </c>
      <c r="V884" s="6">
        <v>8.1199999999999992</v>
      </c>
      <c r="W884" s="19">
        <v>0.8962</v>
      </c>
      <c r="X884" s="6">
        <v>2</v>
      </c>
      <c r="Y884" s="21">
        <v>43694.671320794601</v>
      </c>
      <c r="Z884" s="6">
        <v>2262</v>
      </c>
      <c r="AA884" s="6">
        <v>1.08470039182554</v>
      </c>
    </row>
    <row r="885" spans="1:27" x14ac:dyDescent="0.25">
      <c r="A885" s="7" t="str">
        <f t="shared" si="13"/>
        <v>3848Providence St Patrick Hospital &amp; Health Science Ce344046076390, MAMMOGRAPHY</v>
      </c>
      <c r="B885" s="7"/>
      <c r="C885" s="29" t="s">
        <v>297</v>
      </c>
      <c r="D885" s="29" t="s">
        <v>298</v>
      </c>
      <c r="E885" s="29" t="s">
        <v>299</v>
      </c>
      <c r="F885" s="29">
        <v>3848</v>
      </c>
      <c r="G885" s="4" t="s">
        <v>300</v>
      </c>
      <c r="H885" s="5">
        <v>3440</v>
      </c>
      <c r="I885" s="4" t="s">
        <v>119</v>
      </c>
      <c r="J885" s="4" t="s">
        <v>57</v>
      </c>
      <c r="K885" s="4" t="s">
        <v>322</v>
      </c>
      <c r="L885" s="4" t="s">
        <v>99</v>
      </c>
      <c r="M885" s="6">
        <v>9877.36</v>
      </c>
      <c r="N885" s="6">
        <v>13932.68</v>
      </c>
      <c r="O885" s="19">
        <v>0.51849999999999996</v>
      </c>
      <c r="P885" s="6">
        <v>0.62</v>
      </c>
      <c r="Q885" s="6">
        <v>0.49</v>
      </c>
      <c r="R885" s="19">
        <v>7.1400000000000005E-2</v>
      </c>
      <c r="S885" s="20">
        <v>28</v>
      </c>
      <c r="T885" s="6">
        <v>0.5</v>
      </c>
      <c r="U885" s="6">
        <v>0.54</v>
      </c>
      <c r="V885" s="6">
        <v>0.61</v>
      </c>
      <c r="W885" s="19">
        <v>0.90029999999999999</v>
      </c>
      <c r="X885" s="6">
        <v>3.64</v>
      </c>
      <c r="Y885" s="21">
        <v>-22728.943295423702</v>
      </c>
      <c r="Z885" s="6">
        <v>-765</v>
      </c>
      <c r="AA885" s="6">
        <v>-0.36672311096314097</v>
      </c>
    </row>
    <row r="886" spans="1:27" x14ac:dyDescent="0.25">
      <c r="A886" s="7" t="str">
        <f t="shared" si="13"/>
        <v>3848Providence St Patrick Hospital &amp; Health Science Ce401046076420, RADIATION ONCOLOGY</v>
      </c>
      <c r="B886" s="7"/>
      <c r="C886" s="29" t="s">
        <v>297</v>
      </c>
      <c r="D886" s="29" t="s">
        <v>298</v>
      </c>
      <c r="E886" s="29" t="s">
        <v>299</v>
      </c>
      <c r="F886" s="29">
        <v>3848</v>
      </c>
      <c r="G886" s="4" t="s">
        <v>300</v>
      </c>
      <c r="H886" s="5">
        <v>4010</v>
      </c>
      <c r="I886" s="4" t="s">
        <v>152</v>
      </c>
      <c r="J886" s="4" t="s">
        <v>153</v>
      </c>
      <c r="K886" s="4" t="s">
        <v>323</v>
      </c>
      <c r="L886" s="4" t="s">
        <v>99</v>
      </c>
      <c r="M886" s="6">
        <v>70910.33</v>
      </c>
      <c r="N886" s="6">
        <v>49027.92</v>
      </c>
      <c r="O886" s="19">
        <v>0.51849999999999996</v>
      </c>
      <c r="P886" s="6">
        <v>0.26</v>
      </c>
      <c r="Q886" s="6">
        <v>0.4</v>
      </c>
      <c r="R886" s="19">
        <v>0.55559999999999998</v>
      </c>
      <c r="S886" s="20">
        <v>28</v>
      </c>
      <c r="T886" s="6">
        <v>0.35</v>
      </c>
      <c r="U886" s="6">
        <v>0.37</v>
      </c>
      <c r="V886" s="6">
        <v>0.4</v>
      </c>
      <c r="W886" s="19">
        <v>0.90969999999999995</v>
      </c>
      <c r="X886" s="6">
        <v>10.48</v>
      </c>
      <c r="Y886" s="21">
        <v>79895.075627672501</v>
      </c>
      <c r="Z886" s="6">
        <v>1917</v>
      </c>
      <c r="AA886" s="6">
        <v>0.91917966725251399</v>
      </c>
    </row>
    <row r="887" spans="1:27" x14ac:dyDescent="0.25">
      <c r="A887" s="7" t="str">
        <f t="shared" si="13"/>
        <v>3848Providence St Patrick Hospital &amp; Health Science Ce486146077800, SPEECH LANGUAGE PATHOLOGY</v>
      </c>
      <c r="B887" s="7"/>
      <c r="C887" s="29" t="s">
        <v>297</v>
      </c>
      <c r="D887" s="29" t="s">
        <v>298</v>
      </c>
      <c r="E887" s="29" t="s">
        <v>299</v>
      </c>
      <c r="F887" s="29">
        <v>3848</v>
      </c>
      <c r="G887" s="4" t="s">
        <v>300</v>
      </c>
      <c r="H887" s="5">
        <v>4861</v>
      </c>
      <c r="I887" s="4" t="s">
        <v>125</v>
      </c>
      <c r="J887" s="4" t="s">
        <v>41</v>
      </c>
      <c r="K887" s="4" t="s">
        <v>326</v>
      </c>
      <c r="L887" s="4" t="s">
        <v>79</v>
      </c>
      <c r="M887" s="6">
        <v>134.74</v>
      </c>
      <c r="N887" s="6">
        <v>173.52</v>
      </c>
      <c r="O887" s="19">
        <v>0.66669999999999996</v>
      </c>
      <c r="P887" s="6">
        <v>33.5</v>
      </c>
      <c r="Q887" s="6">
        <v>26.28</v>
      </c>
      <c r="R887" s="19">
        <v>0.3226</v>
      </c>
      <c r="S887" s="20">
        <v>31</v>
      </c>
      <c r="T887" s="6">
        <v>23.99</v>
      </c>
      <c r="U887" s="6">
        <v>27.04</v>
      </c>
      <c r="V887" s="6">
        <v>30.6</v>
      </c>
      <c r="W887" s="19">
        <v>0.83189999999999997</v>
      </c>
      <c r="X887" s="6">
        <v>2.64</v>
      </c>
      <c r="Y887" s="21">
        <v>-4325.0155222131998</v>
      </c>
      <c r="Z887" s="6">
        <v>-134</v>
      </c>
      <c r="AA887" s="6">
        <v>-6.4165457149945898E-2</v>
      </c>
    </row>
    <row r="888" spans="1:27" x14ac:dyDescent="0.25">
      <c r="A888" s="7" t="str">
        <f t="shared" si="13"/>
        <v>3848Providence St Patrick Hospital &amp; Health Science Ce661046086100, 86200 ADMINISTRATION (U)</v>
      </c>
      <c r="B888" s="7"/>
      <c r="C888" s="29" t="s">
        <v>297</v>
      </c>
      <c r="D888" s="29" t="s">
        <v>298</v>
      </c>
      <c r="E888" s="29" t="s">
        <v>299</v>
      </c>
      <c r="F888" s="29">
        <v>3848</v>
      </c>
      <c r="G888" s="4" t="s">
        <v>300</v>
      </c>
      <c r="H888" s="5">
        <v>6610</v>
      </c>
      <c r="I888" s="4" t="s">
        <v>72</v>
      </c>
      <c r="J888" s="4" t="s">
        <v>72</v>
      </c>
      <c r="K888" s="4" t="s">
        <v>344</v>
      </c>
      <c r="L888" s="4" t="s">
        <v>14</v>
      </c>
      <c r="M888" s="6">
        <v>180.29</v>
      </c>
      <c r="N888" s="6">
        <v>193.97</v>
      </c>
      <c r="O888" s="19">
        <v>0.26119999999999999</v>
      </c>
      <c r="P888" s="6">
        <v>82.23</v>
      </c>
      <c r="Q888" s="6">
        <v>83.78</v>
      </c>
      <c r="R888" s="19">
        <v>0.46920000000000001</v>
      </c>
      <c r="S888" s="20">
        <v>31</v>
      </c>
      <c r="T888" s="6">
        <v>62.16</v>
      </c>
      <c r="U888" s="6">
        <v>64.44</v>
      </c>
      <c r="V888" s="6">
        <v>84.93</v>
      </c>
      <c r="W888" s="19">
        <v>0.90210000000000001</v>
      </c>
      <c r="X888" s="6">
        <v>8.66</v>
      </c>
      <c r="Y888" s="21">
        <v>407907.52046312997</v>
      </c>
      <c r="Z888" s="6">
        <v>4206</v>
      </c>
      <c r="AA888" s="6">
        <v>2.0167044558366101</v>
      </c>
    </row>
    <row r="889" spans="1:27" x14ac:dyDescent="0.25">
      <c r="A889" s="7" t="str">
        <f t="shared" si="13"/>
        <v>3848Providence St Patrick Hospital &amp; Health Science Ce500146084500, 84501 FAC ENGINEERING</v>
      </c>
      <c r="B889" s="7"/>
      <c r="C889" s="29" t="s">
        <v>297</v>
      </c>
      <c r="D889" s="29" t="s">
        <v>298</v>
      </c>
      <c r="E889" s="29" t="s">
        <v>299</v>
      </c>
      <c r="F889" s="29">
        <v>3848</v>
      </c>
      <c r="G889" s="4" t="s">
        <v>300</v>
      </c>
      <c r="H889" s="5">
        <v>5001</v>
      </c>
      <c r="I889" s="4" t="s">
        <v>141</v>
      </c>
      <c r="J889" s="4" t="s">
        <v>62</v>
      </c>
      <c r="K889" s="4" t="s">
        <v>340</v>
      </c>
      <c r="L889" s="4" t="s">
        <v>63</v>
      </c>
      <c r="M889" s="6">
        <v>1166.1099999999999</v>
      </c>
      <c r="N889" s="6">
        <v>1166.1099999999999</v>
      </c>
      <c r="O889" s="19">
        <v>0.70589999999999997</v>
      </c>
      <c r="P889" s="6">
        <v>27.05</v>
      </c>
      <c r="Q889" s="6">
        <v>30.26</v>
      </c>
      <c r="R889" s="19">
        <v>0.34379999999999999</v>
      </c>
      <c r="S889" s="20">
        <v>35</v>
      </c>
      <c r="T889" s="6">
        <v>29.73</v>
      </c>
      <c r="U889" s="6">
        <v>30.34</v>
      </c>
      <c r="V889" s="6">
        <v>34.06</v>
      </c>
      <c r="W889" s="19">
        <v>0.89249999999999996</v>
      </c>
      <c r="X889" s="6">
        <v>19.010000000000002</v>
      </c>
      <c r="Y889" s="21">
        <v>194.90092772605399</v>
      </c>
      <c r="Z889" s="6">
        <v>8</v>
      </c>
      <c r="AA889" s="6">
        <v>3.8115880192002298E-3</v>
      </c>
    </row>
    <row r="890" spans="1:27" x14ac:dyDescent="0.25">
      <c r="A890" s="7" t="str">
        <f t="shared" si="13"/>
        <v>3848Providence St Patrick Hospital &amp; Health Science Ce201046070100, 70101 EMERGENCY SERVICES</v>
      </c>
      <c r="B890" s="7"/>
      <c r="C890" s="29" t="s">
        <v>297</v>
      </c>
      <c r="D890" s="29" t="s">
        <v>298</v>
      </c>
      <c r="E890" s="29" t="s">
        <v>299</v>
      </c>
      <c r="F890" s="29">
        <v>3848</v>
      </c>
      <c r="G890" s="4" t="s">
        <v>300</v>
      </c>
      <c r="H890" s="5">
        <v>2010</v>
      </c>
      <c r="I890" s="4" t="s">
        <v>75</v>
      </c>
      <c r="J890" s="4" t="s">
        <v>76</v>
      </c>
      <c r="K890" s="4" t="s">
        <v>303</v>
      </c>
      <c r="L890" s="4" t="s">
        <v>77</v>
      </c>
      <c r="M890" s="6">
        <v>29718</v>
      </c>
      <c r="N890" s="6">
        <v>31155</v>
      </c>
      <c r="O890" s="19">
        <v>0.16669999999999999</v>
      </c>
      <c r="P890" s="6">
        <v>2.89</v>
      </c>
      <c r="Q890" s="6">
        <v>2.99</v>
      </c>
      <c r="R890" s="19">
        <v>0.59460000000000002</v>
      </c>
      <c r="S890" s="20">
        <v>37</v>
      </c>
      <c r="T890" s="6">
        <v>2.65</v>
      </c>
      <c r="U890" s="6">
        <v>2.77</v>
      </c>
      <c r="V890" s="6">
        <v>2.92</v>
      </c>
      <c r="W890" s="19">
        <v>0.9163</v>
      </c>
      <c r="X890" s="6">
        <v>48.85</v>
      </c>
      <c r="Y890" s="21">
        <v>227475.69549958999</v>
      </c>
      <c r="Z890" s="6">
        <v>7704</v>
      </c>
      <c r="AA890" s="6">
        <v>3.6937366726210699</v>
      </c>
    </row>
    <row r="891" spans="1:27" x14ac:dyDescent="0.25">
      <c r="A891" s="7" t="str">
        <f t="shared" si="13"/>
        <v>3848Providence St Patrick Hospital &amp; Health Science Ce342046076800, CT SCAN</v>
      </c>
      <c r="B891" s="7"/>
      <c r="C891" s="29" t="s">
        <v>297</v>
      </c>
      <c r="D891" s="29" t="s">
        <v>298</v>
      </c>
      <c r="E891" s="29" t="s">
        <v>299</v>
      </c>
      <c r="F891" s="29">
        <v>3848</v>
      </c>
      <c r="G891" s="4" t="s">
        <v>300</v>
      </c>
      <c r="H891" s="5">
        <v>3420</v>
      </c>
      <c r="I891" s="4" t="s">
        <v>123</v>
      </c>
      <c r="J891" s="4" t="s">
        <v>57</v>
      </c>
      <c r="K891" s="4" t="s">
        <v>334</v>
      </c>
      <c r="L891" s="4" t="s">
        <v>99</v>
      </c>
      <c r="M891" s="6">
        <v>57792.46</v>
      </c>
      <c r="N891" s="6">
        <v>60361.98</v>
      </c>
      <c r="O891" s="19">
        <v>0.64859999999999995</v>
      </c>
      <c r="P891" s="6">
        <v>0.34</v>
      </c>
      <c r="Q891" s="6">
        <v>0.3</v>
      </c>
      <c r="R891" s="19">
        <v>0.56410000000000005</v>
      </c>
      <c r="S891" s="20">
        <v>38</v>
      </c>
      <c r="T891" s="6">
        <v>0.25</v>
      </c>
      <c r="U891" s="6">
        <v>0.27</v>
      </c>
      <c r="V891" s="6">
        <v>0.3</v>
      </c>
      <c r="W891" s="19">
        <v>0.89829999999999999</v>
      </c>
      <c r="X891" s="6">
        <v>9.85</v>
      </c>
      <c r="Y891" s="21">
        <v>69750.011133364605</v>
      </c>
      <c r="Z891" s="6">
        <v>2401</v>
      </c>
      <c r="AA891" s="6">
        <v>1.15130706527959</v>
      </c>
    </row>
    <row r="892" spans="1:27" x14ac:dyDescent="0.25">
      <c r="A892" s="7" t="str">
        <f t="shared" si="13"/>
        <v>3848Providence St Patrick Hospital &amp; Health Science Ce341146076300, 76302 DIAGNOSTIC IMAGING / PROV CTR</v>
      </c>
      <c r="B892" s="7"/>
      <c r="C892" s="29" t="s">
        <v>297</v>
      </c>
      <c r="D892" s="29" t="s">
        <v>298</v>
      </c>
      <c r="E892" s="29" t="s">
        <v>299</v>
      </c>
      <c r="F892" s="29">
        <v>3848</v>
      </c>
      <c r="G892" s="4" t="s">
        <v>300</v>
      </c>
      <c r="H892" s="5">
        <v>3411</v>
      </c>
      <c r="I892" s="4" t="s">
        <v>117</v>
      </c>
      <c r="J892" s="4" t="s">
        <v>57</v>
      </c>
      <c r="K892" s="4" t="s">
        <v>319</v>
      </c>
      <c r="L892" s="4" t="s">
        <v>99</v>
      </c>
      <c r="M892" s="6">
        <v>42189.01</v>
      </c>
      <c r="N892" s="6">
        <v>43367.74</v>
      </c>
      <c r="O892" s="19">
        <v>0.56410000000000005</v>
      </c>
      <c r="P892" s="6">
        <v>0.81</v>
      </c>
      <c r="Q892" s="6">
        <v>0.7</v>
      </c>
      <c r="R892" s="19">
        <v>0.52270000000000005</v>
      </c>
      <c r="S892" s="20">
        <v>40</v>
      </c>
      <c r="T892" s="6">
        <v>0.65</v>
      </c>
      <c r="U892" s="6">
        <v>0.66</v>
      </c>
      <c r="V892" s="6">
        <v>0.69</v>
      </c>
      <c r="W892" s="19">
        <v>0.88539999999999996</v>
      </c>
      <c r="X892" s="6">
        <v>16.59</v>
      </c>
      <c r="Y892" s="21">
        <v>62303.447621947802</v>
      </c>
      <c r="Z892" s="6">
        <v>2274</v>
      </c>
      <c r="AA892" s="6">
        <v>1.0904400819508</v>
      </c>
    </row>
    <row r="893" spans="1:27" x14ac:dyDescent="0.25">
      <c r="A893" s="7" t="str">
        <f t="shared" si="13"/>
        <v>3848Providence St Patrick Hospital &amp; Health Science Ce441046077100, PHARMACY</v>
      </c>
      <c r="B893" s="7"/>
      <c r="C893" s="29" t="s">
        <v>297</v>
      </c>
      <c r="D893" s="29" t="s">
        <v>298</v>
      </c>
      <c r="E893" s="29" t="s">
        <v>299</v>
      </c>
      <c r="F893" s="29">
        <v>3848</v>
      </c>
      <c r="G893" s="4" t="s">
        <v>300</v>
      </c>
      <c r="H893" s="5">
        <v>4410</v>
      </c>
      <c r="I893" s="4" t="s">
        <v>37</v>
      </c>
      <c r="J893" s="4" t="s">
        <v>37</v>
      </c>
      <c r="K893" s="4" t="s">
        <v>335</v>
      </c>
      <c r="L893" s="4" t="s">
        <v>100</v>
      </c>
      <c r="M893" s="6">
        <v>25931.96</v>
      </c>
      <c r="N893" s="6">
        <v>28791.86</v>
      </c>
      <c r="O893" s="19">
        <v>0.43590000000000001</v>
      </c>
      <c r="P893" s="6">
        <v>2.64</v>
      </c>
      <c r="Q893" s="6">
        <v>2.56</v>
      </c>
      <c r="R893" s="19">
        <v>0.89739999999999998</v>
      </c>
      <c r="S893" s="20">
        <v>40</v>
      </c>
      <c r="T893" s="6">
        <v>1.6</v>
      </c>
      <c r="U893" s="6">
        <v>1.69</v>
      </c>
      <c r="V893" s="6">
        <v>1.9</v>
      </c>
      <c r="W893" s="19">
        <v>0.90229999999999999</v>
      </c>
      <c r="X893" s="6">
        <v>39.270000000000003</v>
      </c>
      <c r="Y893" s="21">
        <v>1206398.56890371</v>
      </c>
      <c r="Z893" s="6">
        <v>27979</v>
      </c>
      <c r="AA893" s="6">
        <v>13.4144590805645</v>
      </c>
    </row>
    <row r="894" spans="1:27" x14ac:dyDescent="0.25">
      <c r="A894" s="7" t="str">
        <f t="shared" si="13"/>
        <v>3848Providence St Patrick Hospital &amp; Health Science Ce345046076700, ULTRASOUND</v>
      </c>
      <c r="B894" s="7"/>
      <c r="C894" s="29" t="s">
        <v>297</v>
      </c>
      <c r="D894" s="29" t="s">
        <v>298</v>
      </c>
      <c r="E894" s="29" t="s">
        <v>299</v>
      </c>
      <c r="F894" s="29">
        <v>3848</v>
      </c>
      <c r="G894" s="4" t="s">
        <v>300</v>
      </c>
      <c r="H894" s="5">
        <v>3450</v>
      </c>
      <c r="I894" s="4" t="s">
        <v>122</v>
      </c>
      <c r="J894" s="4" t="s">
        <v>57</v>
      </c>
      <c r="K894" s="4" t="s">
        <v>333</v>
      </c>
      <c r="L894" s="4" t="s">
        <v>99</v>
      </c>
      <c r="M894" s="6">
        <v>24305.96</v>
      </c>
      <c r="N894" s="6">
        <v>24335.279999999999</v>
      </c>
      <c r="O894" s="19">
        <v>0.56100000000000005</v>
      </c>
      <c r="P894" s="6">
        <v>0.44</v>
      </c>
      <c r="Q894" s="6">
        <v>0.5</v>
      </c>
      <c r="R894" s="19">
        <v>0.57140000000000002</v>
      </c>
      <c r="S894" s="20">
        <v>42</v>
      </c>
      <c r="T894" s="6">
        <v>0.42</v>
      </c>
      <c r="U894" s="6">
        <v>0.46</v>
      </c>
      <c r="V894" s="6">
        <v>0.5</v>
      </c>
      <c r="W894" s="19">
        <v>0.87870000000000004</v>
      </c>
      <c r="X894" s="6">
        <v>6.69</v>
      </c>
      <c r="Y894" s="21">
        <v>50389.044924501199</v>
      </c>
      <c r="Z894" s="6">
        <v>1214</v>
      </c>
      <c r="AA894" s="6">
        <v>0.58196226108649496</v>
      </c>
    </row>
    <row r="895" spans="1:27" x14ac:dyDescent="0.25">
      <c r="A895" s="7" t="str">
        <f t="shared" si="13"/>
        <v>3848Providence St Patrick Hospital &amp; Health Science Ce346046076500, 76501 NUCLEAR MEDICINE / PET</v>
      </c>
      <c r="B895" s="7"/>
      <c r="C895" s="29" t="s">
        <v>297</v>
      </c>
      <c r="D895" s="29" t="s">
        <v>298</v>
      </c>
      <c r="E895" s="29" t="s">
        <v>299</v>
      </c>
      <c r="F895" s="29">
        <v>3848</v>
      </c>
      <c r="G895" s="4" t="s">
        <v>300</v>
      </c>
      <c r="H895" s="5">
        <v>3460</v>
      </c>
      <c r="I895" s="4" t="s">
        <v>120</v>
      </c>
      <c r="J895" s="4" t="s">
        <v>57</v>
      </c>
      <c r="K895" s="4" t="s">
        <v>331</v>
      </c>
      <c r="L895" s="4" t="s">
        <v>99</v>
      </c>
      <c r="M895" s="6">
        <v>10210.69</v>
      </c>
      <c r="N895" s="6">
        <v>14973.92</v>
      </c>
      <c r="O895" s="19">
        <v>0.3659</v>
      </c>
      <c r="P895" s="6">
        <v>0.66</v>
      </c>
      <c r="Q895" s="6">
        <v>0.46</v>
      </c>
      <c r="R895" s="19">
        <v>0.85370000000000001</v>
      </c>
      <c r="S895" s="20">
        <v>42</v>
      </c>
      <c r="T895" s="6">
        <v>0.23</v>
      </c>
      <c r="U895" s="6">
        <v>0.25</v>
      </c>
      <c r="V895" s="6">
        <v>0.3</v>
      </c>
      <c r="W895" s="19">
        <v>0.88919999999999999</v>
      </c>
      <c r="X895" s="6">
        <v>3.73</v>
      </c>
      <c r="Y895" s="21">
        <v>121750.922882616</v>
      </c>
      <c r="Z895" s="6">
        <v>3570</v>
      </c>
      <c r="AA895" s="6">
        <v>1.71152106224872</v>
      </c>
    </row>
    <row r="896" spans="1:27" x14ac:dyDescent="0.25">
      <c r="A896" s="7" t="str">
        <f t="shared" si="13"/>
        <v>3848Providence St Patrick Hospital &amp; Health Science Ce301146074200, OPERATING ROOM</v>
      </c>
      <c r="B896" s="7"/>
      <c r="C896" s="29" t="s">
        <v>297</v>
      </c>
      <c r="D896" s="29" t="s">
        <v>298</v>
      </c>
      <c r="E896" s="29" t="s">
        <v>299</v>
      </c>
      <c r="F896" s="29">
        <v>3848</v>
      </c>
      <c r="G896" s="4" t="s">
        <v>300</v>
      </c>
      <c r="H896" s="5">
        <v>3011</v>
      </c>
      <c r="I896" s="4" t="s">
        <v>87</v>
      </c>
      <c r="J896" s="4" t="s">
        <v>47</v>
      </c>
      <c r="K896" s="4" t="s">
        <v>306</v>
      </c>
      <c r="L896" s="4" t="s">
        <v>88</v>
      </c>
      <c r="M896" s="6">
        <v>7057.79</v>
      </c>
      <c r="N896" s="6">
        <v>7814.09</v>
      </c>
      <c r="O896" s="19">
        <v>0.70730000000000004</v>
      </c>
      <c r="P896" s="6">
        <v>13.1</v>
      </c>
      <c r="Q896" s="6">
        <v>13.16</v>
      </c>
      <c r="R896" s="19">
        <v>0.64290000000000003</v>
      </c>
      <c r="S896" s="20">
        <v>42</v>
      </c>
      <c r="T896" s="6">
        <v>10.23</v>
      </c>
      <c r="U896" s="6">
        <v>11.16</v>
      </c>
      <c r="V896" s="6">
        <v>11.77</v>
      </c>
      <c r="W896" s="19">
        <v>0.89129999999999998</v>
      </c>
      <c r="X896" s="6">
        <v>55.46</v>
      </c>
      <c r="Y896" s="21">
        <v>626753.67928270902</v>
      </c>
      <c r="Z896" s="6">
        <v>17832</v>
      </c>
      <c r="AA896" s="6">
        <v>8.5498462994641304</v>
      </c>
    </row>
    <row r="897" spans="1:27" x14ac:dyDescent="0.25">
      <c r="A897" s="7" t="str">
        <f t="shared" si="13"/>
        <v>3524Providence St Peter Hospital4299Cardiology and Vascular Administration and Support Services (U,N)</v>
      </c>
      <c r="B897" s="7"/>
      <c r="C897" s="29" t="s">
        <v>185</v>
      </c>
      <c r="D897" s="29" t="s">
        <v>200</v>
      </c>
      <c r="E897" s="29" t="s">
        <v>186</v>
      </c>
      <c r="F897" s="29">
        <v>3524</v>
      </c>
      <c r="G897" s="4" t="s">
        <v>201</v>
      </c>
      <c r="H897" s="5">
        <v>4299</v>
      </c>
      <c r="I897" s="4" t="s">
        <v>59</v>
      </c>
      <c r="J897" s="4" t="s">
        <v>60</v>
      </c>
      <c r="K897" s="4" t="s">
        <v>1734</v>
      </c>
      <c r="L897" s="4" t="s">
        <v>58</v>
      </c>
      <c r="M897" s="7"/>
      <c r="N897" s="39">
        <v>362354.5</v>
      </c>
      <c r="O897" s="38">
        <v>0.85109999999999997</v>
      </c>
      <c r="P897" s="7"/>
      <c r="Q897" s="39">
        <v>0.02</v>
      </c>
      <c r="R897" s="38">
        <v>0.38550000000000001</v>
      </c>
      <c r="S897" s="40">
        <v>5</v>
      </c>
      <c r="T897" s="39">
        <v>0.02</v>
      </c>
      <c r="U897" s="39">
        <v>0.02</v>
      </c>
      <c r="V897" s="39">
        <v>0.02</v>
      </c>
      <c r="W897" s="38">
        <v>0.91639999999999999</v>
      </c>
      <c r="X897" s="39">
        <v>3.81</v>
      </c>
      <c r="Y897" s="41">
        <v>1569.5700462704799</v>
      </c>
      <c r="Z897" s="39">
        <v>38</v>
      </c>
      <c r="AA897" s="39">
        <v>1.8363170237387601E-2</v>
      </c>
    </row>
    <row r="898" spans="1:27" x14ac:dyDescent="0.25">
      <c r="A898" s="7" t="str">
        <f t="shared" si="13"/>
        <v>3524Providence St Peter Hospital306033074500, ANESTHESIOLOGY</v>
      </c>
      <c r="B898" s="7"/>
      <c r="C898" s="29" t="s">
        <v>185</v>
      </c>
      <c r="D898" s="29" t="s">
        <v>200</v>
      </c>
      <c r="E898" s="29" t="s">
        <v>186</v>
      </c>
      <c r="F898" s="29">
        <v>3524</v>
      </c>
      <c r="G898" s="4" t="s">
        <v>201</v>
      </c>
      <c r="H898" s="5">
        <v>3060</v>
      </c>
      <c r="I898" s="4" t="s">
        <v>180</v>
      </c>
      <c r="J898" s="4" t="s">
        <v>47</v>
      </c>
      <c r="K898" s="4" t="s">
        <v>1735</v>
      </c>
      <c r="L898" s="4" t="s">
        <v>181</v>
      </c>
      <c r="M898" s="39">
        <v>9399.92</v>
      </c>
      <c r="N898" s="39">
        <v>9443.92</v>
      </c>
      <c r="O898" s="38">
        <v>0.25</v>
      </c>
      <c r="P898" s="39">
        <v>0.93</v>
      </c>
      <c r="Q898" s="39">
        <v>0.94</v>
      </c>
      <c r="R898" s="38">
        <v>0.4</v>
      </c>
      <c r="S898" s="40">
        <v>5</v>
      </c>
      <c r="T898" s="39">
        <v>0.85</v>
      </c>
      <c r="U898" s="39">
        <v>0.91</v>
      </c>
      <c r="V898" s="39">
        <v>1.1499999999999999</v>
      </c>
      <c r="W898" s="38">
        <v>0.82520000000000004</v>
      </c>
      <c r="X898" s="39">
        <v>5.16</v>
      </c>
      <c r="Y898" s="41">
        <v>10617.1094415975</v>
      </c>
      <c r="Z898" s="39">
        <v>348</v>
      </c>
      <c r="AA898" s="39">
        <v>0.16675781028214801</v>
      </c>
    </row>
    <row r="899" spans="1:27" x14ac:dyDescent="0.25">
      <c r="A899" s="7" t="str">
        <f t="shared" ref="A899:A962" si="14">F899&amp;G899&amp;H899&amp;K899</f>
        <v>3524Providence St Peter Hospital422233075910, Electrocardiograph</v>
      </c>
      <c r="B899" s="7"/>
      <c r="C899" s="29" t="s">
        <v>185</v>
      </c>
      <c r="D899" s="29" t="s">
        <v>200</v>
      </c>
      <c r="E899" s="29" t="s">
        <v>186</v>
      </c>
      <c r="F899" s="29">
        <v>3524</v>
      </c>
      <c r="G899" s="4" t="s">
        <v>201</v>
      </c>
      <c r="H899" s="5">
        <v>4222</v>
      </c>
      <c r="I899" s="4" t="s">
        <v>1653</v>
      </c>
      <c r="J899" s="4" t="s">
        <v>60</v>
      </c>
      <c r="K899" s="4" t="s">
        <v>1733</v>
      </c>
      <c r="L899" s="4" t="s">
        <v>99</v>
      </c>
      <c r="M899" s="7"/>
      <c r="N899" s="39">
        <v>29289.02</v>
      </c>
      <c r="O899" s="38">
        <v>0.83330000000000004</v>
      </c>
      <c r="P899" s="7"/>
      <c r="Q899" s="39">
        <v>0.17</v>
      </c>
      <c r="R899" s="38">
        <v>0.16669999999999999</v>
      </c>
      <c r="S899" s="40">
        <v>7</v>
      </c>
      <c r="T899" s="39">
        <v>0.18</v>
      </c>
      <c r="U899" s="39">
        <v>0.19</v>
      </c>
      <c r="V899" s="39">
        <v>0.26</v>
      </c>
      <c r="W899" s="38">
        <v>0.89810000000000001</v>
      </c>
      <c r="X899" s="39">
        <v>2.72</v>
      </c>
      <c r="Y899" s="41">
        <v>-20165.142804236199</v>
      </c>
      <c r="Z899" s="39">
        <v>-523</v>
      </c>
      <c r="AA899" s="39">
        <v>-0.25085806815629802</v>
      </c>
    </row>
    <row r="900" spans="1:27" x14ac:dyDescent="0.25">
      <c r="A900" s="7" t="str">
        <f t="shared" si="14"/>
        <v>3524Providence St Peter Hospital422433075600 Echocardiography</v>
      </c>
      <c r="B900" s="7"/>
      <c r="C900" s="29" t="s">
        <v>185</v>
      </c>
      <c r="D900" s="29" t="s">
        <v>200</v>
      </c>
      <c r="E900" s="29" t="s">
        <v>186</v>
      </c>
      <c r="F900" s="29">
        <v>3524</v>
      </c>
      <c r="G900" s="4" t="s">
        <v>201</v>
      </c>
      <c r="H900" s="5">
        <v>4224</v>
      </c>
      <c r="I900" s="4" t="s">
        <v>275</v>
      </c>
      <c r="J900" s="4" t="s">
        <v>60</v>
      </c>
      <c r="K900" s="4" t="s">
        <v>276</v>
      </c>
      <c r="L900" s="4" t="s">
        <v>99</v>
      </c>
      <c r="M900" s="7"/>
      <c r="N900" s="39">
        <v>28932.7</v>
      </c>
      <c r="O900" s="38">
        <v>0.85709999999999997</v>
      </c>
      <c r="P900" s="7"/>
      <c r="Q900" s="39">
        <v>0.28000000000000003</v>
      </c>
      <c r="R900" s="38">
        <v>0.125</v>
      </c>
      <c r="S900" s="40">
        <v>8</v>
      </c>
      <c r="T900" s="39">
        <v>0.28000000000000003</v>
      </c>
      <c r="U900" s="39">
        <v>0.34</v>
      </c>
      <c r="V900" s="39">
        <v>0.38</v>
      </c>
      <c r="W900" s="38">
        <v>0.91080000000000005</v>
      </c>
      <c r="X900" s="39">
        <v>4.2</v>
      </c>
      <c r="Y900" s="41">
        <v>-83068.047958269293</v>
      </c>
      <c r="Z900" s="39">
        <v>-2041</v>
      </c>
      <c r="AA900" s="39">
        <v>-0.97836928290305503</v>
      </c>
    </row>
    <row r="901" spans="1:27" x14ac:dyDescent="0.25">
      <c r="A901" s="7" t="str">
        <f t="shared" si="14"/>
        <v>3524Providence St Peter Hospital487133078001, PT OT SLP Combined Inpatient</v>
      </c>
      <c r="B901" s="7"/>
      <c r="C901" s="29" t="s">
        <v>185</v>
      </c>
      <c r="D901" s="29" t="s">
        <v>200</v>
      </c>
      <c r="E901" s="29" t="s">
        <v>186</v>
      </c>
      <c r="F901" s="29">
        <v>3524</v>
      </c>
      <c r="G901" s="4" t="s">
        <v>201</v>
      </c>
      <c r="H901" s="5">
        <v>4871</v>
      </c>
      <c r="I901" s="4" t="s">
        <v>196</v>
      </c>
      <c r="J901" s="4" t="s">
        <v>41</v>
      </c>
      <c r="K901" s="4" t="s">
        <v>232</v>
      </c>
      <c r="L901" s="4" t="s">
        <v>79</v>
      </c>
      <c r="M901" s="39">
        <v>2103.8200000000002</v>
      </c>
      <c r="N901" s="39">
        <v>2321.2600000000002</v>
      </c>
      <c r="O901" s="38">
        <v>0.875</v>
      </c>
      <c r="P901" s="39">
        <v>20.47</v>
      </c>
      <c r="Q901" s="39">
        <v>19.72</v>
      </c>
      <c r="R901" s="38">
        <v>0</v>
      </c>
      <c r="S901" s="40">
        <v>9</v>
      </c>
      <c r="T901" s="39">
        <v>21.81</v>
      </c>
      <c r="U901" s="39">
        <v>22.44</v>
      </c>
      <c r="V901" s="39">
        <v>24.52</v>
      </c>
      <c r="W901" s="38">
        <v>0.89400000000000002</v>
      </c>
      <c r="X901" s="39">
        <v>24.61</v>
      </c>
      <c r="Y901" s="41">
        <v>-283259.294466872</v>
      </c>
      <c r="Z901" s="39">
        <v>-6936</v>
      </c>
      <c r="AA901" s="39">
        <v>-3.3255534797034398</v>
      </c>
    </row>
    <row r="902" spans="1:27" x14ac:dyDescent="0.25">
      <c r="A902" s="7" t="str">
        <f t="shared" si="14"/>
        <v>3524Providence St Peter Hospital487233077790, PEDIATRIC PT/OT/ST</v>
      </c>
      <c r="B902" s="7"/>
      <c r="C902" s="29" t="s">
        <v>185</v>
      </c>
      <c r="D902" s="29" t="s">
        <v>200</v>
      </c>
      <c r="E902" s="29" t="s">
        <v>186</v>
      </c>
      <c r="F902" s="29">
        <v>3524</v>
      </c>
      <c r="G902" s="4" t="s">
        <v>201</v>
      </c>
      <c r="H902" s="5">
        <v>4872</v>
      </c>
      <c r="I902" s="4" t="s">
        <v>197</v>
      </c>
      <c r="J902" s="4" t="s">
        <v>41</v>
      </c>
      <c r="K902" s="4" t="s">
        <v>230</v>
      </c>
      <c r="L902" s="4" t="s">
        <v>79</v>
      </c>
      <c r="M902" s="39">
        <v>367.5</v>
      </c>
      <c r="N902" s="39">
        <v>408.69</v>
      </c>
      <c r="O902" s="38">
        <v>0.5</v>
      </c>
      <c r="P902" s="39">
        <v>25.21</v>
      </c>
      <c r="Q902" s="39">
        <v>25.68</v>
      </c>
      <c r="R902" s="38">
        <v>0.1111</v>
      </c>
      <c r="S902" s="40">
        <v>9</v>
      </c>
      <c r="T902" s="39">
        <v>26.38</v>
      </c>
      <c r="U902" s="39">
        <v>26.83</v>
      </c>
      <c r="V902" s="39">
        <v>28.81</v>
      </c>
      <c r="W902" s="38">
        <v>0.87790000000000001</v>
      </c>
      <c r="X902" s="39">
        <v>5.75</v>
      </c>
      <c r="Y902" s="41">
        <v>-22613.791994426301</v>
      </c>
      <c r="Z902" s="39">
        <v>-497</v>
      </c>
      <c r="AA902" s="39">
        <v>-0.23849641424041099</v>
      </c>
    </row>
    <row r="903" spans="1:27" x14ac:dyDescent="0.25">
      <c r="A903" s="7" t="str">
        <f t="shared" si="14"/>
        <v>3524Providence St Peter Hospital127033074000, LABOR AND DELIVERY</v>
      </c>
      <c r="B903" s="7"/>
      <c r="C903" s="29" t="s">
        <v>185</v>
      </c>
      <c r="D903" s="29" t="s">
        <v>200</v>
      </c>
      <c r="E903" s="29" t="s">
        <v>186</v>
      </c>
      <c r="F903" s="29">
        <v>3524</v>
      </c>
      <c r="G903" s="4" t="s">
        <v>201</v>
      </c>
      <c r="H903" s="5">
        <v>1270</v>
      </c>
      <c r="I903" s="4" t="s">
        <v>199</v>
      </c>
      <c r="J903" s="4" t="s">
        <v>23</v>
      </c>
      <c r="K903" s="4" t="s">
        <v>270</v>
      </c>
      <c r="L903" s="4" t="s">
        <v>86</v>
      </c>
      <c r="M903" s="6">
        <v>2218</v>
      </c>
      <c r="N903" s="6">
        <v>2268</v>
      </c>
      <c r="O903" s="19">
        <v>0.55559999999999998</v>
      </c>
      <c r="P903" s="6">
        <v>51.67</v>
      </c>
      <c r="Q903" s="6">
        <v>51.72</v>
      </c>
      <c r="R903" s="19">
        <v>0.1111</v>
      </c>
      <c r="S903" s="20">
        <v>10</v>
      </c>
      <c r="T903" s="6">
        <v>62.76</v>
      </c>
      <c r="U903" s="6">
        <v>68.77</v>
      </c>
      <c r="V903" s="6">
        <v>71.38</v>
      </c>
      <c r="W903" s="19">
        <v>0.87109999999999999</v>
      </c>
      <c r="X903" s="6">
        <v>64.739999999999995</v>
      </c>
      <c r="Y903" s="21">
        <v>-2206974.1526715299</v>
      </c>
      <c r="Z903" s="6">
        <v>-44022</v>
      </c>
      <c r="AA903" s="6">
        <v>-21.106426112329899</v>
      </c>
    </row>
    <row r="904" spans="1:27" x14ac:dyDescent="0.25">
      <c r="A904" s="7" t="str">
        <f t="shared" si="14"/>
        <v>3524Providence St Peter Hospital123433061700, Medical Renal</v>
      </c>
      <c r="B904" s="7"/>
      <c r="C904" s="29" t="s">
        <v>185</v>
      </c>
      <c r="D904" s="29" t="s">
        <v>200</v>
      </c>
      <c r="E904" s="29" t="s">
        <v>186</v>
      </c>
      <c r="F904" s="29">
        <v>3524</v>
      </c>
      <c r="G904" s="4" t="s">
        <v>201</v>
      </c>
      <c r="H904" s="5">
        <v>1234</v>
      </c>
      <c r="I904" s="4" t="s">
        <v>214</v>
      </c>
      <c r="J904" s="4" t="s">
        <v>23</v>
      </c>
      <c r="K904" s="4" t="s">
        <v>215</v>
      </c>
      <c r="L904" s="4" t="s">
        <v>74</v>
      </c>
      <c r="M904" s="6">
        <v>7668.75</v>
      </c>
      <c r="N904" s="6">
        <v>7854.18</v>
      </c>
      <c r="O904" s="19">
        <v>0.55559999999999998</v>
      </c>
      <c r="P904" s="6">
        <v>10.49</v>
      </c>
      <c r="Q904" s="6">
        <v>10.56</v>
      </c>
      <c r="R904" s="19">
        <v>0.85709999999999997</v>
      </c>
      <c r="S904" s="20">
        <v>10</v>
      </c>
      <c r="T904" s="6">
        <v>10.1</v>
      </c>
      <c r="U904" s="6">
        <v>10.28</v>
      </c>
      <c r="V904" s="6">
        <v>10.35</v>
      </c>
      <c r="W904" s="19">
        <v>0.87139999999999995</v>
      </c>
      <c r="X904" s="6">
        <v>45.75</v>
      </c>
      <c r="Y904" s="21">
        <v>109117.27050697101</v>
      </c>
      <c r="Z904" s="6">
        <v>2764</v>
      </c>
      <c r="AA904" s="6">
        <v>1.3252934210001199</v>
      </c>
    </row>
    <row r="905" spans="1:27" x14ac:dyDescent="0.25">
      <c r="A905" s="7" t="str">
        <f t="shared" si="14"/>
        <v>3524Providence St Peter Hospital633033090300, FOUNDATION</v>
      </c>
      <c r="B905" s="7"/>
      <c r="C905" s="29" t="s">
        <v>185</v>
      </c>
      <c r="D905" s="29" t="s">
        <v>200</v>
      </c>
      <c r="E905" s="29" t="s">
        <v>186</v>
      </c>
      <c r="F905" s="29">
        <v>3524</v>
      </c>
      <c r="G905" s="4" t="s">
        <v>201</v>
      </c>
      <c r="H905" s="5">
        <v>6330</v>
      </c>
      <c r="I905" s="4" t="s">
        <v>169</v>
      </c>
      <c r="J905" s="4" t="s">
        <v>16</v>
      </c>
      <c r="K905" s="4" t="s">
        <v>253</v>
      </c>
      <c r="L905" s="4" t="s">
        <v>170</v>
      </c>
      <c r="M905" s="6">
        <v>83.48</v>
      </c>
      <c r="N905" s="6">
        <v>111.4</v>
      </c>
      <c r="O905" s="19">
        <v>0.55559999999999998</v>
      </c>
      <c r="P905" s="6">
        <v>127.78</v>
      </c>
      <c r="Q905" s="6">
        <v>91.03</v>
      </c>
      <c r="R905" s="19">
        <v>0.66669999999999996</v>
      </c>
      <c r="S905" s="20">
        <v>10</v>
      </c>
      <c r="T905" s="6">
        <v>51.51</v>
      </c>
      <c r="U905" s="6">
        <v>53.63</v>
      </c>
      <c r="V905" s="6">
        <v>66.98</v>
      </c>
      <c r="W905" s="19">
        <v>0.8569</v>
      </c>
      <c r="X905" s="6">
        <v>5.69</v>
      </c>
      <c r="Y905" s="21">
        <v>175287.340632337</v>
      </c>
      <c r="Z905" s="6">
        <v>4896</v>
      </c>
      <c r="AA905" s="6">
        <v>2.3471953022015799</v>
      </c>
    </row>
    <row r="906" spans="1:27" x14ac:dyDescent="0.25">
      <c r="A906" s="7" t="str">
        <f t="shared" si="14"/>
        <v>3524Providence St Peter Hospital335033075000 33075001 33075020 33075091 33075097 Combined Lab Service</v>
      </c>
      <c r="B906" s="7"/>
      <c r="C906" s="29" t="s">
        <v>185</v>
      </c>
      <c r="D906" s="29" t="s">
        <v>200</v>
      </c>
      <c r="E906" s="29" t="s">
        <v>186</v>
      </c>
      <c r="F906" s="29">
        <v>3524</v>
      </c>
      <c r="G906" s="4" t="s">
        <v>201</v>
      </c>
      <c r="H906" s="5">
        <v>3350</v>
      </c>
      <c r="I906" s="4" t="s">
        <v>93</v>
      </c>
      <c r="J906" s="4" t="s">
        <v>53</v>
      </c>
      <c r="K906" s="4" t="s">
        <v>210</v>
      </c>
      <c r="L906" s="4" t="s">
        <v>94</v>
      </c>
      <c r="M906" s="6">
        <v>20525.16</v>
      </c>
      <c r="N906" s="6">
        <v>20978.77</v>
      </c>
      <c r="O906" s="19">
        <v>0.9</v>
      </c>
      <c r="P906" s="6">
        <v>6.26</v>
      </c>
      <c r="Q906" s="6">
        <v>6.02</v>
      </c>
      <c r="R906" s="19">
        <v>0</v>
      </c>
      <c r="S906" s="20">
        <v>11</v>
      </c>
      <c r="T906" s="6">
        <v>10.63</v>
      </c>
      <c r="U906" s="6">
        <v>11.31</v>
      </c>
      <c r="V906" s="6">
        <v>13.02</v>
      </c>
      <c r="W906" s="19">
        <v>0.89280000000000004</v>
      </c>
      <c r="X906" s="6">
        <v>67.959999999999994</v>
      </c>
      <c r="Y906" s="21">
        <v>-3804228.6563216001</v>
      </c>
      <c r="Z906" s="6">
        <v>-124016</v>
      </c>
      <c r="AA906" s="6">
        <v>-59.459707502599599</v>
      </c>
    </row>
    <row r="907" spans="1:27" x14ac:dyDescent="0.25">
      <c r="A907" s="7" t="str">
        <f t="shared" si="14"/>
        <v>3524Providence St Peter Hospital221633070800, Anticoagulant Clinic</v>
      </c>
      <c r="B907" s="7"/>
      <c r="C907" s="29" t="s">
        <v>185</v>
      </c>
      <c r="D907" s="29" t="s">
        <v>200</v>
      </c>
      <c r="E907" s="29" t="s">
        <v>186</v>
      </c>
      <c r="F907" s="29">
        <v>3524</v>
      </c>
      <c r="G907" s="4" t="s">
        <v>201</v>
      </c>
      <c r="H907" s="5">
        <v>2216</v>
      </c>
      <c r="I907" s="4" t="s">
        <v>264</v>
      </c>
      <c r="J907" s="4" t="s">
        <v>176</v>
      </c>
      <c r="K907" s="4" t="s">
        <v>265</v>
      </c>
      <c r="L907" s="4" t="s">
        <v>77</v>
      </c>
      <c r="M907" s="6">
        <v>13190</v>
      </c>
      <c r="N907" s="6">
        <v>14312</v>
      </c>
      <c r="O907" s="19">
        <v>0.5</v>
      </c>
      <c r="P907" s="6">
        <v>0.23</v>
      </c>
      <c r="Q907" s="6">
        <v>0.47</v>
      </c>
      <c r="R907" s="19">
        <v>0.18179999999999999</v>
      </c>
      <c r="S907" s="20">
        <v>11</v>
      </c>
      <c r="T907" s="6">
        <v>0.49</v>
      </c>
      <c r="U907" s="6">
        <v>0.56000000000000005</v>
      </c>
      <c r="V907" s="6">
        <v>0.59</v>
      </c>
      <c r="W907" s="19">
        <v>0.88829999999999998</v>
      </c>
      <c r="X907" s="6">
        <v>3.64</v>
      </c>
      <c r="Y907" s="21">
        <v>-80181.6403453081</v>
      </c>
      <c r="Z907" s="6">
        <v>-1431</v>
      </c>
      <c r="AA907" s="6">
        <v>-0.68590374025414502</v>
      </c>
    </row>
    <row r="908" spans="1:27" x14ac:dyDescent="0.25">
      <c r="A908" s="7" t="str">
        <f t="shared" si="14"/>
        <v>3524Providence St Peter Hospital124033061770, ORTHOPEDICS ACUTE</v>
      </c>
      <c r="B908" s="7"/>
      <c r="C908" s="29" t="s">
        <v>185</v>
      </c>
      <c r="D908" s="29" t="s">
        <v>200</v>
      </c>
      <c r="E908" s="29" t="s">
        <v>186</v>
      </c>
      <c r="F908" s="29">
        <v>3524</v>
      </c>
      <c r="G908" s="4" t="s">
        <v>201</v>
      </c>
      <c r="H908" s="5">
        <v>1240</v>
      </c>
      <c r="I908" s="4" t="s">
        <v>110</v>
      </c>
      <c r="J908" s="4" t="s">
        <v>23</v>
      </c>
      <c r="K908" s="4" t="s">
        <v>204</v>
      </c>
      <c r="L908" s="4" t="s">
        <v>74</v>
      </c>
      <c r="M908" s="6">
        <v>7388.08</v>
      </c>
      <c r="N908" s="6">
        <v>7725.62</v>
      </c>
      <c r="O908" s="19">
        <v>0.5</v>
      </c>
      <c r="P908" s="6">
        <v>10.79</v>
      </c>
      <c r="Q908" s="6">
        <v>10.83</v>
      </c>
      <c r="R908" s="19">
        <v>0.2</v>
      </c>
      <c r="S908" s="20">
        <v>11</v>
      </c>
      <c r="T908" s="6">
        <v>10.87</v>
      </c>
      <c r="U908" s="6">
        <v>10.92</v>
      </c>
      <c r="V908" s="6">
        <v>11.4</v>
      </c>
      <c r="W908" s="19">
        <v>0.86880000000000002</v>
      </c>
      <c r="X908" s="6">
        <v>46.29</v>
      </c>
      <c r="Y908" s="21">
        <v>-21416.822186958601</v>
      </c>
      <c r="Z908" s="6">
        <v>-557</v>
      </c>
      <c r="AA908" s="6">
        <v>-0.26692922894840598</v>
      </c>
    </row>
    <row r="909" spans="1:27" x14ac:dyDescent="0.25">
      <c r="A909" s="7" t="str">
        <f t="shared" si="14"/>
        <v>3524Providence St Peter Hospital101333060100, INTENSIVE CARE UNIT</v>
      </c>
      <c r="B909" s="7"/>
      <c r="C909" s="29" t="s">
        <v>185</v>
      </c>
      <c r="D909" s="29" t="s">
        <v>200</v>
      </c>
      <c r="E909" s="29" t="s">
        <v>186</v>
      </c>
      <c r="F909" s="29">
        <v>3524</v>
      </c>
      <c r="G909" s="4" t="s">
        <v>201</v>
      </c>
      <c r="H909" s="5">
        <v>1013</v>
      </c>
      <c r="I909" s="4" t="s">
        <v>73</v>
      </c>
      <c r="J909" s="4" t="s">
        <v>23</v>
      </c>
      <c r="K909" s="4" t="s">
        <v>211</v>
      </c>
      <c r="L909" s="4" t="s">
        <v>74</v>
      </c>
      <c r="M909" s="6">
        <v>7200.31</v>
      </c>
      <c r="N909" s="6">
        <v>7689.75</v>
      </c>
      <c r="O909" s="19">
        <v>0.54549999999999998</v>
      </c>
      <c r="P909" s="6">
        <v>17.38</v>
      </c>
      <c r="Q909" s="6">
        <v>17.23</v>
      </c>
      <c r="R909" s="19">
        <v>9.0899999999999995E-2</v>
      </c>
      <c r="S909" s="20">
        <v>12</v>
      </c>
      <c r="T909" s="6">
        <v>18.3</v>
      </c>
      <c r="U909" s="6">
        <v>18.510000000000002</v>
      </c>
      <c r="V909" s="6">
        <v>19.11</v>
      </c>
      <c r="W909" s="19">
        <v>0.85499999999999998</v>
      </c>
      <c r="X909" s="6">
        <v>74.5</v>
      </c>
      <c r="Y909" s="21">
        <v>-535791.673830705</v>
      </c>
      <c r="Z909" s="6">
        <v>-11092</v>
      </c>
      <c r="AA909" s="6">
        <v>-5.3179709954754797</v>
      </c>
    </row>
    <row r="910" spans="1:27" x14ac:dyDescent="0.25">
      <c r="A910" s="7" t="str">
        <f t="shared" si="14"/>
        <v>3524Providence St Peter Hospital592533083700, PATIENT TRANSPORT</v>
      </c>
      <c r="B910" s="7"/>
      <c r="C910" s="29" t="s">
        <v>185</v>
      </c>
      <c r="D910" s="29" t="s">
        <v>200</v>
      </c>
      <c r="E910" s="29" t="s">
        <v>186</v>
      </c>
      <c r="F910" s="29">
        <v>3524</v>
      </c>
      <c r="G910" s="4" t="s">
        <v>201</v>
      </c>
      <c r="H910" s="5">
        <v>5925</v>
      </c>
      <c r="I910" s="4" t="s">
        <v>135</v>
      </c>
      <c r="J910" s="4" t="s">
        <v>136</v>
      </c>
      <c r="K910" s="4" t="s">
        <v>242</v>
      </c>
      <c r="L910" s="4" t="s">
        <v>137</v>
      </c>
      <c r="M910" s="6">
        <v>3353.34</v>
      </c>
      <c r="N910" s="6">
        <v>3406.2</v>
      </c>
      <c r="O910" s="19">
        <v>0.72729999999999995</v>
      </c>
      <c r="P910" s="6">
        <v>21.31</v>
      </c>
      <c r="Q910" s="6">
        <v>23.75</v>
      </c>
      <c r="R910" s="19">
        <v>0.18179999999999999</v>
      </c>
      <c r="S910" s="20">
        <v>12</v>
      </c>
      <c r="T910" s="6">
        <v>24.89</v>
      </c>
      <c r="U910" s="6">
        <v>26.74</v>
      </c>
      <c r="V910" s="6">
        <v>35.86</v>
      </c>
      <c r="W910" s="19">
        <v>0.92059999999999997</v>
      </c>
      <c r="X910" s="6">
        <v>42.25</v>
      </c>
      <c r="Y910" s="21">
        <v>-218328.184793925</v>
      </c>
      <c r="Z910" s="6">
        <v>-10817</v>
      </c>
      <c r="AA910" s="6">
        <v>-5.1860737759584898</v>
      </c>
    </row>
    <row r="911" spans="1:27" x14ac:dyDescent="0.25">
      <c r="A911" s="7" t="str">
        <f t="shared" si="14"/>
        <v>3524Providence St Peter Hospital171033061500, CLINICAL OBSERVATION UNIT</v>
      </c>
      <c r="B911" s="7"/>
      <c r="C911" s="29" t="s">
        <v>185</v>
      </c>
      <c r="D911" s="29" t="s">
        <v>200</v>
      </c>
      <c r="E911" s="29" t="s">
        <v>186</v>
      </c>
      <c r="F911" s="29">
        <v>3524</v>
      </c>
      <c r="G911" s="4" t="s">
        <v>201</v>
      </c>
      <c r="H911" s="5">
        <v>1710</v>
      </c>
      <c r="I911" s="4" t="s">
        <v>193</v>
      </c>
      <c r="J911" s="4" t="s">
        <v>23</v>
      </c>
      <c r="K911" s="4" t="s">
        <v>213</v>
      </c>
      <c r="L911" s="4" t="s">
        <v>194</v>
      </c>
      <c r="M911" s="39">
        <v>623.46</v>
      </c>
      <c r="N911" s="39">
        <v>1434.07</v>
      </c>
      <c r="O911" s="38">
        <v>0.54549999999999998</v>
      </c>
      <c r="P911" s="39">
        <v>14.81</v>
      </c>
      <c r="Q911" s="39">
        <v>11.9</v>
      </c>
      <c r="R911" s="38">
        <v>9.0899999999999995E-2</v>
      </c>
      <c r="S911" s="40">
        <v>12</v>
      </c>
      <c r="T911" s="39">
        <v>13.43</v>
      </c>
      <c r="U911" s="39">
        <v>15.73</v>
      </c>
      <c r="V911" s="39">
        <v>19.05</v>
      </c>
      <c r="W911" s="38">
        <v>0.85499999999999998</v>
      </c>
      <c r="X911" s="39">
        <v>9.59</v>
      </c>
      <c r="Y911" s="41">
        <v>-305476.21283796697</v>
      </c>
      <c r="Z911" s="39">
        <v>-6382</v>
      </c>
      <c r="AA911" s="39">
        <v>-3.0597259674413402</v>
      </c>
    </row>
    <row r="912" spans="1:27" x14ac:dyDescent="0.25">
      <c r="A912" s="7" t="str">
        <f t="shared" si="14"/>
        <v>3524Providence St Peter Hospital5810Social Work Services (U,N)</v>
      </c>
      <c r="B912" s="7"/>
      <c r="C912" s="29" t="s">
        <v>185</v>
      </c>
      <c r="D912" s="29" t="s">
        <v>200</v>
      </c>
      <c r="E912" s="29" t="s">
        <v>186</v>
      </c>
      <c r="F912" s="29">
        <v>3524</v>
      </c>
      <c r="G912" s="4" t="s">
        <v>201</v>
      </c>
      <c r="H912" s="5">
        <v>5810</v>
      </c>
      <c r="I912" s="4" t="s">
        <v>133</v>
      </c>
      <c r="J912" s="4" t="s">
        <v>26</v>
      </c>
      <c r="K912" s="4" t="s">
        <v>259</v>
      </c>
      <c r="L912" s="4" t="s">
        <v>134</v>
      </c>
      <c r="M912" s="39">
        <v>4996</v>
      </c>
      <c r="N912" s="39">
        <v>9863</v>
      </c>
      <c r="O912" s="38">
        <v>0.59109999999999996</v>
      </c>
      <c r="P912" s="39">
        <v>3.28</v>
      </c>
      <c r="Q912" s="39">
        <v>1.64</v>
      </c>
      <c r="R912" s="38">
        <v>0.54930000000000001</v>
      </c>
      <c r="S912" s="40">
        <v>12</v>
      </c>
      <c r="T912" s="39">
        <v>1.01</v>
      </c>
      <c r="U912" s="39">
        <v>1.29</v>
      </c>
      <c r="V912" s="39">
        <v>1.48</v>
      </c>
      <c r="W912" s="38">
        <v>0.92230000000000001</v>
      </c>
      <c r="X912" s="39">
        <v>8.43</v>
      </c>
      <c r="Y912" s="41">
        <v>149296.62579202701</v>
      </c>
      <c r="Z912" s="39">
        <v>3787</v>
      </c>
      <c r="AA912" s="39">
        <v>1.81584004372832</v>
      </c>
    </row>
    <row r="913" spans="1:27" x14ac:dyDescent="0.25">
      <c r="A913" s="7" t="str">
        <f t="shared" si="14"/>
        <v>3524Providence St Peter Hospital512033083300, 33083391Combined Cafeteria &amp; Espresso</v>
      </c>
      <c r="B913" s="7"/>
      <c r="C913" s="29" t="s">
        <v>185</v>
      </c>
      <c r="D913" s="29" t="s">
        <v>200</v>
      </c>
      <c r="E913" s="29" t="s">
        <v>186</v>
      </c>
      <c r="F913" s="29">
        <v>3524</v>
      </c>
      <c r="G913" s="4" t="s">
        <v>201</v>
      </c>
      <c r="H913" s="5">
        <v>5120</v>
      </c>
      <c r="I913" s="4" t="s">
        <v>126</v>
      </c>
      <c r="J913" s="4" t="s">
        <v>65</v>
      </c>
      <c r="K913" s="4" t="s">
        <v>240</v>
      </c>
      <c r="L913" s="4" t="s">
        <v>127</v>
      </c>
      <c r="M913" s="6">
        <v>686054.67</v>
      </c>
      <c r="N913" s="6">
        <v>700316.71</v>
      </c>
      <c r="O913" s="19">
        <v>0.54549999999999998</v>
      </c>
      <c r="P913" s="6">
        <v>0.06</v>
      </c>
      <c r="Q913" s="6">
        <v>0.06</v>
      </c>
      <c r="R913" s="19">
        <v>0.54549999999999998</v>
      </c>
      <c r="S913" s="20">
        <v>12</v>
      </c>
      <c r="T913" s="6">
        <v>0.05</v>
      </c>
      <c r="U913" s="6">
        <v>0.06</v>
      </c>
      <c r="V913" s="6">
        <v>0.06</v>
      </c>
      <c r="W913" s="19">
        <v>0.88859999999999995</v>
      </c>
      <c r="X913" s="6">
        <v>22.98</v>
      </c>
      <c r="Y913" s="21">
        <v>12862.809981833199</v>
      </c>
      <c r="Z913" s="6">
        <v>643</v>
      </c>
      <c r="AA913" s="6">
        <v>0.30811712255444901</v>
      </c>
    </row>
    <row r="914" spans="1:27" x14ac:dyDescent="0.25">
      <c r="A914" s="7" t="str">
        <f t="shared" si="14"/>
        <v>3524Providence St Peter Hospital111133061790, Med/Surg/Cardiac Intermediate Unit</v>
      </c>
      <c r="B914" s="7"/>
      <c r="C914" s="29" t="s">
        <v>185</v>
      </c>
      <c r="D914" s="29" t="s">
        <v>200</v>
      </c>
      <c r="E914" s="29" t="s">
        <v>186</v>
      </c>
      <c r="F914" s="29">
        <v>3524</v>
      </c>
      <c r="G914" s="4" t="s">
        <v>201</v>
      </c>
      <c r="H914" s="5">
        <v>1111</v>
      </c>
      <c r="I914" s="4" t="s">
        <v>146</v>
      </c>
      <c r="J914" s="4" t="s">
        <v>23</v>
      </c>
      <c r="K914" s="4" t="s">
        <v>205</v>
      </c>
      <c r="L914" s="4" t="s">
        <v>74</v>
      </c>
      <c r="M914" s="39">
        <v>8252.08</v>
      </c>
      <c r="N914" s="39">
        <v>8739.58</v>
      </c>
      <c r="O914" s="38">
        <v>0.58330000000000004</v>
      </c>
      <c r="P914" s="39">
        <v>11.28</v>
      </c>
      <c r="Q914" s="39">
        <v>10.64</v>
      </c>
      <c r="R914" s="38">
        <v>0.25</v>
      </c>
      <c r="S914" s="40">
        <v>13</v>
      </c>
      <c r="T914" s="39">
        <v>10.64</v>
      </c>
      <c r="U914" s="39">
        <v>11.32</v>
      </c>
      <c r="V914" s="39">
        <v>12.04</v>
      </c>
      <c r="W914" s="38">
        <v>0.85519999999999996</v>
      </c>
      <c r="X914" s="39">
        <v>52.26</v>
      </c>
      <c r="Y914" s="41">
        <v>-285638.54442669102</v>
      </c>
      <c r="Z914" s="39">
        <v>-6684</v>
      </c>
      <c r="AA914" s="39">
        <v>-3.2048005553250101</v>
      </c>
    </row>
    <row r="915" spans="1:27" x14ac:dyDescent="0.25">
      <c r="A915" s="7" t="str">
        <f t="shared" si="14"/>
        <v>3524Providence St Peter Hospital463033077610, ENDOSCOPY</v>
      </c>
      <c r="B915" s="7"/>
      <c r="C915" s="29" t="s">
        <v>185</v>
      </c>
      <c r="D915" s="29" t="s">
        <v>200</v>
      </c>
      <c r="E915" s="29" t="s">
        <v>186</v>
      </c>
      <c r="F915" s="29">
        <v>3524</v>
      </c>
      <c r="G915" s="4" t="s">
        <v>201</v>
      </c>
      <c r="H915" s="5">
        <v>4630</v>
      </c>
      <c r="I915" s="4" t="s">
        <v>104</v>
      </c>
      <c r="J915" s="4" t="s">
        <v>83</v>
      </c>
      <c r="K915" s="4" t="s">
        <v>229</v>
      </c>
      <c r="L915" s="4" t="s">
        <v>99</v>
      </c>
      <c r="M915" s="7"/>
      <c r="N915" s="39">
        <v>946.49</v>
      </c>
      <c r="O915" s="38">
        <v>0.41670000000000001</v>
      </c>
      <c r="P915" s="7"/>
      <c r="Q915" s="39">
        <v>8.74</v>
      </c>
      <c r="R915" s="38">
        <v>0.2</v>
      </c>
      <c r="S915" s="40">
        <v>13</v>
      </c>
      <c r="T915" s="39">
        <v>8.89</v>
      </c>
      <c r="U915" s="39">
        <v>12.77</v>
      </c>
      <c r="V915" s="39">
        <v>17.09</v>
      </c>
      <c r="W915" s="38">
        <v>0.7974</v>
      </c>
      <c r="X915" s="39">
        <v>4.99</v>
      </c>
      <c r="Y915" s="41">
        <v>-259668.21351486299</v>
      </c>
      <c r="Z915" s="39">
        <v>-4750</v>
      </c>
      <c r="AA915" s="39">
        <v>-2.2773964874021999</v>
      </c>
    </row>
    <row r="916" spans="1:27" x14ac:dyDescent="0.25">
      <c r="A916" s="7" t="str">
        <f t="shared" si="14"/>
        <v>3524Providence St Peter Hospital343033076608, Magnetic Resonance Imaging</v>
      </c>
      <c r="B916" s="7"/>
      <c r="C916" s="29" t="s">
        <v>185</v>
      </c>
      <c r="D916" s="29" t="s">
        <v>200</v>
      </c>
      <c r="E916" s="29" t="s">
        <v>186</v>
      </c>
      <c r="F916" s="29">
        <v>3524</v>
      </c>
      <c r="G916" s="4" t="s">
        <v>201</v>
      </c>
      <c r="H916" s="5">
        <v>3430</v>
      </c>
      <c r="I916" s="4" t="s">
        <v>121</v>
      </c>
      <c r="J916" s="4" t="s">
        <v>57</v>
      </c>
      <c r="K916" s="4" t="s">
        <v>224</v>
      </c>
      <c r="L916" s="4" t="s">
        <v>99</v>
      </c>
      <c r="M916" s="6">
        <v>22045.35</v>
      </c>
      <c r="N916" s="6">
        <v>23517.46</v>
      </c>
      <c r="O916" s="19">
        <v>0.58330000000000004</v>
      </c>
      <c r="P916" s="6">
        <v>0.3</v>
      </c>
      <c r="Q916" s="6">
        <v>0.32</v>
      </c>
      <c r="R916" s="19">
        <v>0.16669999999999999</v>
      </c>
      <c r="S916" s="20">
        <v>13</v>
      </c>
      <c r="T916" s="6">
        <v>0.33</v>
      </c>
      <c r="U916" s="6">
        <v>0.35</v>
      </c>
      <c r="V916" s="6">
        <v>0.37</v>
      </c>
      <c r="W916" s="19">
        <v>0.91749999999999998</v>
      </c>
      <c r="X916" s="6">
        <v>3.9</v>
      </c>
      <c r="Y916" s="21">
        <v>-34681.627051600801</v>
      </c>
      <c r="Z916" s="6">
        <v>-837</v>
      </c>
      <c r="AA916" s="6">
        <v>-0.40130802471063198</v>
      </c>
    </row>
    <row r="917" spans="1:27" x14ac:dyDescent="0.25">
      <c r="A917" s="7" t="str">
        <f t="shared" si="14"/>
        <v>3524Providence St Peter Hospital489933078000 and 33085303 Rehabilitation Services Administration</v>
      </c>
      <c r="B917" s="7"/>
      <c r="C917" s="29" t="s">
        <v>185</v>
      </c>
      <c r="D917" s="29" t="s">
        <v>200</v>
      </c>
      <c r="E917" s="29" t="s">
        <v>186</v>
      </c>
      <c r="F917" s="29">
        <v>3524</v>
      </c>
      <c r="G917" s="4" t="s">
        <v>201</v>
      </c>
      <c r="H917" s="5">
        <v>4899</v>
      </c>
      <c r="I917" s="4" t="s">
        <v>40</v>
      </c>
      <c r="J917" s="4" t="s">
        <v>41</v>
      </c>
      <c r="K917" s="4" t="s">
        <v>231</v>
      </c>
      <c r="L917" s="4" t="s">
        <v>43</v>
      </c>
      <c r="M917" s="39">
        <v>5188.67</v>
      </c>
      <c r="N917" s="39">
        <v>5704.22</v>
      </c>
      <c r="O917" s="38">
        <v>0.5</v>
      </c>
      <c r="P917" s="39">
        <v>5.31</v>
      </c>
      <c r="Q917" s="39">
        <v>3.33</v>
      </c>
      <c r="R917" s="38">
        <v>0.36359999999999998</v>
      </c>
      <c r="S917" s="40">
        <v>13</v>
      </c>
      <c r="T917" s="39">
        <v>2.99</v>
      </c>
      <c r="U917" s="39">
        <v>3.32</v>
      </c>
      <c r="V917" s="39">
        <v>3.59</v>
      </c>
      <c r="W917" s="38">
        <v>0.9083</v>
      </c>
      <c r="X917" s="39">
        <v>10.06</v>
      </c>
      <c r="Y917" s="41">
        <v>4203.1016994913598</v>
      </c>
      <c r="Z917" s="39">
        <v>132</v>
      </c>
      <c r="AA917" s="39">
        <v>6.3379729932092801E-2</v>
      </c>
    </row>
    <row r="918" spans="1:27" x14ac:dyDescent="0.25">
      <c r="A918" s="7" t="str">
        <f t="shared" si="14"/>
        <v>3524Providence St Peter Hospital522133083500, LAUNDRY AND LINEN</v>
      </c>
      <c r="B918" s="7"/>
      <c r="C918" s="29" t="s">
        <v>185</v>
      </c>
      <c r="D918" s="29" t="s">
        <v>200</v>
      </c>
      <c r="E918" s="29" t="s">
        <v>186</v>
      </c>
      <c r="F918" s="29">
        <v>3524</v>
      </c>
      <c r="G918" s="4" t="s">
        <v>201</v>
      </c>
      <c r="H918" s="5">
        <v>5221</v>
      </c>
      <c r="I918" s="4" t="s">
        <v>131</v>
      </c>
      <c r="J918" s="4" t="s">
        <v>50</v>
      </c>
      <c r="K918" s="4" t="s">
        <v>241</v>
      </c>
      <c r="L918" s="4" t="s">
        <v>132</v>
      </c>
      <c r="M918" s="6">
        <v>26335.1</v>
      </c>
      <c r="N918" s="6">
        <v>26404.16</v>
      </c>
      <c r="O918" s="19">
        <v>0.58330000000000004</v>
      </c>
      <c r="P918" s="6">
        <v>0.35</v>
      </c>
      <c r="Q918" s="6">
        <v>0.35</v>
      </c>
      <c r="R918" s="19">
        <v>0.5</v>
      </c>
      <c r="S918" s="20">
        <v>13</v>
      </c>
      <c r="T918" s="6">
        <v>0.25</v>
      </c>
      <c r="U918" s="6">
        <v>0.27</v>
      </c>
      <c r="V918" s="6">
        <v>0.35</v>
      </c>
      <c r="W918" s="19">
        <v>0.91439999999999999</v>
      </c>
      <c r="X918" s="6">
        <v>4.92</v>
      </c>
      <c r="Y918" s="21">
        <v>46377.972777823299</v>
      </c>
      <c r="Z918" s="6">
        <v>2465</v>
      </c>
      <c r="AA918" s="6">
        <v>1.1819245639315901</v>
      </c>
    </row>
    <row r="919" spans="1:27" x14ac:dyDescent="0.25">
      <c r="A919" s="7" t="str">
        <f t="shared" si="14"/>
        <v>3524Providence St Peter Hospital222233072203, CDC OP Units</v>
      </c>
      <c r="B919" s="7"/>
      <c r="C919" s="29" t="s">
        <v>185</v>
      </c>
      <c r="D919" s="29" t="s">
        <v>200</v>
      </c>
      <c r="E919" s="29" t="s">
        <v>186</v>
      </c>
      <c r="F919" s="29">
        <v>3524</v>
      </c>
      <c r="G919" s="4" t="s">
        <v>201</v>
      </c>
      <c r="H919" s="5">
        <v>2222</v>
      </c>
      <c r="I919" s="4" t="s">
        <v>179</v>
      </c>
      <c r="J919" s="4" t="s">
        <v>176</v>
      </c>
      <c r="K919" s="4" t="s">
        <v>266</v>
      </c>
      <c r="L919" s="4" t="s">
        <v>77</v>
      </c>
      <c r="M919" s="39">
        <v>10328</v>
      </c>
      <c r="N919" s="39">
        <v>10324</v>
      </c>
      <c r="O919" s="38">
        <v>0.5</v>
      </c>
      <c r="P919" s="39">
        <v>2.2200000000000002</v>
      </c>
      <c r="Q919" s="39">
        <v>2.04</v>
      </c>
      <c r="R919" s="38">
        <v>0.83330000000000004</v>
      </c>
      <c r="S919" s="40">
        <v>13</v>
      </c>
      <c r="T919" s="39">
        <v>1.17</v>
      </c>
      <c r="U919" s="39">
        <v>1.27</v>
      </c>
      <c r="V919" s="39">
        <v>1.48</v>
      </c>
      <c r="W919" s="38">
        <v>0.89319999999999999</v>
      </c>
      <c r="X919" s="39">
        <v>11.33</v>
      </c>
      <c r="Y919" s="41">
        <v>215753.49741618399</v>
      </c>
      <c r="Z919" s="39">
        <v>8952</v>
      </c>
      <c r="AA919" s="39">
        <v>4.2919692289299602</v>
      </c>
    </row>
    <row r="920" spans="1:27" x14ac:dyDescent="0.25">
      <c r="A920" s="7" t="str">
        <f t="shared" si="14"/>
        <v>3524Providence St Peter Hospital487133078002, PT ST OT Inpatient</v>
      </c>
      <c r="B920" s="7"/>
      <c r="C920" s="29" t="s">
        <v>185</v>
      </c>
      <c r="D920" s="29" t="s">
        <v>200</v>
      </c>
      <c r="E920" s="29" t="s">
        <v>186</v>
      </c>
      <c r="F920" s="29">
        <v>3524</v>
      </c>
      <c r="G920" s="4" t="s">
        <v>201</v>
      </c>
      <c r="H920" s="5">
        <v>4871</v>
      </c>
      <c r="I920" s="4" t="s">
        <v>196</v>
      </c>
      <c r="J920" s="4" t="s">
        <v>41</v>
      </c>
      <c r="K920" s="4" t="s">
        <v>233</v>
      </c>
      <c r="L920" s="4" t="s">
        <v>79</v>
      </c>
      <c r="M920" s="6">
        <v>1180.68</v>
      </c>
      <c r="N920" s="6">
        <v>1199.93</v>
      </c>
      <c r="O920" s="19">
        <v>0.53849999999999998</v>
      </c>
      <c r="P920" s="6">
        <v>22.23</v>
      </c>
      <c r="Q920" s="6">
        <v>22.51</v>
      </c>
      <c r="R920" s="19">
        <v>0.25</v>
      </c>
      <c r="S920" s="20">
        <v>14</v>
      </c>
      <c r="T920" s="6">
        <v>22.51</v>
      </c>
      <c r="U920" s="6">
        <v>24.55</v>
      </c>
      <c r="V920" s="6">
        <v>25.27</v>
      </c>
      <c r="W920" s="19">
        <v>0.88370000000000004</v>
      </c>
      <c r="X920" s="6">
        <v>14.69</v>
      </c>
      <c r="Y920" s="21">
        <v>-110641.17932097601</v>
      </c>
      <c r="Z920" s="6">
        <v>-2696</v>
      </c>
      <c r="AA920" s="6">
        <v>-1.29272075946507</v>
      </c>
    </row>
    <row r="921" spans="1:27" x14ac:dyDescent="0.25">
      <c r="A921" s="7" t="str">
        <f t="shared" si="14"/>
        <v>3524Providence St Peter Hospital345033076700, ULTRASOUND</v>
      </c>
      <c r="B921" s="7"/>
      <c r="C921" s="29" t="s">
        <v>185</v>
      </c>
      <c r="D921" s="29" t="s">
        <v>200</v>
      </c>
      <c r="E921" s="29" t="s">
        <v>186</v>
      </c>
      <c r="F921" s="29">
        <v>3524</v>
      </c>
      <c r="G921" s="4" t="s">
        <v>201</v>
      </c>
      <c r="H921" s="5">
        <v>3450</v>
      </c>
      <c r="I921" s="4" t="s">
        <v>122</v>
      </c>
      <c r="J921" s="4" t="s">
        <v>57</v>
      </c>
      <c r="K921" s="4" t="s">
        <v>225</v>
      </c>
      <c r="L921" s="4" t="s">
        <v>99</v>
      </c>
      <c r="M921" s="39">
        <v>37014.379999999997</v>
      </c>
      <c r="N921" s="39">
        <v>35036.21</v>
      </c>
      <c r="O921" s="38">
        <v>0.46150000000000002</v>
      </c>
      <c r="P921" s="39">
        <v>0.41</v>
      </c>
      <c r="Q921" s="39">
        <v>0.46</v>
      </c>
      <c r="R921" s="38">
        <v>0.16669999999999999</v>
      </c>
      <c r="S921" s="40">
        <v>14</v>
      </c>
      <c r="T921" s="39">
        <v>0.47</v>
      </c>
      <c r="U921" s="39">
        <v>0.48</v>
      </c>
      <c r="V921" s="39">
        <v>0.5</v>
      </c>
      <c r="W921" s="38">
        <v>0.84989999999999999</v>
      </c>
      <c r="X921" s="39">
        <v>9.16</v>
      </c>
      <c r="Y921" s="41">
        <v>-29693.704232084699</v>
      </c>
      <c r="Z921" s="39">
        <v>-682</v>
      </c>
      <c r="AA921" s="39">
        <v>-0.32721379939145101</v>
      </c>
    </row>
    <row r="922" spans="1:27" x14ac:dyDescent="0.25">
      <c r="A922" s="7" t="str">
        <f t="shared" si="14"/>
        <v>3524Providence St Peter Hospital347033076306, YELM MOB</v>
      </c>
      <c r="B922" s="7"/>
      <c r="C922" s="29" t="s">
        <v>185</v>
      </c>
      <c r="D922" s="29" t="s">
        <v>200</v>
      </c>
      <c r="E922" s="29" t="s">
        <v>186</v>
      </c>
      <c r="F922" s="29">
        <v>3524</v>
      </c>
      <c r="G922" s="4" t="s">
        <v>201</v>
      </c>
      <c r="H922" s="5">
        <v>3470</v>
      </c>
      <c r="I922" s="4" t="s">
        <v>195</v>
      </c>
      <c r="J922" s="4" t="s">
        <v>57</v>
      </c>
      <c r="K922" s="4" t="s">
        <v>221</v>
      </c>
      <c r="L922" s="4" t="s">
        <v>99</v>
      </c>
      <c r="M922" s="39">
        <v>5233.3100000000004</v>
      </c>
      <c r="N922" s="39">
        <v>5895.85</v>
      </c>
      <c r="O922" s="38">
        <v>0.53849999999999998</v>
      </c>
      <c r="P922" s="39">
        <v>0.66</v>
      </c>
      <c r="Q922" s="39">
        <v>0.83</v>
      </c>
      <c r="R922" s="38">
        <v>0.45450000000000002</v>
      </c>
      <c r="S922" s="40">
        <v>14</v>
      </c>
      <c r="T922" s="39">
        <v>0.72</v>
      </c>
      <c r="U922" s="39">
        <v>0.81</v>
      </c>
      <c r="V922" s="39">
        <v>0.84</v>
      </c>
      <c r="W922" s="38">
        <v>0.88890000000000002</v>
      </c>
      <c r="X922" s="39">
        <v>2.66</v>
      </c>
      <c r="Y922" s="41">
        <v>6871.7460717797803</v>
      </c>
      <c r="Z922" s="39">
        <v>175</v>
      </c>
      <c r="AA922" s="39">
        <v>8.4113652048208198E-2</v>
      </c>
    </row>
    <row r="923" spans="1:27" x14ac:dyDescent="0.25">
      <c r="A923" s="7" t="str">
        <f t="shared" si="14"/>
        <v>3524Providence St Peter Hospital342033076800, CT SCAN</v>
      </c>
      <c r="B923" s="7"/>
      <c r="C923" s="29" t="s">
        <v>185</v>
      </c>
      <c r="D923" s="29" t="s">
        <v>200</v>
      </c>
      <c r="E923" s="29" t="s">
        <v>186</v>
      </c>
      <c r="F923" s="29">
        <v>3524</v>
      </c>
      <c r="G923" s="4" t="s">
        <v>201</v>
      </c>
      <c r="H923" s="5">
        <v>3420</v>
      </c>
      <c r="I923" s="4" t="s">
        <v>123</v>
      </c>
      <c r="J923" s="4" t="s">
        <v>57</v>
      </c>
      <c r="K923" s="4" t="s">
        <v>226</v>
      </c>
      <c r="L923" s="4" t="s">
        <v>99</v>
      </c>
      <c r="M923" s="39">
        <v>74473.429999999993</v>
      </c>
      <c r="N923" s="39">
        <v>74844.039999999994</v>
      </c>
      <c r="O923" s="38">
        <v>0.53849999999999998</v>
      </c>
      <c r="P923" s="39">
        <v>0.23</v>
      </c>
      <c r="Q923" s="39">
        <v>0.24</v>
      </c>
      <c r="R923" s="38">
        <v>0.5</v>
      </c>
      <c r="S923" s="40">
        <v>14</v>
      </c>
      <c r="T923" s="39">
        <v>0.22</v>
      </c>
      <c r="U923" s="39">
        <v>0.23</v>
      </c>
      <c r="V923" s="39">
        <v>0.24</v>
      </c>
      <c r="W923" s="38">
        <v>0.9022</v>
      </c>
      <c r="X923" s="39">
        <v>9.52</v>
      </c>
      <c r="Y923" s="41">
        <v>30375.585541182802</v>
      </c>
      <c r="Z923" s="39">
        <v>776</v>
      </c>
      <c r="AA923" s="39">
        <v>0.37191072199352199</v>
      </c>
    </row>
    <row r="924" spans="1:27" x14ac:dyDescent="0.25">
      <c r="A924" s="7" t="str">
        <f t="shared" si="14"/>
        <v>3524Providence St Peter Hospital341133076300, 33076309 DIAGNOSTIC IMAGING</v>
      </c>
      <c r="B924" s="7"/>
      <c r="C924" s="29" t="s">
        <v>185</v>
      </c>
      <c r="D924" s="29" t="s">
        <v>200</v>
      </c>
      <c r="E924" s="29" t="s">
        <v>186</v>
      </c>
      <c r="F924" s="29">
        <v>3524</v>
      </c>
      <c r="G924" s="4" t="s">
        <v>201</v>
      </c>
      <c r="H924" s="5">
        <v>3411</v>
      </c>
      <c r="I924" s="4" t="s">
        <v>117</v>
      </c>
      <c r="J924" s="4" t="s">
        <v>57</v>
      </c>
      <c r="K924" s="4" t="s">
        <v>219</v>
      </c>
      <c r="L924" s="4" t="s">
        <v>99</v>
      </c>
      <c r="M924" s="39">
        <v>53131.5</v>
      </c>
      <c r="N924" s="39">
        <v>57270.13</v>
      </c>
      <c r="O924" s="38">
        <v>0.5</v>
      </c>
      <c r="P924" s="39">
        <v>0.46</v>
      </c>
      <c r="Q924" s="39">
        <v>0.48</v>
      </c>
      <c r="R924" s="38">
        <v>0.1429</v>
      </c>
      <c r="S924" s="40">
        <v>15</v>
      </c>
      <c r="T924" s="39">
        <v>0.56000000000000005</v>
      </c>
      <c r="U924" s="39">
        <v>0.57999999999999996</v>
      </c>
      <c r="V924" s="39">
        <v>0.62</v>
      </c>
      <c r="W924" s="38">
        <v>0.89639999999999997</v>
      </c>
      <c r="X924" s="39">
        <v>14.67</v>
      </c>
      <c r="Y924" s="41">
        <v>-210282.66030243301</v>
      </c>
      <c r="Z924" s="39">
        <v>-6458</v>
      </c>
      <c r="AA924" s="39">
        <v>-3.0965242699286901</v>
      </c>
    </row>
    <row r="925" spans="1:27" x14ac:dyDescent="0.25">
      <c r="A925" s="7" t="str">
        <f t="shared" si="14"/>
        <v>3524Providence St Peter Hospital424133075930, CARDIAC REHABILITATION</v>
      </c>
      <c r="B925" s="7"/>
      <c r="C925" s="29" t="s">
        <v>185</v>
      </c>
      <c r="D925" s="29" t="s">
        <v>200</v>
      </c>
      <c r="E925" s="29" t="s">
        <v>186</v>
      </c>
      <c r="F925" s="29">
        <v>3524</v>
      </c>
      <c r="G925" s="4" t="s">
        <v>201</v>
      </c>
      <c r="H925" s="5">
        <v>4241</v>
      </c>
      <c r="I925" s="4" t="s">
        <v>178</v>
      </c>
      <c r="J925" s="4" t="s">
        <v>60</v>
      </c>
      <c r="K925" s="4" t="s">
        <v>218</v>
      </c>
      <c r="L925" s="4" t="s">
        <v>77</v>
      </c>
      <c r="M925" s="39">
        <v>18557</v>
      </c>
      <c r="N925" s="39">
        <v>19135</v>
      </c>
      <c r="O925" s="38">
        <v>0.64290000000000003</v>
      </c>
      <c r="P925" s="7"/>
      <c r="Q925" s="39">
        <v>0.47</v>
      </c>
      <c r="R925" s="38">
        <v>0.16669999999999999</v>
      </c>
      <c r="S925" s="40">
        <v>15</v>
      </c>
      <c r="T925" s="39">
        <v>0.48</v>
      </c>
      <c r="U925" s="39">
        <v>0.52</v>
      </c>
      <c r="V925" s="39">
        <v>0.66</v>
      </c>
      <c r="W925" s="38">
        <v>0.85880000000000001</v>
      </c>
      <c r="X925" s="39">
        <v>5</v>
      </c>
      <c r="Y925" s="41">
        <v>-51879.5765708084</v>
      </c>
      <c r="Z925" s="39">
        <v>-1158</v>
      </c>
      <c r="AA925" s="39">
        <v>-0.555049501028128</v>
      </c>
    </row>
    <row r="926" spans="1:27" x14ac:dyDescent="0.25">
      <c r="A926" s="7" t="str">
        <f t="shared" si="14"/>
        <v>3524Providence St Peter Hospital111033061794, Neuro Acute</v>
      </c>
      <c r="B926" s="7"/>
      <c r="C926" s="29" t="s">
        <v>185</v>
      </c>
      <c r="D926" s="29" t="s">
        <v>200</v>
      </c>
      <c r="E926" s="29" t="s">
        <v>186</v>
      </c>
      <c r="F926" s="29">
        <v>3524</v>
      </c>
      <c r="G926" s="4" t="s">
        <v>201</v>
      </c>
      <c r="H926" s="5">
        <v>1110</v>
      </c>
      <c r="I926" s="4" t="s">
        <v>111</v>
      </c>
      <c r="J926" s="4" t="s">
        <v>23</v>
      </c>
      <c r="K926" s="4" t="s">
        <v>206</v>
      </c>
      <c r="L926" s="4" t="s">
        <v>74</v>
      </c>
      <c r="M926" s="6">
        <v>7080.01</v>
      </c>
      <c r="N926" s="6">
        <v>7858.53</v>
      </c>
      <c r="O926" s="19">
        <v>0.57140000000000002</v>
      </c>
      <c r="P926" s="6">
        <v>12.15</v>
      </c>
      <c r="Q926" s="6">
        <v>11.48</v>
      </c>
      <c r="R926" s="19">
        <v>0.30769999999999997</v>
      </c>
      <c r="S926" s="20">
        <v>15</v>
      </c>
      <c r="T926" s="6">
        <v>11.4</v>
      </c>
      <c r="U926" s="6">
        <v>11.48</v>
      </c>
      <c r="V926" s="6">
        <v>11.91</v>
      </c>
      <c r="W926" s="19">
        <v>0.87729999999999997</v>
      </c>
      <c r="X926" s="6">
        <v>49.44</v>
      </c>
      <c r="Y926" s="21">
        <v>11181.0588047901</v>
      </c>
      <c r="Z926" s="6">
        <v>283</v>
      </c>
      <c r="AA926" s="6">
        <v>0.13587758747188899</v>
      </c>
    </row>
    <row r="927" spans="1:27" x14ac:dyDescent="0.25">
      <c r="A927" s="7" t="str">
        <f t="shared" si="14"/>
        <v>3524Providence St Peter Hospital111033061794, Neuro Acute</v>
      </c>
      <c r="B927" s="7"/>
      <c r="C927" s="29" t="s">
        <v>185</v>
      </c>
      <c r="D927" s="29" t="s">
        <v>200</v>
      </c>
      <c r="E927" s="29" t="s">
        <v>186</v>
      </c>
      <c r="F927" s="29">
        <v>3524</v>
      </c>
      <c r="G927" s="4" t="s">
        <v>201</v>
      </c>
      <c r="H927" s="5">
        <v>1110</v>
      </c>
      <c r="I927" s="4" t="s">
        <v>111</v>
      </c>
      <c r="J927" s="4" t="s">
        <v>23</v>
      </c>
      <c r="K927" s="4" t="s">
        <v>206</v>
      </c>
      <c r="L927" s="4" t="s">
        <v>74</v>
      </c>
      <c r="M927" s="39">
        <v>7080.01</v>
      </c>
      <c r="N927" s="39">
        <v>7858.53</v>
      </c>
      <c r="O927" s="38">
        <v>0.57140000000000002</v>
      </c>
      <c r="P927" s="39">
        <v>12.15</v>
      </c>
      <c r="Q927" s="39">
        <v>11.48</v>
      </c>
      <c r="R927" s="38">
        <v>0.30769999999999997</v>
      </c>
      <c r="S927" s="40">
        <v>15</v>
      </c>
      <c r="T927" s="39">
        <v>11.4</v>
      </c>
      <c r="U927" s="39">
        <v>11.48</v>
      </c>
      <c r="V927" s="39">
        <v>11.91</v>
      </c>
      <c r="W927" s="38">
        <v>0.87729999999999997</v>
      </c>
      <c r="X927" s="39">
        <v>49.44</v>
      </c>
      <c r="Y927" s="41">
        <v>11181.0588047901</v>
      </c>
      <c r="Z927" s="39">
        <v>283</v>
      </c>
      <c r="AA927" s="39">
        <v>0.13587758747188899</v>
      </c>
    </row>
    <row r="928" spans="1:27" x14ac:dyDescent="0.25">
      <c r="A928" s="7" t="str">
        <f t="shared" si="14"/>
        <v>3524Providence St Peter Hospital201033070100, EMERGENCY SERVICES</v>
      </c>
      <c r="B928" s="7"/>
      <c r="C928" s="29" t="s">
        <v>185</v>
      </c>
      <c r="D928" s="29" t="s">
        <v>200</v>
      </c>
      <c r="E928" s="29" t="s">
        <v>186</v>
      </c>
      <c r="F928" s="29">
        <v>3524</v>
      </c>
      <c r="G928" s="4" t="s">
        <v>201</v>
      </c>
      <c r="H928" s="5">
        <v>2010</v>
      </c>
      <c r="I928" s="4" t="s">
        <v>75</v>
      </c>
      <c r="J928" s="4" t="s">
        <v>76</v>
      </c>
      <c r="K928" s="4" t="s">
        <v>263</v>
      </c>
      <c r="L928" s="4" t="s">
        <v>77</v>
      </c>
      <c r="M928" s="39">
        <v>67388</v>
      </c>
      <c r="N928" s="39">
        <v>67257</v>
      </c>
      <c r="O928" s="38">
        <v>0.5333</v>
      </c>
      <c r="P928" s="39">
        <v>2.48</v>
      </c>
      <c r="Q928" s="39">
        <v>2.5499999999999998</v>
      </c>
      <c r="R928" s="38">
        <v>0.1333</v>
      </c>
      <c r="S928" s="40">
        <v>16</v>
      </c>
      <c r="T928" s="39">
        <v>2.7</v>
      </c>
      <c r="U928" s="39">
        <v>2.77</v>
      </c>
      <c r="V928" s="39">
        <v>2.91</v>
      </c>
      <c r="W928" s="38">
        <v>0.872</v>
      </c>
      <c r="X928" s="39">
        <v>94.7</v>
      </c>
      <c r="Y928" s="41">
        <v>-676929.45827363501</v>
      </c>
      <c r="Z928" s="39">
        <v>-16133</v>
      </c>
      <c r="AA928" s="39">
        <v>-7.7351327717401102</v>
      </c>
    </row>
    <row r="929" spans="1:27" x14ac:dyDescent="0.25">
      <c r="A929" s="7" t="str">
        <f t="shared" si="14"/>
        <v>3524Providence St Peter Hospital481233078003, PT/OT OUTPATIENT</v>
      </c>
      <c r="B929" s="7"/>
      <c r="C929" s="29" t="s">
        <v>185</v>
      </c>
      <c r="D929" s="29" t="s">
        <v>200</v>
      </c>
      <c r="E929" s="29" t="s">
        <v>186</v>
      </c>
      <c r="F929" s="29">
        <v>3524</v>
      </c>
      <c r="G929" s="4" t="s">
        <v>201</v>
      </c>
      <c r="H929" s="5">
        <v>4812</v>
      </c>
      <c r="I929" s="4" t="s">
        <v>78</v>
      </c>
      <c r="J929" s="4" t="s">
        <v>41</v>
      </c>
      <c r="K929" s="4" t="s">
        <v>234</v>
      </c>
      <c r="L929" s="4" t="s">
        <v>79</v>
      </c>
      <c r="M929" s="6">
        <v>918.42</v>
      </c>
      <c r="N929" s="6">
        <v>1144.52</v>
      </c>
      <c r="O929" s="19">
        <v>0.5333</v>
      </c>
      <c r="P929" s="6">
        <v>19.739999999999998</v>
      </c>
      <c r="Q929" s="6">
        <v>19.89</v>
      </c>
      <c r="R929" s="19">
        <v>0.1333</v>
      </c>
      <c r="S929" s="20">
        <v>16</v>
      </c>
      <c r="T929" s="6">
        <v>21.84</v>
      </c>
      <c r="U929" s="6">
        <v>22.14</v>
      </c>
      <c r="V929" s="6">
        <v>22.34</v>
      </c>
      <c r="W929" s="19">
        <v>0.84870000000000001</v>
      </c>
      <c r="X929" s="6">
        <v>12.9</v>
      </c>
      <c r="Y929" s="21">
        <v>-129938.82773259901</v>
      </c>
      <c r="Z929" s="6">
        <v>-2952</v>
      </c>
      <c r="AA929" s="6">
        <v>-1.41511889450106</v>
      </c>
    </row>
    <row r="930" spans="1:27" x14ac:dyDescent="0.25">
      <c r="A930" s="7" t="str">
        <f t="shared" si="14"/>
        <v>3524Providence St Peter Hospital191033087200-33087203 NURSING ADMINISTRATION</v>
      </c>
      <c r="B930" s="7"/>
      <c r="C930" s="29" t="s">
        <v>185</v>
      </c>
      <c r="D930" s="29" t="s">
        <v>200</v>
      </c>
      <c r="E930" s="29" t="s">
        <v>186</v>
      </c>
      <c r="F930" s="29">
        <v>3524</v>
      </c>
      <c r="G930" s="4" t="s">
        <v>201</v>
      </c>
      <c r="H930" s="5">
        <v>1910</v>
      </c>
      <c r="I930" s="4" t="s">
        <v>34</v>
      </c>
      <c r="J930" s="4" t="s">
        <v>23</v>
      </c>
      <c r="K930" s="4" t="s">
        <v>251</v>
      </c>
      <c r="L930" s="4" t="s">
        <v>35</v>
      </c>
      <c r="M930" s="6">
        <v>1146</v>
      </c>
      <c r="N930" s="6">
        <v>903</v>
      </c>
      <c r="O930" s="19">
        <v>0.4667</v>
      </c>
      <c r="P930" s="6">
        <v>53.74</v>
      </c>
      <c r="Q930" s="6">
        <v>66.040000000000006</v>
      </c>
      <c r="R930" s="19">
        <v>0.78569999999999995</v>
      </c>
      <c r="S930" s="20">
        <v>16</v>
      </c>
      <c r="T930" s="6">
        <v>44.07</v>
      </c>
      <c r="U930" s="6">
        <v>48.83</v>
      </c>
      <c r="V930" s="6">
        <v>53.6</v>
      </c>
      <c r="W930" s="19">
        <v>0.89470000000000005</v>
      </c>
      <c r="X930" s="6">
        <v>25.1</v>
      </c>
      <c r="Y930" s="21">
        <v>110170.45147512099</v>
      </c>
      <c r="Z930" s="6">
        <v>3068</v>
      </c>
      <c r="AA930" s="6">
        <v>1.47100795354084</v>
      </c>
    </row>
    <row r="931" spans="1:27" x14ac:dyDescent="0.25">
      <c r="A931" s="7" t="str">
        <f t="shared" si="14"/>
        <v>3524Providence St Peter Hospital307033074701, STERILE PROCESSING</v>
      </c>
      <c r="B931" s="7"/>
      <c r="C931" s="29" t="s">
        <v>185</v>
      </c>
      <c r="D931" s="29" t="s">
        <v>200</v>
      </c>
      <c r="E931" s="29" t="s">
        <v>186</v>
      </c>
      <c r="F931" s="29">
        <v>3524</v>
      </c>
      <c r="G931" s="4" t="s">
        <v>201</v>
      </c>
      <c r="H931" s="5">
        <v>3070</v>
      </c>
      <c r="I931" s="4" t="s">
        <v>91</v>
      </c>
      <c r="J931" s="4" t="s">
        <v>47</v>
      </c>
      <c r="K931" s="4" t="s">
        <v>274</v>
      </c>
      <c r="L931" s="4" t="s">
        <v>92</v>
      </c>
      <c r="M931" s="6">
        <v>1627.65</v>
      </c>
      <c r="N931" s="6">
        <v>2036.35</v>
      </c>
      <c r="O931" s="19">
        <v>0.5333</v>
      </c>
      <c r="P931" s="6">
        <v>22.8</v>
      </c>
      <c r="Q931" s="6">
        <v>19.91</v>
      </c>
      <c r="R931" s="19">
        <v>0.4667</v>
      </c>
      <c r="S931" s="20">
        <v>16</v>
      </c>
      <c r="T931" s="6">
        <v>13.2</v>
      </c>
      <c r="U931" s="6">
        <v>14.56</v>
      </c>
      <c r="V931" s="6">
        <v>20</v>
      </c>
      <c r="W931" s="19">
        <v>0.92889999999999995</v>
      </c>
      <c r="X931" s="6">
        <v>20.99</v>
      </c>
      <c r="Y931" s="21">
        <v>270669.133252042</v>
      </c>
      <c r="Z931" s="6">
        <v>11860</v>
      </c>
      <c r="AA931" s="6">
        <v>5.6864214891521501</v>
      </c>
    </row>
    <row r="932" spans="1:27" x14ac:dyDescent="0.25">
      <c r="A932" s="7" t="str">
        <f t="shared" si="14"/>
        <v>3524Providence St Peter Hospital441133095501, SATELLITE PHARMACY</v>
      </c>
      <c r="B932" s="7"/>
      <c r="C932" s="29" t="s">
        <v>185</v>
      </c>
      <c r="D932" s="29" t="s">
        <v>200</v>
      </c>
      <c r="E932" s="29" t="s">
        <v>186</v>
      </c>
      <c r="F932" s="29">
        <v>3524</v>
      </c>
      <c r="G932" s="4" t="s">
        <v>201</v>
      </c>
      <c r="H932" s="5">
        <v>4411</v>
      </c>
      <c r="I932" s="4" t="s">
        <v>154</v>
      </c>
      <c r="J932" s="4" t="s">
        <v>37</v>
      </c>
      <c r="K932" s="4" t="s">
        <v>254</v>
      </c>
      <c r="L932" s="4" t="s">
        <v>155</v>
      </c>
      <c r="M932" s="39">
        <v>23204</v>
      </c>
      <c r="N932" s="39">
        <v>25630</v>
      </c>
      <c r="O932" s="38">
        <v>0.5</v>
      </c>
      <c r="P932" s="39">
        <v>0.13</v>
      </c>
      <c r="Q932" s="39">
        <v>0.17</v>
      </c>
      <c r="R932" s="38">
        <v>6.25E-2</v>
      </c>
      <c r="S932" s="40">
        <v>17</v>
      </c>
      <c r="T932" s="39">
        <v>0.21</v>
      </c>
      <c r="U932" s="39">
        <v>0.22</v>
      </c>
      <c r="V932" s="39">
        <v>0.26</v>
      </c>
      <c r="W932" s="38">
        <v>0.9264</v>
      </c>
      <c r="X932" s="39">
        <v>2.2200000000000002</v>
      </c>
      <c r="Y932" s="41">
        <v>-65503.748992523098</v>
      </c>
      <c r="Z932" s="39">
        <v>-1456</v>
      </c>
      <c r="AA932" s="39">
        <v>-0.69823928431809201</v>
      </c>
    </row>
    <row r="933" spans="1:27" x14ac:dyDescent="0.25">
      <c r="A933" s="7" t="str">
        <f t="shared" si="14"/>
        <v>3524Providence St Peter Hospital432033078740, SLEEP LABORATORY</v>
      </c>
      <c r="B933" s="7"/>
      <c r="C933" s="29" t="s">
        <v>185</v>
      </c>
      <c r="D933" s="29" t="s">
        <v>200</v>
      </c>
      <c r="E933" s="29" t="s">
        <v>186</v>
      </c>
      <c r="F933" s="29">
        <v>3524</v>
      </c>
      <c r="G933" s="4" t="s">
        <v>201</v>
      </c>
      <c r="H933" s="5">
        <v>4320</v>
      </c>
      <c r="I933" s="4" t="s">
        <v>166</v>
      </c>
      <c r="J933" s="4" t="s">
        <v>116</v>
      </c>
      <c r="K933" s="4" t="s">
        <v>237</v>
      </c>
      <c r="L933" s="4" t="s">
        <v>99</v>
      </c>
      <c r="M933" s="39">
        <v>12085.6</v>
      </c>
      <c r="N933" s="39">
        <v>15178.02</v>
      </c>
      <c r="O933" s="38">
        <v>0.5</v>
      </c>
      <c r="P933" s="39">
        <v>1.1299999999999999</v>
      </c>
      <c r="Q933" s="39">
        <v>0.86</v>
      </c>
      <c r="R933" s="38">
        <v>0.1875</v>
      </c>
      <c r="S933" s="40">
        <v>17</v>
      </c>
      <c r="T933" s="39">
        <v>0.87</v>
      </c>
      <c r="U933" s="39">
        <v>0.92</v>
      </c>
      <c r="V933" s="39">
        <v>1.02</v>
      </c>
      <c r="W933" s="38">
        <v>0.86919999999999997</v>
      </c>
      <c r="X933" s="39">
        <v>7.19</v>
      </c>
      <c r="Y933" s="41">
        <v>-39945.393975717299</v>
      </c>
      <c r="Z933" s="39">
        <v>-1069</v>
      </c>
      <c r="AA933" s="39">
        <v>-0.51249436584816599</v>
      </c>
    </row>
    <row r="934" spans="1:27" x14ac:dyDescent="0.25">
      <c r="A934" s="7" t="str">
        <f t="shared" si="14"/>
        <v>3524Providence St Peter Hospital413033077200, RESPIRATORY THERAPY</v>
      </c>
      <c r="B934" s="7"/>
      <c r="C934" s="29" t="s">
        <v>185</v>
      </c>
      <c r="D934" s="29" t="s">
        <v>200</v>
      </c>
      <c r="E934" s="29" t="s">
        <v>186</v>
      </c>
      <c r="F934" s="29">
        <v>3524</v>
      </c>
      <c r="G934" s="4" t="s">
        <v>201</v>
      </c>
      <c r="H934" s="5">
        <v>4130</v>
      </c>
      <c r="I934" s="4" t="s">
        <v>184</v>
      </c>
      <c r="J934" s="4" t="s">
        <v>44</v>
      </c>
      <c r="K934" s="4" t="s">
        <v>228</v>
      </c>
      <c r="L934" s="4" t="s">
        <v>45</v>
      </c>
      <c r="M934" s="39">
        <v>29476.32</v>
      </c>
      <c r="N934" s="39">
        <v>31871.56</v>
      </c>
      <c r="O934" s="38">
        <v>0.8125</v>
      </c>
      <c r="P934" s="39">
        <v>2.37</v>
      </c>
      <c r="Q934" s="39">
        <v>2.2400000000000002</v>
      </c>
      <c r="R934" s="38">
        <v>0.35289999999999999</v>
      </c>
      <c r="S934" s="40">
        <v>17</v>
      </c>
      <c r="T934" s="39">
        <v>2.02</v>
      </c>
      <c r="U934" s="39">
        <v>2.2400000000000002</v>
      </c>
      <c r="V934" s="39">
        <v>2.69</v>
      </c>
      <c r="W934" s="38">
        <v>0.86870000000000003</v>
      </c>
      <c r="X934" s="39">
        <v>39.6</v>
      </c>
      <c r="Y934" s="41">
        <v>15457.5732934876</v>
      </c>
      <c r="Z934" s="39">
        <v>411</v>
      </c>
      <c r="AA934" s="39">
        <v>0.19696478112708601</v>
      </c>
    </row>
    <row r="935" spans="1:27" x14ac:dyDescent="0.25">
      <c r="A935" s="7" t="str">
        <f t="shared" si="14"/>
        <v>3524Providence St Peter Hospital651033087100, 33087101 Combined MED STAFF/Credentialing</v>
      </c>
      <c r="B935" s="7"/>
      <c r="C935" s="29" t="s">
        <v>185</v>
      </c>
      <c r="D935" s="29" t="s">
        <v>200</v>
      </c>
      <c r="E935" s="29" t="s">
        <v>186</v>
      </c>
      <c r="F935" s="29">
        <v>3524</v>
      </c>
      <c r="G935" s="4" t="s">
        <v>201</v>
      </c>
      <c r="H935" s="5">
        <v>6510</v>
      </c>
      <c r="I935" s="4" t="s">
        <v>19</v>
      </c>
      <c r="J935" s="4" t="s">
        <v>19</v>
      </c>
      <c r="K935" s="4" t="s">
        <v>250</v>
      </c>
      <c r="L935" s="4" t="s">
        <v>20</v>
      </c>
      <c r="M935" s="39">
        <v>274</v>
      </c>
      <c r="N935" s="39">
        <v>495</v>
      </c>
      <c r="O935" s="38">
        <v>0.75</v>
      </c>
      <c r="P935" s="39">
        <v>54.13</v>
      </c>
      <c r="Q935" s="39">
        <v>25.47</v>
      </c>
      <c r="R935" s="38">
        <v>0.66669999999999996</v>
      </c>
      <c r="S935" s="40">
        <v>17</v>
      </c>
      <c r="T935" s="39">
        <v>13.09</v>
      </c>
      <c r="U935" s="39">
        <v>14.93</v>
      </c>
      <c r="V935" s="39">
        <v>22.32</v>
      </c>
      <c r="W935" s="38">
        <v>0.87860000000000005</v>
      </c>
      <c r="X935" s="39">
        <v>6.9</v>
      </c>
      <c r="Y935" s="41">
        <v>173004.10233587099</v>
      </c>
      <c r="Z935" s="39">
        <v>5980</v>
      </c>
      <c r="AA935" s="39">
        <v>2.8670580894358499</v>
      </c>
    </row>
    <row r="936" spans="1:27" x14ac:dyDescent="0.25">
      <c r="A936" s="7" t="str">
        <f t="shared" si="14"/>
        <v>3524Providence St Peter Hospital5608Centralized Scheduling (U,N)</v>
      </c>
      <c r="B936" s="7"/>
      <c r="C936" s="29" t="s">
        <v>185</v>
      </c>
      <c r="D936" s="29" t="s">
        <v>200</v>
      </c>
      <c r="E936" s="29" t="s">
        <v>186</v>
      </c>
      <c r="F936" s="29">
        <v>3524</v>
      </c>
      <c r="G936" s="4" t="s">
        <v>201</v>
      </c>
      <c r="H936" s="5">
        <v>5608</v>
      </c>
      <c r="I936" s="4" t="s">
        <v>257</v>
      </c>
      <c r="J936" s="4" t="s">
        <v>12</v>
      </c>
      <c r="K936" s="4" t="s">
        <v>258</v>
      </c>
      <c r="L936" s="4" t="s">
        <v>18</v>
      </c>
      <c r="M936" s="6">
        <v>27659.279999999999</v>
      </c>
      <c r="N936" s="6">
        <v>29059.52</v>
      </c>
      <c r="O936" s="19">
        <v>0.5665</v>
      </c>
      <c r="P936" s="6">
        <v>0.98</v>
      </c>
      <c r="Q936" s="6">
        <v>1.02</v>
      </c>
      <c r="R936" s="19">
        <v>0.80859999999999999</v>
      </c>
      <c r="S936" s="20">
        <v>17</v>
      </c>
      <c r="T936" s="6">
        <v>0.46</v>
      </c>
      <c r="U936" s="6">
        <v>0.49</v>
      </c>
      <c r="V936" s="6">
        <v>0.73</v>
      </c>
      <c r="W936" s="19">
        <v>0.89049999999999996</v>
      </c>
      <c r="X936" s="6">
        <v>15.99</v>
      </c>
      <c r="Y936" s="21">
        <v>559286.78531362698</v>
      </c>
      <c r="Z936" s="6">
        <v>17360</v>
      </c>
      <c r="AA936" s="6">
        <v>8.3234715525095009</v>
      </c>
    </row>
    <row r="937" spans="1:27" x14ac:dyDescent="0.25">
      <c r="A937" s="7" t="str">
        <f t="shared" si="14"/>
        <v>3524Providence St Peter Hospital582533087520, QUALITY ASSURANCE</v>
      </c>
      <c r="B937" s="7"/>
      <c r="C937" s="29" t="s">
        <v>185</v>
      </c>
      <c r="D937" s="29" t="s">
        <v>200</v>
      </c>
      <c r="E937" s="29" t="s">
        <v>186</v>
      </c>
      <c r="F937" s="29">
        <v>3524</v>
      </c>
      <c r="G937" s="4" t="s">
        <v>201</v>
      </c>
      <c r="H937" s="5">
        <v>5825</v>
      </c>
      <c r="I937" s="4" t="s">
        <v>25</v>
      </c>
      <c r="J937" s="4" t="s">
        <v>26</v>
      </c>
      <c r="K937" s="4" t="s">
        <v>252</v>
      </c>
      <c r="L937" s="4" t="s">
        <v>27</v>
      </c>
      <c r="M937" s="6">
        <v>146867</v>
      </c>
      <c r="N937" s="6">
        <v>175394</v>
      </c>
      <c r="O937" s="19">
        <v>0.52939999999999998</v>
      </c>
      <c r="P937" s="6">
        <v>0.16</v>
      </c>
      <c r="Q937" s="6">
        <v>0.08</v>
      </c>
      <c r="R937" s="19">
        <v>0.23530000000000001</v>
      </c>
      <c r="S937" s="20">
        <v>18</v>
      </c>
      <c r="T937" s="6">
        <v>0.08</v>
      </c>
      <c r="U937" s="6">
        <v>0.09</v>
      </c>
      <c r="V937" s="6">
        <v>0.11</v>
      </c>
      <c r="W937" s="19">
        <v>0.83840000000000003</v>
      </c>
      <c r="X937" s="6">
        <v>8.42</v>
      </c>
      <c r="Y937" s="21">
        <v>-49458.616820777897</v>
      </c>
      <c r="Z937" s="6">
        <v>-1266</v>
      </c>
      <c r="AA937" s="6">
        <v>-0.60722217484601504</v>
      </c>
    </row>
    <row r="938" spans="1:27" x14ac:dyDescent="0.25">
      <c r="A938" s="7" t="str">
        <f t="shared" si="14"/>
        <v>3524Providence St Peter Hospital123833061730, MEDICAL ONCOLOGY</v>
      </c>
      <c r="B938" s="7"/>
      <c r="C938" s="29" t="s">
        <v>185</v>
      </c>
      <c r="D938" s="29" t="s">
        <v>200</v>
      </c>
      <c r="E938" s="29" t="s">
        <v>186</v>
      </c>
      <c r="F938" s="29">
        <v>3524</v>
      </c>
      <c r="G938" s="4" t="s">
        <v>201</v>
      </c>
      <c r="H938" s="5">
        <v>1238</v>
      </c>
      <c r="I938" s="4" t="s">
        <v>148</v>
      </c>
      <c r="J938" s="4" t="s">
        <v>23</v>
      </c>
      <c r="K938" s="4" t="s">
        <v>203</v>
      </c>
      <c r="L938" s="4" t="s">
        <v>74</v>
      </c>
      <c r="M938" s="39">
        <v>7929.69</v>
      </c>
      <c r="N938" s="39">
        <v>8278.76</v>
      </c>
      <c r="O938" s="38">
        <v>0.52939999999999998</v>
      </c>
      <c r="P938" s="39">
        <v>11.13</v>
      </c>
      <c r="Q938" s="39">
        <v>11.06</v>
      </c>
      <c r="R938" s="38">
        <v>0.70589999999999997</v>
      </c>
      <c r="S938" s="40">
        <v>18</v>
      </c>
      <c r="T938" s="39">
        <v>9.39</v>
      </c>
      <c r="U938" s="39">
        <v>10.199999999999999</v>
      </c>
      <c r="V938" s="39">
        <v>10.77</v>
      </c>
      <c r="W938" s="38">
        <v>0.90039999999999998</v>
      </c>
      <c r="X938" s="39">
        <v>48.87</v>
      </c>
      <c r="Y938" s="41">
        <v>315635.39199738199</v>
      </c>
      <c r="Z938" s="39">
        <v>8144</v>
      </c>
      <c r="AA938" s="39">
        <v>3.9046335660867899</v>
      </c>
    </row>
    <row r="939" spans="1:27" x14ac:dyDescent="0.25">
      <c r="A939" s="7" t="str">
        <f t="shared" si="14"/>
        <v>3524Providence St Peter Hospital229933064201, Chemical Dependency Admin</v>
      </c>
      <c r="B939" s="7"/>
      <c r="C939" s="29" t="s">
        <v>185</v>
      </c>
      <c r="D939" s="29" t="s">
        <v>200</v>
      </c>
      <c r="E939" s="29" t="s">
        <v>186</v>
      </c>
      <c r="F939" s="29">
        <v>3524</v>
      </c>
      <c r="G939" s="4" t="s">
        <v>201</v>
      </c>
      <c r="H939" s="5">
        <v>2299</v>
      </c>
      <c r="I939" s="4" t="s">
        <v>187</v>
      </c>
      <c r="J939" s="4" t="s">
        <v>176</v>
      </c>
      <c r="K939" s="4" t="s">
        <v>209</v>
      </c>
      <c r="L939" s="4" t="s">
        <v>188</v>
      </c>
      <c r="M939" s="7"/>
      <c r="N939" s="6">
        <v>10324</v>
      </c>
      <c r="O939" s="19">
        <v>0.47060000000000002</v>
      </c>
      <c r="P939" s="7"/>
      <c r="Q939" s="6">
        <v>1.1000000000000001</v>
      </c>
      <c r="R939" s="19">
        <v>1</v>
      </c>
      <c r="S939" s="20">
        <v>18</v>
      </c>
      <c r="T939" s="6">
        <v>0.3</v>
      </c>
      <c r="U939" s="6">
        <v>0.31</v>
      </c>
      <c r="V939" s="6">
        <v>0.34</v>
      </c>
      <c r="W939" s="19">
        <v>0.8901</v>
      </c>
      <c r="X939" s="6">
        <v>6.13</v>
      </c>
      <c r="Y939" s="21">
        <v>190661.59476171501</v>
      </c>
      <c r="Z939" s="6">
        <v>9190</v>
      </c>
      <c r="AA939" s="6">
        <v>4.4060723016496199</v>
      </c>
    </row>
    <row r="940" spans="1:27" x14ac:dyDescent="0.25">
      <c r="A940" s="7" t="str">
        <f t="shared" si="14"/>
        <v>3524Providence St Peter Hospital591033084200, SECURITY</v>
      </c>
      <c r="B940" s="7"/>
      <c r="C940" s="29" t="s">
        <v>185</v>
      </c>
      <c r="D940" s="29" t="s">
        <v>200</v>
      </c>
      <c r="E940" s="29" t="s">
        <v>186</v>
      </c>
      <c r="F940" s="29">
        <v>3524</v>
      </c>
      <c r="G940" s="4" t="s">
        <v>201</v>
      </c>
      <c r="H940" s="5">
        <v>5910</v>
      </c>
      <c r="I940" s="4" t="s">
        <v>139</v>
      </c>
      <c r="J940" s="4" t="s">
        <v>136</v>
      </c>
      <c r="K940" s="4" t="s">
        <v>243</v>
      </c>
      <c r="L940" s="4" t="s">
        <v>140</v>
      </c>
      <c r="M940" s="39">
        <v>3929.6</v>
      </c>
      <c r="N940" s="39">
        <v>3929.6</v>
      </c>
      <c r="O940" s="38">
        <v>0.5</v>
      </c>
      <c r="P940" s="39">
        <v>6.84</v>
      </c>
      <c r="Q940" s="39">
        <v>6.65</v>
      </c>
      <c r="R940" s="38">
        <v>5.8799999999999998E-2</v>
      </c>
      <c r="S940" s="40">
        <v>19</v>
      </c>
      <c r="T940" s="39">
        <v>9.98</v>
      </c>
      <c r="U940" s="39">
        <v>11.45</v>
      </c>
      <c r="V940" s="39">
        <v>12.39</v>
      </c>
      <c r="W940" s="38">
        <v>0.91279999999999994</v>
      </c>
      <c r="X940" s="39">
        <v>13.77</v>
      </c>
      <c r="Y940" s="41">
        <v>-455880.08018408</v>
      </c>
      <c r="Z940" s="39">
        <v>-20572</v>
      </c>
      <c r="AA940" s="70">
        <v>-9.8634083639618204</v>
      </c>
    </row>
    <row r="941" spans="1:27" x14ac:dyDescent="0.25">
      <c r="A941" s="7" t="str">
        <f t="shared" si="14"/>
        <v>3524Providence St Peter Hospital661033086100, ADMINISTRATION</v>
      </c>
      <c r="B941" s="7"/>
      <c r="C941" s="29" t="s">
        <v>185</v>
      </c>
      <c r="D941" s="29" t="s">
        <v>200</v>
      </c>
      <c r="E941" s="29" t="s">
        <v>186</v>
      </c>
      <c r="F941" s="29">
        <v>3524</v>
      </c>
      <c r="G941" s="4" t="s">
        <v>201</v>
      </c>
      <c r="H941" s="5">
        <v>6610</v>
      </c>
      <c r="I941" s="4" t="s">
        <v>72</v>
      </c>
      <c r="J941" s="4" t="s">
        <v>72</v>
      </c>
      <c r="K941" s="4" t="s">
        <v>249</v>
      </c>
      <c r="L941" s="4" t="s">
        <v>14</v>
      </c>
      <c r="M941" s="39">
        <v>276.58999999999997</v>
      </c>
      <c r="N941" s="39">
        <v>290.60000000000002</v>
      </c>
      <c r="O941" s="38">
        <v>0.55559999999999998</v>
      </c>
      <c r="P941" s="39">
        <v>49.24</v>
      </c>
      <c r="Q941" s="39">
        <v>48.26</v>
      </c>
      <c r="R941" s="38">
        <v>0</v>
      </c>
      <c r="S941" s="40">
        <v>19</v>
      </c>
      <c r="T941" s="39">
        <v>57.65</v>
      </c>
      <c r="U941" s="39">
        <v>62.13</v>
      </c>
      <c r="V941" s="39">
        <v>65.81</v>
      </c>
      <c r="W941" s="38">
        <v>0.86839999999999995</v>
      </c>
      <c r="X941" s="39">
        <v>7.76</v>
      </c>
      <c r="Y941" s="41">
        <v>-444703.58484957699</v>
      </c>
      <c r="Z941" s="39">
        <v>-4606</v>
      </c>
      <c r="AA941" s="70">
        <v>-2.2083965831949901</v>
      </c>
    </row>
    <row r="942" spans="1:27" x14ac:dyDescent="0.25">
      <c r="A942" s="7" t="str">
        <f t="shared" si="14"/>
        <v>3524Providence St Peter Hospital121333061710, Medical Telemetry</v>
      </c>
      <c r="B942" s="7"/>
      <c r="C942" s="29" t="s">
        <v>185</v>
      </c>
      <c r="D942" s="29" t="s">
        <v>200</v>
      </c>
      <c r="E942" s="29" t="s">
        <v>186</v>
      </c>
      <c r="F942" s="29">
        <v>3524</v>
      </c>
      <c r="G942" s="4" t="s">
        <v>201</v>
      </c>
      <c r="H942" s="5">
        <v>1213</v>
      </c>
      <c r="I942" s="4" t="s">
        <v>108</v>
      </c>
      <c r="J942" s="4" t="s">
        <v>23</v>
      </c>
      <c r="K942" s="4" t="s">
        <v>202</v>
      </c>
      <c r="L942" s="4" t="s">
        <v>74</v>
      </c>
      <c r="M942" s="39">
        <v>6921.89</v>
      </c>
      <c r="N942" s="39">
        <v>8832.82</v>
      </c>
      <c r="O942" s="38">
        <v>0.55559999999999998</v>
      </c>
      <c r="P942" s="39">
        <v>11.27</v>
      </c>
      <c r="Q942" s="39">
        <v>10.31</v>
      </c>
      <c r="R942" s="38">
        <v>0.22220000000000001</v>
      </c>
      <c r="S942" s="40">
        <v>19</v>
      </c>
      <c r="T942" s="39">
        <v>10.39</v>
      </c>
      <c r="U942" s="39">
        <v>10.73</v>
      </c>
      <c r="V942" s="39">
        <v>11.41</v>
      </c>
      <c r="W942" s="38">
        <v>0.88980000000000004</v>
      </c>
      <c r="X942" s="39">
        <v>49.22</v>
      </c>
      <c r="Y942" s="41">
        <v>-139873.566923629</v>
      </c>
      <c r="Z942" s="39">
        <v>-3856</v>
      </c>
      <c r="AA942" s="39">
        <v>-1.8487067044096901</v>
      </c>
    </row>
    <row r="943" spans="1:27" x14ac:dyDescent="0.25">
      <c r="A943" s="7" t="str">
        <f t="shared" si="14"/>
        <v>3524Providence St Peter Hospital126033062900, PEDIATRIC ACUTE</v>
      </c>
      <c r="B943" s="7"/>
      <c r="C943" s="29" t="s">
        <v>185</v>
      </c>
      <c r="D943" s="29" t="s">
        <v>200</v>
      </c>
      <c r="E943" s="29" t="s">
        <v>186</v>
      </c>
      <c r="F943" s="29">
        <v>3524</v>
      </c>
      <c r="G943" s="4" t="s">
        <v>201</v>
      </c>
      <c r="H943" s="5">
        <v>1260</v>
      </c>
      <c r="I943" s="4" t="s">
        <v>173</v>
      </c>
      <c r="J943" s="4" t="s">
        <v>23</v>
      </c>
      <c r="K943" s="4" t="s">
        <v>207</v>
      </c>
      <c r="L943" s="4" t="s">
        <v>74</v>
      </c>
      <c r="M943" s="39">
        <v>1061.6500000000001</v>
      </c>
      <c r="N943" s="39">
        <v>1126.26</v>
      </c>
      <c r="O943" s="38">
        <v>0.44440000000000002</v>
      </c>
      <c r="P943" s="39">
        <v>17.079999999999998</v>
      </c>
      <c r="Q943" s="39">
        <v>16.04</v>
      </c>
      <c r="R943" s="38">
        <v>0.4118</v>
      </c>
      <c r="S943" s="40">
        <v>19</v>
      </c>
      <c r="T943" s="39">
        <v>15.67</v>
      </c>
      <c r="U943" s="39">
        <v>15.75</v>
      </c>
      <c r="V943" s="39">
        <v>17.47</v>
      </c>
      <c r="W943" s="38">
        <v>0.81889999999999996</v>
      </c>
      <c r="X943" s="39">
        <v>10.6</v>
      </c>
      <c r="Y943" s="41">
        <v>24352.068329695201</v>
      </c>
      <c r="Z943" s="39">
        <v>447</v>
      </c>
      <c r="AA943" s="39">
        <v>0.21428248331729099</v>
      </c>
    </row>
    <row r="944" spans="1:27" x14ac:dyDescent="0.25">
      <c r="A944" s="7" t="str">
        <f t="shared" si="14"/>
        <v>3524Providence St Peter Hospital431033078741, Neurodiagnostic Laboratory (EEG)</v>
      </c>
      <c r="B944" s="7"/>
      <c r="C944" s="29" t="s">
        <v>185</v>
      </c>
      <c r="D944" s="29" t="s">
        <v>200</v>
      </c>
      <c r="E944" s="29" t="s">
        <v>186</v>
      </c>
      <c r="F944" s="29">
        <v>3524</v>
      </c>
      <c r="G944" s="4" t="s">
        <v>201</v>
      </c>
      <c r="H944" s="5">
        <v>4310</v>
      </c>
      <c r="I944" s="4" t="s">
        <v>115</v>
      </c>
      <c r="J944" s="4" t="s">
        <v>116</v>
      </c>
      <c r="K944" s="4" t="s">
        <v>238</v>
      </c>
      <c r="L944" s="4" t="s">
        <v>99</v>
      </c>
      <c r="M944" s="6">
        <v>2227.1</v>
      </c>
      <c r="N944" s="6">
        <v>2689.52</v>
      </c>
      <c r="O944" s="19">
        <v>0.5</v>
      </c>
      <c r="P944" s="6">
        <v>2.06</v>
      </c>
      <c r="Q944" s="6">
        <v>1.76</v>
      </c>
      <c r="R944" s="19">
        <v>0.83330000000000004</v>
      </c>
      <c r="S944" s="20">
        <v>19</v>
      </c>
      <c r="T944" s="6">
        <v>0.76</v>
      </c>
      <c r="U944" s="6">
        <v>1.07</v>
      </c>
      <c r="V944" s="6">
        <v>1.21</v>
      </c>
      <c r="W944" s="19">
        <v>0.89159999999999995</v>
      </c>
      <c r="X944" s="6">
        <v>2.56</v>
      </c>
      <c r="Y944" s="21">
        <v>95920.5287424462</v>
      </c>
      <c r="Z944" s="6">
        <v>2112</v>
      </c>
      <c r="AA944" s="6">
        <v>1.0124786303055799</v>
      </c>
    </row>
    <row r="945" spans="1:27" x14ac:dyDescent="0.25">
      <c r="A945" s="7" t="str">
        <f t="shared" si="14"/>
        <v>3524Providence St Peter Hospital464033077102, OP INFUSION CENTER</v>
      </c>
      <c r="B945" s="7"/>
      <c r="C945" s="29" t="s">
        <v>185</v>
      </c>
      <c r="D945" s="29" t="s">
        <v>200</v>
      </c>
      <c r="E945" s="29" t="s">
        <v>186</v>
      </c>
      <c r="F945" s="29">
        <v>3524</v>
      </c>
      <c r="G945" s="4" t="s">
        <v>201</v>
      </c>
      <c r="H945" s="5">
        <v>4640</v>
      </c>
      <c r="I945" s="4" t="s">
        <v>82</v>
      </c>
      <c r="J945" s="4" t="s">
        <v>83</v>
      </c>
      <c r="K945" s="4" t="s">
        <v>261</v>
      </c>
      <c r="L945" s="4" t="s">
        <v>84</v>
      </c>
      <c r="M945" s="6">
        <v>3988</v>
      </c>
      <c r="N945" s="6">
        <v>4525</v>
      </c>
      <c r="O945" s="19">
        <v>0.55559999999999998</v>
      </c>
      <c r="P945" s="6">
        <v>2.73</v>
      </c>
      <c r="Q945" s="6">
        <v>2.4500000000000002</v>
      </c>
      <c r="R945" s="19">
        <v>0.52939999999999998</v>
      </c>
      <c r="S945" s="20">
        <v>19</v>
      </c>
      <c r="T945" s="6">
        <v>1.78</v>
      </c>
      <c r="U945" s="6">
        <v>1.91</v>
      </c>
      <c r="V945" s="6">
        <v>2.23</v>
      </c>
      <c r="W945" s="19">
        <v>0.88859999999999995</v>
      </c>
      <c r="X945" s="6">
        <v>5.99</v>
      </c>
      <c r="Y945" s="21">
        <v>123451.388762767</v>
      </c>
      <c r="Z945" s="6">
        <v>2767</v>
      </c>
      <c r="AA945" s="6">
        <v>1.32669521848568</v>
      </c>
    </row>
    <row r="946" spans="1:27" x14ac:dyDescent="0.25">
      <c r="A946" s="7" t="str">
        <f t="shared" si="14"/>
        <v>3524Providence St Peter Hospital349933076302, DIAGNOSTIC IMAGING EXP</v>
      </c>
      <c r="B946" s="7"/>
      <c r="C946" s="29" t="s">
        <v>185</v>
      </c>
      <c r="D946" s="29" t="s">
        <v>200</v>
      </c>
      <c r="E946" s="29" t="s">
        <v>186</v>
      </c>
      <c r="F946" s="29">
        <v>3524</v>
      </c>
      <c r="G946" s="4" t="s">
        <v>201</v>
      </c>
      <c r="H946" s="5">
        <v>3499</v>
      </c>
      <c r="I946" s="4" t="s">
        <v>56</v>
      </c>
      <c r="J946" s="4" t="s">
        <v>57</v>
      </c>
      <c r="K946" s="4" t="s">
        <v>220</v>
      </c>
      <c r="L946" s="4" t="s">
        <v>58</v>
      </c>
      <c r="M946" s="6">
        <v>345948.54</v>
      </c>
      <c r="N946" s="6">
        <v>345257.84</v>
      </c>
      <c r="O946" s="19">
        <v>0.5</v>
      </c>
      <c r="P946" s="6">
        <v>0.08</v>
      </c>
      <c r="Q946" s="6">
        <v>7.0000000000000007E-2</v>
      </c>
      <c r="R946" s="19">
        <v>0.55559999999999998</v>
      </c>
      <c r="S946" s="20">
        <v>19</v>
      </c>
      <c r="T946" s="6">
        <v>0.05</v>
      </c>
      <c r="U946" s="6">
        <v>0.05</v>
      </c>
      <c r="V946" s="6">
        <v>0.06</v>
      </c>
      <c r="W946" s="19">
        <v>0.86899999999999999</v>
      </c>
      <c r="X946" s="6">
        <v>13.26</v>
      </c>
      <c r="Y946" s="21">
        <v>209059.928171379</v>
      </c>
      <c r="Z946" s="6">
        <v>7791</v>
      </c>
      <c r="AA946" s="6">
        <v>3.7355054874463498</v>
      </c>
    </row>
    <row r="947" spans="1:27" x14ac:dyDescent="0.25">
      <c r="A947" s="7" t="str">
        <f t="shared" si="14"/>
        <v>3524Providence St Peter Hospital441033077100, 33077103 PHARMACY and RESIDENCY</v>
      </c>
      <c r="B947" s="7"/>
      <c r="C947" s="29" t="s">
        <v>185</v>
      </c>
      <c r="D947" s="29" t="s">
        <v>200</v>
      </c>
      <c r="E947" s="29" t="s">
        <v>186</v>
      </c>
      <c r="F947" s="29">
        <v>3524</v>
      </c>
      <c r="G947" s="4" t="s">
        <v>201</v>
      </c>
      <c r="H947" s="5">
        <v>4410</v>
      </c>
      <c r="I947" s="4" t="s">
        <v>37</v>
      </c>
      <c r="J947" s="4" t="s">
        <v>37</v>
      </c>
      <c r="K947" s="4" t="s">
        <v>260</v>
      </c>
      <c r="L947" s="4" t="s">
        <v>100</v>
      </c>
      <c r="M947" s="6">
        <v>39407.31</v>
      </c>
      <c r="N947" s="6">
        <v>43870</v>
      </c>
      <c r="O947" s="19">
        <v>0.5</v>
      </c>
      <c r="P947" s="6">
        <v>2.12</v>
      </c>
      <c r="Q947" s="6">
        <v>2.16</v>
      </c>
      <c r="R947" s="19">
        <v>0.57889999999999997</v>
      </c>
      <c r="S947" s="20">
        <v>19</v>
      </c>
      <c r="T947" s="6">
        <v>1.85</v>
      </c>
      <c r="U947" s="6">
        <v>1.99</v>
      </c>
      <c r="V947" s="6">
        <v>2.1</v>
      </c>
      <c r="W947" s="19">
        <v>0.91669999999999996</v>
      </c>
      <c r="X947" s="6">
        <v>49.69</v>
      </c>
      <c r="Y947" s="21">
        <v>339499.84952400997</v>
      </c>
      <c r="Z947" s="6">
        <v>8404</v>
      </c>
      <c r="AA947" s="6">
        <v>4.0293974435223703</v>
      </c>
    </row>
    <row r="948" spans="1:27" x14ac:dyDescent="0.25">
      <c r="A948" s="7" t="str">
        <f t="shared" si="14"/>
        <v>3524Providence St Peter Hospital181033077150, IV THERAPY</v>
      </c>
      <c r="B948" s="7"/>
      <c r="C948" s="29" t="s">
        <v>185</v>
      </c>
      <c r="D948" s="29" t="s">
        <v>200</v>
      </c>
      <c r="E948" s="29" t="s">
        <v>186</v>
      </c>
      <c r="F948" s="29">
        <v>3524</v>
      </c>
      <c r="G948" s="4" t="s">
        <v>201</v>
      </c>
      <c r="H948" s="5">
        <v>1810</v>
      </c>
      <c r="I948" s="4" t="s">
        <v>162</v>
      </c>
      <c r="J948" s="4" t="s">
        <v>23</v>
      </c>
      <c r="K948" s="4" t="s">
        <v>227</v>
      </c>
      <c r="L948" s="4" t="s">
        <v>163</v>
      </c>
      <c r="M948" s="6">
        <v>38.17</v>
      </c>
      <c r="N948" s="6">
        <v>39.61</v>
      </c>
      <c r="O948" s="19">
        <v>0.5</v>
      </c>
      <c r="P948" s="6">
        <v>700.9</v>
      </c>
      <c r="Q948" s="6">
        <v>729.58</v>
      </c>
      <c r="R948" s="19">
        <v>0.94120000000000004</v>
      </c>
      <c r="S948" s="20">
        <v>19</v>
      </c>
      <c r="T948" s="6">
        <v>107.31</v>
      </c>
      <c r="U948" s="6">
        <v>120</v>
      </c>
      <c r="V948" s="6">
        <v>195.64</v>
      </c>
      <c r="W948" s="19">
        <v>0.90690000000000004</v>
      </c>
      <c r="X948" s="6">
        <v>15.32</v>
      </c>
      <c r="Y948" s="21">
        <v>1478302.1758035801</v>
      </c>
      <c r="Z948" s="6">
        <v>26712</v>
      </c>
      <c r="AA948" s="6">
        <v>12.8071020883492</v>
      </c>
    </row>
    <row r="949" spans="1:27" x14ac:dyDescent="0.25">
      <c r="A949" s="7" t="str">
        <f t="shared" si="14"/>
        <v>3524Providence St Peter Hospital621033082901, Nursing Education</v>
      </c>
      <c r="B949" s="7"/>
      <c r="C949" s="29" t="s">
        <v>185</v>
      </c>
      <c r="D949" s="29" t="s">
        <v>200</v>
      </c>
      <c r="E949" s="29" t="s">
        <v>186</v>
      </c>
      <c r="F949" s="29">
        <v>3524</v>
      </c>
      <c r="G949" s="4" t="s">
        <v>201</v>
      </c>
      <c r="H949" s="5">
        <v>6210</v>
      </c>
      <c r="I949" s="4" t="s">
        <v>28</v>
      </c>
      <c r="J949" s="4" t="s">
        <v>21</v>
      </c>
      <c r="K949" s="4" t="s">
        <v>239</v>
      </c>
      <c r="L949" s="4" t="s">
        <v>18</v>
      </c>
      <c r="M949" s="39">
        <v>27659.279999999999</v>
      </c>
      <c r="N949" s="39">
        <v>29059.52</v>
      </c>
      <c r="O949" s="38">
        <v>0.55559999999999998</v>
      </c>
      <c r="P949" s="39">
        <v>1.1599999999999999</v>
      </c>
      <c r="Q949" s="39">
        <v>1.79</v>
      </c>
      <c r="R949" s="38">
        <v>1</v>
      </c>
      <c r="S949" s="40">
        <v>19</v>
      </c>
      <c r="T949" s="39">
        <v>0.34</v>
      </c>
      <c r="U949" s="39">
        <v>0.4</v>
      </c>
      <c r="V949" s="39">
        <v>0.49</v>
      </c>
      <c r="W949" s="38">
        <v>0.96350000000000002</v>
      </c>
      <c r="X949" s="39">
        <v>25.95</v>
      </c>
      <c r="Y949" s="41">
        <v>1575327.8271316099</v>
      </c>
      <c r="Z949" s="39">
        <v>42060</v>
      </c>
      <c r="AA949" s="39">
        <v>20.165779136447401</v>
      </c>
    </row>
    <row r="950" spans="1:27" x14ac:dyDescent="0.25">
      <c r="A950" s="7" t="str">
        <f t="shared" si="14"/>
        <v>3524Providence St Peter Hospital3399Laboratory Services - Administration And Support (U,N)</v>
      </c>
      <c r="B950" s="7"/>
      <c r="C950" s="29" t="s">
        <v>185</v>
      </c>
      <c r="D950" s="29" t="s">
        <v>200</v>
      </c>
      <c r="E950" s="29" t="s">
        <v>186</v>
      </c>
      <c r="F950" s="29">
        <v>3524</v>
      </c>
      <c r="G950" s="4" t="s">
        <v>201</v>
      </c>
      <c r="H950" s="5">
        <v>3399</v>
      </c>
      <c r="I950" s="4" t="s">
        <v>52</v>
      </c>
      <c r="J950" s="4" t="s">
        <v>53</v>
      </c>
      <c r="K950" s="4" t="s">
        <v>256</v>
      </c>
      <c r="L950" s="4" t="s">
        <v>55</v>
      </c>
      <c r="M950" s="6">
        <v>20525.16</v>
      </c>
      <c r="N950" s="6">
        <v>20978.77</v>
      </c>
      <c r="O950" s="19">
        <v>0.84770000000000001</v>
      </c>
      <c r="P950" s="6">
        <v>0.12</v>
      </c>
      <c r="Q950" s="6">
        <v>0.26</v>
      </c>
      <c r="R950" s="19">
        <v>3.56E-2</v>
      </c>
      <c r="S950" s="20">
        <v>20</v>
      </c>
      <c r="T950" s="6">
        <v>1.07</v>
      </c>
      <c r="U950" s="6">
        <v>1.39</v>
      </c>
      <c r="V950" s="6">
        <v>1.69</v>
      </c>
      <c r="W950" s="19">
        <v>0.90649999999999997</v>
      </c>
      <c r="X950" s="6">
        <v>2.86</v>
      </c>
      <c r="Y950" s="21">
        <v>-1031827.40090241</v>
      </c>
      <c r="Z950" s="6">
        <v>-26203</v>
      </c>
      <c r="AA950" s="6">
        <v>-12.563224218942</v>
      </c>
    </row>
    <row r="951" spans="1:27" x14ac:dyDescent="0.25">
      <c r="A951" s="7" t="str">
        <f t="shared" si="14"/>
        <v>3524Providence St Peter Hospital423033075700, CARDIOVASCULAR LAB</v>
      </c>
      <c r="B951" s="7"/>
      <c r="C951" s="29" t="s">
        <v>185</v>
      </c>
      <c r="D951" s="29" t="s">
        <v>200</v>
      </c>
      <c r="E951" s="29" t="s">
        <v>186</v>
      </c>
      <c r="F951" s="29">
        <v>3524</v>
      </c>
      <c r="G951" s="4" t="s">
        <v>201</v>
      </c>
      <c r="H951" s="5">
        <v>4230</v>
      </c>
      <c r="I951" s="4" t="s">
        <v>96</v>
      </c>
      <c r="J951" s="4" t="s">
        <v>60</v>
      </c>
      <c r="K951" s="4" t="s">
        <v>217</v>
      </c>
      <c r="L951" s="4" t="s">
        <v>97</v>
      </c>
      <c r="M951" s="6">
        <v>239636</v>
      </c>
      <c r="N951" s="6">
        <v>267503</v>
      </c>
      <c r="O951" s="19">
        <v>0.52629999999999999</v>
      </c>
      <c r="P951" s="6">
        <v>0.15</v>
      </c>
      <c r="Q951" s="6">
        <v>0.13</v>
      </c>
      <c r="R951" s="19">
        <v>0.16669999999999999</v>
      </c>
      <c r="S951" s="20">
        <v>20</v>
      </c>
      <c r="T951" s="6">
        <v>0.14000000000000001</v>
      </c>
      <c r="U951" s="6">
        <v>0.15</v>
      </c>
      <c r="V951" s="6">
        <v>0.16</v>
      </c>
      <c r="W951" s="19">
        <v>0.85770000000000002</v>
      </c>
      <c r="X951" s="6">
        <v>19.36</v>
      </c>
      <c r="Y951" s="21">
        <v>-294171.42433326598</v>
      </c>
      <c r="Z951" s="6">
        <v>-6403</v>
      </c>
      <c r="AA951" s="6">
        <v>-3.07017514475015</v>
      </c>
    </row>
    <row r="952" spans="1:27" x14ac:dyDescent="0.25">
      <c r="A952" s="7" t="str">
        <f t="shared" si="14"/>
        <v>3524Providence St Peter Hospital341233076490, INTERVENTIONAL RADIOLOGY</v>
      </c>
      <c r="B952" s="7"/>
      <c r="C952" s="29" t="s">
        <v>185</v>
      </c>
      <c r="D952" s="29" t="s">
        <v>200</v>
      </c>
      <c r="E952" s="29" t="s">
        <v>186</v>
      </c>
      <c r="F952" s="29">
        <v>3524</v>
      </c>
      <c r="G952" s="4" t="s">
        <v>201</v>
      </c>
      <c r="H952" s="5">
        <v>3412</v>
      </c>
      <c r="I952" s="4" t="s">
        <v>118</v>
      </c>
      <c r="J952" s="4" t="s">
        <v>57</v>
      </c>
      <c r="K952" s="4" t="s">
        <v>222</v>
      </c>
      <c r="L952" s="4" t="s">
        <v>99</v>
      </c>
      <c r="M952" s="6">
        <v>103172.82</v>
      </c>
      <c r="N952" s="6">
        <v>102766.76</v>
      </c>
      <c r="O952" s="19">
        <v>0.57889999999999997</v>
      </c>
      <c r="P952" s="6">
        <v>0.12</v>
      </c>
      <c r="Q952" s="6">
        <v>0.11</v>
      </c>
      <c r="R952" s="19">
        <v>0.1053</v>
      </c>
      <c r="S952" s="20">
        <v>20</v>
      </c>
      <c r="T952" s="6">
        <v>0.12</v>
      </c>
      <c r="U952" s="6">
        <v>0.13</v>
      </c>
      <c r="V952" s="6">
        <v>0.16</v>
      </c>
      <c r="W952" s="19">
        <v>0.88219999999999998</v>
      </c>
      <c r="X952" s="6">
        <v>5.92</v>
      </c>
      <c r="Y952" s="21">
        <v>-133458.89843682299</v>
      </c>
      <c r="Z952" s="6">
        <v>-2796</v>
      </c>
      <c r="AA952" s="6">
        <v>-1.3406770850684999</v>
      </c>
    </row>
    <row r="953" spans="1:27" x14ac:dyDescent="0.25">
      <c r="A953" s="7" t="str">
        <f t="shared" si="14"/>
        <v>3524Providence St Peter Hospital487233078004, PT/ST/OT OP NEURO</v>
      </c>
      <c r="B953" s="7"/>
      <c r="C953" s="29" t="s">
        <v>185</v>
      </c>
      <c r="D953" s="29" t="s">
        <v>200</v>
      </c>
      <c r="E953" s="29" t="s">
        <v>186</v>
      </c>
      <c r="F953" s="29">
        <v>3524</v>
      </c>
      <c r="G953" s="4" t="s">
        <v>201</v>
      </c>
      <c r="H953" s="5">
        <v>4872</v>
      </c>
      <c r="I953" s="4" t="s">
        <v>197</v>
      </c>
      <c r="J953" s="4" t="s">
        <v>41</v>
      </c>
      <c r="K953" s="4" t="s">
        <v>235</v>
      </c>
      <c r="L953" s="4" t="s">
        <v>79</v>
      </c>
      <c r="M953" s="6">
        <v>371.43</v>
      </c>
      <c r="N953" s="6">
        <v>377.47</v>
      </c>
      <c r="O953" s="19">
        <v>0.15790000000000001</v>
      </c>
      <c r="P953" s="6">
        <v>26.64</v>
      </c>
      <c r="Q953" s="6">
        <v>28.09</v>
      </c>
      <c r="R953" s="19">
        <v>0.52629999999999999</v>
      </c>
      <c r="S953" s="20">
        <v>20</v>
      </c>
      <c r="T953" s="6">
        <v>23.65</v>
      </c>
      <c r="U953" s="6">
        <v>25.83</v>
      </c>
      <c r="V953" s="6">
        <v>27.97</v>
      </c>
      <c r="W953" s="19">
        <v>0.85540000000000005</v>
      </c>
      <c r="X953" s="6">
        <v>5.96</v>
      </c>
      <c r="Y953" s="21">
        <v>46620.293141090398</v>
      </c>
      <c r="Z953" s="6">
        <v>1033</v>
      </c>
      <c r="AA953" s="6">
        <v>0.49505544379163002</v>
      </c>
    </row>
    <row r="954" spans="1:27" x14ac:dyDescent="0.25">
      <c r="A954" s="7" t="str">
        <f t="shared" si="14"/>
        <v>3524Providence St Peter Hospital466533085601, PREADMIT SURGERY</v>
      </c>
      <c r="B954" s="7"/>
      <c r="C954" s="29" t="s">
        <v>185</v>
      </c>
      <c r="D954" s="29" t="s">
        <v>200</v>
      </c>
      <c r="E954" s="29" t="s">
        <v>186</v>
      </c>
      <c r="F954" s="29">
        <v>3524</v>
      </c>
      <c r="G954" s="4" t="s">
        <v>201</v>
      </c>
      <c r="H954" s="5">
        <v>4665</v>
      </c>
      <c r="I954" s="4" t="s">
        <v>192</v>
      </c>
      <c r="J954" s="4" t="s">
        <v>83</v>
      </c>
      <c r="K954" s="4" t="s">
        <v>248</v>
      </c>
      <c r="L954" s="4" t="s">
        <v>77</v>
      </c>
      <c r="M954" s="39">
        <v>8777</v>
      </c>
      <c r="N954" s="39">
        <v>9575</v>
      </c>
      <c r="O954" s="38">
        <v>0.52629999999999999</v>
      </c>
      <c r="P954" s="39">
        <v>1.95</v>
      </c>
      <c r="Q954" s="39">
        <v>2.08</v>
      </c>
      <c r="R954" s="38">
        <v>0.66669999999999996</v>
      </c>
      <c r="S954" s="40">
        <v>20</v>
      </c>
      <c r="T954" s="39">
        <v>1.45</v>
      </c>
      <c r="U954" s="39">
        <v>1.63</v>
      </c>
      <c r="V954" s="39">
        <v>1.88</v>
      </c>
      <c r="W954" s="38">
        <v>0.88419999999999999</v>
      </c>
      <c r="X954" s="39">
        <v>10.83</v>
      </c>
      <c r="Y954" s="41">
        <v>208444.130705394</v>
      </c>
      <c r="Z954" s="39">
        <v>4937</v>
      </c>
      <c r="AA954" s="39">
        <v>2.3670059539980799</v>
      </c>
    </row>
    <row r="955" spans="1:27" x14ac:dyDescent="0.25">
      <c r="A955" s="7" t="str">
        <f t="shared" si="14"/>
        <v>3524Providence St Peter Hospital504033084601, BIOMED INSTRUMENT SERVICES</v>
      </c>
      <c r="B955" s="7"/>
      <c r="C955" s="29" t="s">
        <v>185</v>
      </c>
      <c r="D955" s="29" t="s">
        <v>200</v>
      </c>
      <c r="E955" s="29" t="s">
        <v>186</v>
      </c>
      <c r="F955" s="29">
        <v>3524</v>
      </c>
      <c r="G955" s="4" t="s">
        <v>201</v>
      </c>
      <c r="H955" s="5">
        <v>5040</v>
      </c>
      <c r="I955" s="4" t="s">
        <v>142</v>
      </c>
      <c r="J955" s="4" t="s">
        <v>62</v>
      </c>
      <c r="K955" s="4" t="s">
        <v>246</v>
      </c>
      <c r="L955" s="4" t="s">
        <v>143</v>
      </c>
      <c r="M955" s="39">
        <v>80.400000000000006</v>
      </c>
      <c r="N955" s="39">
        <v>85.62</v>
      </c>
      <c r="O955" s="38">
        <v>0.47370000000000001</v>
      </c>
      <c r="P955" s="39">
        <v>217.14</v>
      </c>
      <c r="Q955" s="39">
        <v>199.21</v>
      </c>
      <c r="R955" s="38">
        <v>0.70589999999999997</v>
      </c>
      <c r="S955" s="40">
        <v>20</v>
      </c>
      <c r="T955" s="39">
        <v>140.55000000000001</v>
      </c>
      <c r="U955" s="39">
        <v>146.28</v>
      </c>
      <c r="V955" s="39">
        <v>154.4</v>
      </c>
      <c r="W955" s="38">
        <v>0.83109999999999995</v>
      </c>
      <c r="X955" s="39">
        <v>9.8699999999999992</v>
      </c>
      <c r="Y955" s="41">
        <v>218959.937693382</v>
      </c>
      <c r="Z955" s="39">
        <v>5516</v>
      </c>
      <c r="AA955" s="39">
        <v>2.64471384734111</v>
      </c>
    </row>
    <row r="956" spans="1:27" x14ac:dyDescent="0.25">
      <c r="A956" s="7" t="str">
        <f t="shared" si="14"/>
        <v>3524Providence St Peter Hospital139033063400, PSYCHIATRIC I P ACUTE</v>
      </c>
      <c r="B956" s="7"/>
      <c r="C956" s="29" t="s">
        <v>185</v>
      </c>
      <c r="D956" s="29" t="s">
        <v>200</v>
      </c>
      <c r="E956" s="29" t="s">
        <v>186</v>
      </c>
      <c r="F956" s="29">
        <v>3524</v>
      </c>
      <c r="G956" s="4" t="s">
        <v>201</v>
      </c>
      <c r="H956" s="5">
        <v>1390</v>
      </c>
      <c r="I956" s="4" t="s">
        <v>174</v>
      </c>
      <c r="J956" s="4" t="s">
        <v>23</v>
      </c>
      <c r="K956" s="4" t="s">
        <v>208</v>
      </c>
      <c r="L956" s="4" t="s">
        <v>114</v>
      </c>
      <c r="M956" s="6">
        <v>5910</v>
      </c>
      <c r="N956" s="6">
        <v>5908</v>
      </c>
      <c r="O956" s="19">
        <v>0.55000000000000004</v>
      </c>
      <c r="P956" s="6">
        <v>7.19</v>
      </c>
      <c r="Q956" s="6">
        <v>7.53</v>
      </c>
      <c r="R956" s="19">
        <v>0</v>
      </c>
      <c r="S956" s="20">
        <v>21</v>
      </c>
      <c r="T956" s="6">
        <v>8.84</v>
      </c>
      <c r="U956" s="6">
        <v>9.36</v>
      </c>
      <c r="V956" s="6">
        <v>9.92</v>
      </c>
      <c r="W956" s="19">
        <v>0.88049999999999995</v>
      </c>
      <c r="X956" s="6">
        <v>24.3</v>
      </c>
      <c r="Y956" s="21">
        <v>-522282.97523020202</v>
      </c>
      <c r="Z956" s="6">
        <v>-12122</v>
      </c>
      <c r="AA956" s="6">
        <v>-5.8116902238239696</v>
      </c>
    </row>
    <row r="957" spans="1:27" x14ac:dyDescent="0.25">
      <c r="A957" s="7" t="str">
        <f t="shared" si="14"/>
        <v>3524Providence St Peter Hospital301133074200 33074230 33074702 Combined Surgery Services</v>
      </c>
      <c r="B957" s="7"/>
      <c r="C957" s="29" t="s">
        <v>185</v>
      </c>
      <c r="D957" s="29" t="s">
        <v>200</v>
      </c>
      <c r="E957" s="29" t="s">
        <v>186</v>
      </c>
      <c r="F957" s="29">
        <v>3524</v>
      </c>
      <c r="G957" s="4" t="s">
        <v>201</v>
      </c>
      <c r="H957" s="5">
        <v>3011</v>
      </c>
      <c r="I957" s="4" t="s">
        <v>87</v>
      </c>
      <c r="J957" s="4" t="s">
        <v>47</v>
      </c>
      <c r="K957" s="4" t="s">
        <v>271</v>
      </c>
      <c r="L957" s="4" t="s">
        <v>88</v>
      </c>
      <c r="M957" s="39">
        <v>8620.86</v>
      </c>
      <c r="N957" s="39">
        <v>9123.23</v>
      </c>
      <c r="O957" s="38">
        <v>0.5</v>
      </c>
      <c r="P957" s="39">
        <v>11.7</v>
      </c>
      <c r="Q957" s="39">
        <v>11</v>
      </c>
      <c r="R957" s="38">
        <v>0.35</v>
      </c>
      <c r="S957" s="40">
        <v>21</v>
      </c>
      <c r="T957" s="39">
        <v>10.36</v>
      </c>
      <c r="U957" s="39">
        <v>11</v>
      </c>
      <c r="V957" s="39">
        <v>11.31</v>
      </c>
      <c r="W957" s="38">
        <v>0.7863</v>
      </c>
      <c r="X957" s="39">
        <v>61.34</v>
      </c>
      <c r="Y957" s="41">
        <v>13067.1180597001</v>
      </c>
      <c r="Z957" s="39">
        <v>307</v>
      </c>
      <c r="AA957" s="39">
        <v>0.14707792178531801</v>
      </c>
    </row>
    <row r="958" spans="1:27" x14ac:dyDescent="0.25">
      <c r="A958" s="7" t="str">
        <f t="shared" si="14"/>
        <v>3524Providence St Peter Hospital121233061701, MEDICAL SURGICAL ACUTE</v>
      </c>
      <c r="B958" s="7"/>
      <c r="C958" s="29" t="s">
        <v>185</v>
      </c>
      <c r="D958" s="29" t="s">
        <v>200</v>
      </c>
      <c r="E958" s="29" t="s">
        <v>186</v>
      </c>
      <c r="F958" s="29">
        <v>3524</v>
      </c>
      <c r="G958" s="4" t="s">
        <v>201</v>
      </c>
      <c r="H958" s="5">
        <v>1212</v>
      </c>
      <c r="I958" s="4" t="s">
        <v>160</v>
      </c>
      <c r="J958" s="4" t="s">
        <v>23</v>
      </c>
      <c r="K958" s="4" t="s">
        <v>216</v>
      </c>
      <c r="L958" s="4" t="s">
        <v>74</v>
      </c>
      <c r="M958" s="6">
        <v>8106.25</v>
      </c>
      <c r="N958" s="6">
        <v>9245.3799999999992</v>
      </c>
      <c r="O958" s="19">
        <v>0.5</v>
      </c>
      <c r="P958" s="6">
        <v>10.78</v>
      </c>
      <c r="Q958" s="6">
        <v>10.87</v>
      </c>
      <c r="R958" s="19">
        <v>0.73680000000000001</v>
      </c>
      <c r="S958" s="20">
        <v>21</v>
      </c>
      <c r="T958" s="6">
        <v>9.9600000000000009</v>
      </c>
      <c r="U958" s="6">
        <v>10.4</v>
      </c>
      <c r="V958" s="6">
        <v>10.74</v>
      </c>
      <c r="W958" s="19">
        <v>0.88919999999999999</v>
      </c>
      <c r="X958" s="6">
        <v>54.36</v>
      </c>
      <c r="Y958" s="21">
        <v>209027.12808642301</v>
      </c>
      <c r="Z958" s="6">
        <v>5246</v>
      </c>
      <c r="AA958" s="6">
        <v>2.5150081913963298</v>
      </c>
    </row>
    <row r="959" spans="1:27" x14ac:dyDescent="0.25">
      <c r="A959" s="7" t="str">
        <f t="shared" si="14"/>
        <v>3524Providence St Peter Hospital4490Pharmacy Administration and Support (U,N)</v>
      </c>
      <c r="B959" s="7"/>
      <c r="C959" s="29" t="s">
        <v>185</v>
      </c>
      <c r="D959" s="29" t="s">
        <v>200</v>
      </c>
      <c r="E959" s="29" t="s">
        <v>186</v>
      </c>
      <c r="F959" s="29">
        <v>3524</v>
      </c>
      <c r="G959" s="4" t="s">
        <v>201</v>
      </c>
      <c r="H959" s="5">
        <v>4490</v>
      </c>
      <c r="I959" s="4" t="s">
        <v>36</v>
      </c>
      <c r="J959" s="4" t="s">
        <v>37</v>
      </c>
      <c r="K959" s="4" t="s">
        <v>38</v>
      </c>
      <c r="L959" s="4" t="s">
        <v>39</v>
      </c>
      <c r="M959" s="6">
        <v>43579.97</v>
      </c>
      <c r="N959" s="6">
        <v>46785.83</v>
      </c>
      <c r="O959" s="19">
        <v>0.5605</v>
      </c>
      <c r="P959" s="6">
        <v>0.64</v>
      </c>
      <c r="Q959" s="6">
        <v>0.36</v>
      </c>
      <c r="R959" s="19">
        <v>0.90529999999999999</v>
      </c>
      <c r="S959" s="20">
        <v>21</v>
      </c>
      <c r="T959" s="6">
        <v>0.17</v>
      </c>
      <c r="U959" s="6">
        <v>0.19</v>
      </c>
      <c r="V959" s="6">
        <v>0.22</v>
      </c>
      <c r="W959" s="19">
        <v>0.88049999999999995</v>
      </c>
      <c r="X959" s="6">
        <v>9.26</v>
      </c>
      <c r="Y959" s="21">
        <v>504923.65218295099</v>
      </c>
      <c r="Z959" s="6">
        <v>9218</v>
      </c>
      <c r="AA959" s="6">
        <v>4.4195388592562201</v>
      </c>
    </row>
    <row r="960" spans="1:27" x14ac:dyDescent="0.25">
      <c r="A960" s="7" t="str">
        <f t="shared" si="14"/>
        <v>3524Providence St Peter Hospital3099Surgical Services Administration (U,N)</v>
      </c>
      <c r="B960" s="7"/>
      <c r="C960" s="29" t="s">
        <v>185</v>
      </c>
      <c r="D960" s="29" t="s">
        <v>200</v>
      </c>
      <c r="E960" s="29" t="s">
        <v>186</v>
      </c>
      <c r="F960" s="29">
        <v>3524</v>
      </c>
      <c r="G960" s="4" t="s">
        <v>201</v>
      </c>
      <c r="H960" s="5">
        <v>3099</v>
      </c>
      <c r="I960" s="4" t="s">
        <v>46</v>
      </c>
      <c r="J960" s="4" t="s">
        <v>47</v>
      </c>
      <c r="K960" s="4" t="s">
        <v>48</v>
      </c>
      <c r="L960" s="4" t="s">
        <v>49</v>
      </c>
      <c r="M960" s="39">
        <v>8009</v>
      </c>
      <c r="N960" s="39">
        <v>8277</v>
      </c>
      <c r="O960" s="38">
        <v>0.42499999999999999</v>
      </c>
      <c r="P960" s="39">
        <v>1.35</v>
      </c>
      <c r="Q960" s="39">
        <v>1.21</v>
      </c>
      <c r="R960" s="38">
        <v>0.25369999999999998</v>
      </c>
      <c r="S960" s="40">
        <v>22</v>
      </c>
      <c r="T960" s="39">
        <v>1.2</v>
      </c>
      <c r="U960" s="39">
        <v>1.34</v>
      </c>
      <c r="V960" s="39">
        <v>1.6</v>
      </c>
      <c r="W960" s="38">
        <v>0.90069999999999995</v>
      </c>
      <c r="X960" s="39">
        <v>5.33</v>
      </c>
      <c r="Y960" s="41">
        <v>-52945.083019471604</v>
      </c>
      <c r="Z960" s="39">
        <v>-1197</v>
      </c>
      <c r="AA960" s="39">
        <v>-0.57399185508275996</v>
      </c>
    </row>
    <row r="961" spans="1:27" x14ac:dyDescent="0.25">
      <c r="A961" s="7" t="str">
        <f t="shared" si="14"/>
        <v>3524Providence St Peter Hospital302033074270, RECOVERY ROOM SERVICES</v>
      </c>
      <c r="B961" s="7"/>
      <c r="C961" s="29" t="s">
        <v>185</v>
      </c>
      <c r="D961" s="29" t="s">
        <v>200</v>
      </c>
      <c r="E961" s="29" t="s">
        <v>186</v>
      </c>
      <c r="F961" s="29">
        <v>3524</v>
      </c>
      <c r="G961" s="4" t="s">
        <v>201</v>
      </c>
      <c r="H961" s="5">
        <v>3020</v>
      </c>
      <c r="I961" s="4" t="s">
        <v>89</v>
      </c>
      <c r="J961" s="4" t="s">
        <v>47</v>
      </c>
      <c r="K961" s="4" t="s">
        <v>272</v>
      </c>
      <c r="L961" s="4" t="s">
        <v>90</v>
      </c>
      <c r="M961" s="6">
        <v>5836.15</v>
      </c>
      <c r="N961" s="6">
        <v>7432.61</v>
      </c>
      <c r="O961" s="7"/>
      <c r="P961" s="6">
        <v>4</v>
      </c>
      <c r="Q961" s="6">
        <v>2.99</v>
      </c>
      <c r="R961" s="19">
        <v>7.6100000000000001E-2</v>
      </c>
      <c r="S961" s="20">
        <v>23</v>
      </c>
      <c r="T961" s="6">
        <v>3.43</v>
      </c>
      <c r="U961" s="6">
        <v>3.51</v>
      </c>
      <c r="V961" s="6">
        <v>3.88</v>
      </c>
      <c r="W961" s="19">
        <v>0.86599999999999999</v>
      </c>
      <c r="X961" s="6">
        <v>12.33</v>
      </c>
      <c r="Y961" s="21">
        <v>-259560.95493170901</v>
      </c>
      <c r="Z961" s="6">
        <v>-4409</v>
      </c>
      <c r="AA961" s="6">
        <v>-2.1137089535571598</v>
      </c>
    </row>
    <row r="962" spans="1:27" x14ac:dyDescent="0.25">
      <c r="A962" s="7" t="str">
        <f t="shared" si="14"/>
        <v>3524Providence St Peter Hospital346033076500, NUCLEAR MEDICINE</v>
      </c>
      <c r="B962" s="7"/>
      <c r="C962" s="29" t="s">
        <v>185</v>
      </c>
      <c r="D962" s="29" t="s">
        <v>200</v>
      </c>
      <c r="E962" s="29" t="s">
        <v>186</v>
      </c>
      <c r="F962" s="29">
        <v>3524</v>
      </c>
      <c r="G962" s="4" t="s">
        <v>201</v>
      </c>
      <c r="H962" s="5">
        <v>3460</v>
      </c>
      <c r="I962" s="4" t="s">
        <v>120</v>
      </c>
      <c r="J962" s="4" t="s">
        <v>57</v>
      </c>
      <c r="K962" s="4" t="s">
        <v>223</v>
      </c>
      <c r="L962" s="4" t="s">
        <v>99</v>
      </c>
      <c r="M962" s="6">
        <v>32166.25</v>
      </c>
      <c r="N962" s="6">
        <v>32963.839999999997</v>
      </c>
      <c r="O962" s="19">
        <v>0.5</v>
      </c>
      <c r="P962" s="6">
        <v>0.19</v>
      </c>
      <c r="Q962" s="6">
        <v>0.22</v>
      </c>
      <c r="R962" s="19">
        <v>0.65</v>
      </c>
      <c r="S962" s="20">
        <v>23</v>
      </c>
      <c r="T962" s="6">
        <v>0.19</v>
      </c>
      <c r="U962" s="6">
        <v>0.21</v>
      </c>
      <c r="V962" s="6">
        <v>0.21</v>
      </c>
      <c r="W962" s="19">
        <v>0.86639999999999995</v>
      </c>
      <c r="X962" s="6">
        <v>4.07</v>
      </c>
      <c r="Y962" s="21">
        <v>21564.882108780799</v>
      </c>
      <c r="Z962" s="6">
        <v>499</v>
      </c>
      <c r="AA962" s="6">
        <v>0.23922356258691899</v>
      </c>
    </row>
    <row r="963" spans="1:27" x14ac:dyDescent="0.25">
      <c r="A963" s="7" t="str">
        <f t="shared" ref="A963:A1026" si="15">F963&amp;G963&amp;H963&amp;K963</f>
        <v>3524Providence St Peter Hospital553033084701, PBX OPERATIONS</v>
      </c>
      <c r="B963" s="7"/>
      <c r="C963" s="29" t="s">
        <v>185</v>
      </c>
      <c r="D963" s="29" t="s">
        <v>200</v>
      </c>
      <c r="E963" s="29" t="s">
        <v>186</v>
      </c>
      <c r="F963" s="29">
        <v>3524</v>
      </c>
      <c r="G963" s="4" t="s">
        <v>201</v>
      </c>
      <c r="H963" s="5">
        <v>5530</v>
      </c>
      <c r="I963" s="4" t="s">
        <v>144</v>
      </c>
      <c r="J963" s="4" t="s">
        <v>68</v>
      </c>
      <c r="K963" s="4" t="s">
        <v>247</v>
      </c>
      <c r="L963" s="4" t="s">
        <v>18</v>
      </c>
      <c r="M963" s="39">
        <v>27659.279999999999</v>
      </c>
      <c r="N963" s="39">
        <v>29059.52</v>
      </c>
      <c r="O963" s="38">
        <v>0.54549999999999998</v>
      </c>
      <c r="P963" s="39">
        <v>0.57999999999999996</v>
      </c>
      <c r="Q963" s="39">
        <v>0.55000000000000004</v>
      </c>
      <c r="R963" s="38">
        <v>0.38890000000000002</v>
      </c>
      <c r="S963" s="40">
        <v>23</v>
      </c>
      <c r="T963" s="39">
        <v>0.49</v>
      </c>
      <c r="U963" s="39">
        <v>0.52</v>
      </c>
      <c r="V963" s="39">
        <v>0.57999999999999996</v>
      </c>
      <c r="W963" s="38">
        <v>0.86080000000000001</v>
      </c>
      <c r="X963" s="39">
        <v>8.9499999999999993</v>
      </c>
      <c r="Y963" s="41">
        <v>22121.729193502801</v>
      </c>
      <c r="Z963" s="39">
        <v>1112</v>
      </c>
      <c r="AA963" s="39">
        <v>0.53338075901166304</v>
      </c>
    </row>
    <row r="964" spans="1:27" x14ac:dyDescent="0.25">
      <c r="A964" s="7" t="str">
        <f t="shared" si="15"/>
        <v>3524Providence St Peter Hospital511133078700, Clinical Nutrition Services</v>
      </c>
      <c r="B964" s="7"/>
      <c r="C964" s="29" t="s">
        <v>185</v>
      </c>
      <c r="D964" s="29" t="s">
        <v>200</v>
      </c>
      <c r="E964" s="29" t="s">
        <v>186</v>
      </c>
      <c r="F964" s="29">
        <v>3524</v>
      </c>
      <c r="G964" s="4" t="s">
        <v>201</v>
      </c>
      <c r="H964" s="5">
        <v>5111</v>
      </c>
      <c r="I964" s="4" t="s">
        <v>64</v>
      </c>
      <c r="J964" s="4" t="s">
        <v>65</v>
      </c>
      <c r="K964" s="4" t="s">
        <v>236</v>
      </c>
      <c r="L964" s="4" t="s">
        <v>67</v>
      </c>
      <c r="M964" s="39">
        <v>13807</v>
      </c>
      <c r="N964" s="39">
        <v>15351</v>
      </c>
      <c r="O964" s="38">
        <v>0.4783</v>
      </c>
      <c r="P964" s="39">
        <v>0.62</v>
      </c>
      <c r="Q964" s="39">
        <v>0.76</v>
      </c>
      <c r="R964" s="38">
        <v>0.95240000000000002</v>
      </c>
      <c r="S964" s="40">
        <v>24</v>
      </c>
      <c r="T964" s="39">
        <v>0.44</v>
      </c>
      <c r="U964" s="39">
        <v>0.44</v>
      </c>
      <c r="V964" s="39">
        <v>0.47</v>
      </c>
      <c r="W964" s="38">
        <v>0.93679999999999997</v>
      </c>
      <c r="X964" s="39">
        <v>5.95</v>
      </c>
      <c r="Y964" s="41">
        <v>159575.60416439199</v>
      </c>
      <c r="Z964" s="39">
        <v>5200</v>
      </c>
      <c r="AA964" s="39">
        <v>2.4930696859878698</v>
      </c>
    </row>
    <row r="965" spans="1:27" x14ac:dyDescent="0.25">
      <c r="A965" s="7" t="str">
        <f t="shared" si="15"/>
        <v>3524Providence St Peter Hospital500133084500, 33084602 Plant Operation/Grounds Maintenance</v>
      </c>
      <c r="B965" s="7"/>
      <c r="C965" s="29" t="s">
        <v>185</v>
      </c>
      <c r="D965" s="29" t="s">
        <v>200</v>
      </c>
      <c r="E965" s="29" t="s">
        <v>186</v>
      </c>
      <c r="F965" s="29">
        <v>3524</v>
      </c>
      <c r="G965" s="4" t="s">
        <v>201</v>
      </c>
      <c r="H965" s="5">
        <v>5001</v>
      </c>
      <c r="I965" s="4" t="s">
        <v>141</v>
      </c>
      <c r="J965" s="4" t="s">
        <v>62</v>
      </c>
      <c r="K965" s="4" t="s">
        <v>245</v>
      </c>
      <c r="L965" s="4" t="s">
        <v>63</v>
      </c>
      <c r="M965" s="6">
        <v>1018.79</v>
      </c>
      <c r="N965" s="6">
        <v>1018.79</v>
      </c>
      <c r="O965" s="19">
        <v>0.52170000000000005</v>
      </c>
      <c r="P965" s="6">
        <v>29.37</v>
      </c>
      <c r="Q965" s="6">
        <v>28.33</v>
      </c>
      <c r="R965" s="19">
        <v>0.2</v>
      </c>
      <c r="S965" s="20">
        <v>24</v>
      </c>
      <c r="T965" s="6">
        <v>28.57</v>
      </c>
      <c r="U965" s="6">
        <v>29.9</v>
      </c>
      <c r="V965" s="6">
        <v>30.66</v>
      </c>
      <c r="W965" s="19">
        <v>0.8911</v>
      </c>
      <c r="X965" s="6">
        <v>15.57</v>
      </c>
      <c r="Y965" s="21">
        <v>-60709.550174207099</v>
      </c>
      <c r="Z965" s="6">
        <v>-1710</v>
      </c>
      <c r="AA965" s="6">
        <v>-0.81994804853095005</v>
      </c>
    </row>
    <row r="966" spans="1:27" x14ac:dyDescent="0.25">
      <c r="A966" s="7" t="str">
        <f t="shared" si="15"/>
        <v>3524Providence St Peter Hospital303033074271, SHORT STAY RECOVERY</v>
      </c>
      <c r="B966" s="7"/>
      <c r="C966" s="29" t="s">
        <v>185</v>
      </c>
      <c r="D966" s="29" t="s">
        <v>200</v>
      </c>
      <c r="E966" s="29" t="s">
        <v>186</v>
      </c>
      <c r="F966" s="29">
        <v>3524</v>
      </c>
      <c r="G966" s="4" t="s">
        <v>201</v>
      </c>
      <c r="H966" s="5">
        <v>3030</v>
      </c>
      <c r="I966" s="4" t="s">
        <v>80</v>
      </c>
      <c r="J966" s="4" t="s">
        <v>47</v>
      </c>
      <c r="K966" s="4" t="s">
        <v>273</v>
      </c>
      <c r="L966" s="4" t="s">
        <v>81</v>
      </c>
      <c r="M966" s="39">
        <v>23886.66</v>
      </c>
      <c r="N966" s="39">
        <v>5498.53</v>
      </c>
      <c r="O966" s="38">
        <v>0.4783</v>
      </c>
      <c r="P966" s="39">
        <v>2.16</v>
      </c>
      <c r="Q966" s="39">
        <v>9.7899999999999991</v>
      </c>
      <c r="R966" s="38">
        <v>1</v>
      </c>
      <c r="S966" s="40">
        <v>24</v>
      </c>
      <c r="T966" s="39">
        <v>2.39</v>
      </c>
      <c r="U966" s="39">
        <v>2.73</v>
      </c>
      <c r="V966" s="39">
        <v>3.31</v>
      </c>
      <c r="W966" s="38">
        <v>0.83819999999999995</v>
      </c>
      <c r="X966" s="39">
        <v>30.87</v>
      </c>
      <c r="Y966" s="41">
        <v>2234125.7689831299</v>
      </c>
      <c r="Z966" s="39">
        <v>46477</v>
      </c>
      <c r="AA966" s="39">
        <v>22.283627047376399</v>
      </c>
    </row>
    <row r="967" spans="1:27" x14ac:dyDescent="0.25">
      <c r="A967" s="7" t="str">
        <f t="shared" si="15"/>
        <v>3524Providence St Peter Hospital1830Centralized Telemetry (U,N)</v>
      </c>
      <c r="B967" s="7"/>
      <c r="C967" s="29" t="s">
        <v>185</v>
      </c>
      <c r="D967" s="29" t="s">
        <v>200</v>
      </c>
      <c r="E967" s="29" t="s">
        <v>186</v>
      </c>
      <c r="F967" s="29">
        <v>3524</v>
      </c>
      <c r="G967" s="4" t="s">
        <v>201</v>
      </c>
      <c r="H967" s="5">
        <v>1830</v>
      </c>
      <c r="I967" s="4" t="s">
        <v>22</v>
      </c>
      <c r="J967" s="4" t="s">
        <v>23</v>
      </c>
      <c r="K967" s="4" t="s">
        <v>255</v>
      </c>
      <c r="L967" s="4" t="s">
        <v>24</v>
      </c>
      <c r="M967" s="39">
        <v>29183</v>
      </c>
      <c r="N967" s="39">
        <v>24340</v>
      </c>
      <c r="O967" s="38">
        <v>0.4849</v>
      </c>
      <c r="P967" s="39">
        <v>0.89</v>
      </c>
      <c r="Q967" s="39">
        <v>1.54</v>
      </c>
      <c r="R967" s="7"/>
      <c r="S967" s="40">
        <v>25</v>
      </c>
      <c r="T967" s="39">
        <v>0.71</v>
      </c>
      <c r="U967" s="39">
        <v>0.74</v>
      </c>
      <c r="V967" s="39">
        <v>0.78</v>
      </c>
      <c r="W967" s="38">
        <v>0.89649999999999996</v>
      </c>
      <c r="X967" s="39">
        <v>20.11</v>
      </c>
      <c r="Y967" s="41">
        <v>459199.56674124702</v>
      </c>
      <c r="Z967" s="39">
        <v>21853</v>
      </c>
      <c r="AA967" s="39">
        <v>10.477252895523799</v>
      </c>
    </row>
    <row r="968" spans="1:27" x14ac:dyDescent="0.25">
      <c r="A968" s="7" t="str">
        <f t="shared" si="15"/>
        <v>3524Providence St Peter Hospital521133084400, ENVIRONMENTAL SERVICES</v>
      </c>
      <c r="B968" s="7"/>
      <c r="C968" s="29" t="s">
        <v>185</v>
      </c>
      <c r="D968" s="29" t="s">
        <v>200</v>
      </c>
      <c r="E968" s="29" t="s">
        <v>186</v>
      </c>
      <c r="F968" s="29">
        <v>3524</v>
      </c>
      <c r="G968" s="4" t="s">
        <v>201</v>
      </c>
      <c r="H968" s="5">
        <v>5211</v>
      </c>
      <c r="I968" s="4" t="s">
        <v>50</v>
      </c>
      <c r="J968" s="4" t="s">
        <v>50</v>
      </c>
      <c r="K968" s="4" t="s">
        <v>244</v>
      </c>
      <c r="L968" s="4" t="s">
        <v>51</v>
      </c>
      <c r="M968" s="39">
        <v>873.55</v>
      </c>
      <c r="N968" s="39">
        <v>873.55</v>
      </c>
      <c r="O968" s="38">
        <v>0.55559999999999998</v>
      </c>
      <c r="P968" s="39">
        <v>173.1</v>
      </c>
      <c r="Q968" s="39">
        <v>178.11</v>
      </c>
      <c r="R968" s="38">
        <v>0.44440000000000002</v>
      </c>
      <c r="S968" s="40">
        <v>28</v>
      </c>
      <c r="T968" s="39">
        <v>166.46</v>
      </c>
      <c r="U968" s="39">
        <v>174.23</v>
      </c>
      <c r="V968" s="39">
        <v>182.18</v>
      </c>
      <c r="W968" s="38">
        <v>0.89380000000000004</v>
      </c>
      <c r="X968" s="39">
        <v>83.69</v>
      </c>
      <c r="Y968" s="41">
        <v>78062.343691712798</v>
      </c>
      <c r="Z968" s="39">
        <v>4270</v>
      </c>
      <c r="AA968" s="39">
        <v>2.0470829838489402</v>
      </c>
    </row>
    <row r="969" spans="1:27" x14ac:dyDescent="0.25">
      <c r="A969" s="7" t="str">
        <f t="shared" si="15"/>
        <v>3524Providence St Peter Hospital111133060101, IMCU Med/Surg/Cardiac Intermediate Unit</v>
      </c>
      <c r="B969" s="7"/>
      <c r="C969" s="29" t="s">
        <v>185</v>
      </c>
      <c r="D969" s="29" t="s">
        <v>200</v>
      </c>
      <c r="E969" s="29" t="s">
        <v>186</v>
      </c>
      <c r="F969" s="29">
        <v>3524</v>
      </c>
      <c r="G969" s="4" t="s">
        <v>201</v>
      </c>
      <c r="H969" s="5">
        <v>1111</v>
      </c>
      <c r="I969" s="4" t="s">
        <v>146</v>
      </c>
      <c r="J969" s="4" t="s">
        <v>23</v>
      </c>
      <c r="K969" s="4" t="s">
        <v>212</v>
      </c>
      <c r="L969" s="4" t="s">
        <v>74</v>
      </c>
      <c r="M969" s="6">
        <v>9397.4699999999993</v>
      </c>
      <c r="N969" s="6">
        <v>9740.73</v>
      </c>
      <c r="O969" s="19">
        <v>0.53569999999999995</v>
      </c>
      <c r="P969" s="6">
        <v>11.23</v>
      </c>
      <c r="Q969" s="6">
        <v>10.34</v>
      </c>
      <c r="R969" s="19">
        <v>0.1852</v>
      </c>
      <c r="S969" s="20">
        <v>29</v>
      </c>
      <c r="T969" s="6">
        <v>10.71</v>
      </c>
      <c r="U969" s="6">
        <v>11.23</v>
      </c>
      <c r="V969" s="6">
        <v>12.24</v>
      </c>
      <c r="W969" s="19">
        <v>0.8528</v>
      </c>
      <c r="X969" s="6">
        <v>56.78</v>
      </c>
      <c r="Y969" s="21">
        <v>-407021.65225228498</v>
      </c>
      <c r="Z969" s="6">
        <v>-9844</v>
      </c>
      <c r="AA969" s="6">
        <v>-4.7195911923604497</v>
      </c>
    </row>
    <row r="970" spans="1:27" x14ac:dyDescent="0.25">
      <c r="A970" s="7" t="str">
        <f t="shared" si="15"/>
        <v>3524Providence St Peter Hospital5099Facilities Administration and Support (U,N)</v>
      </c>
      <c r="B970" s="7"/>
      <c r="C970" s="29" t="s">
        <v>185</v>
      </c>
      <c r="D970" s="29" t="s">
        <v>200</v>
      </c>
      <c r="E970" s="29" t="s">
        <v>186</v>
      </c>
      <c r="F970" s="29">
        <v>3524</v>
      </c>
      <c r="G970" s="4" t="s">
        <v>201</v>
      </c>
      <c r="H970" s="5">
        <v>5099</v>
      </c>
      <c r="I970" s="4" t="s">
        <v>61</v>
      </c>
      <c r="J970" s="4" t="s">
        <v>62</v>
      </c>
      <c r="K970" s="4" t="s">
        <v>262</v>
      </c>
      <c r="L970" s="4" t="s">
        <v>63</v>
      </c>
      <c r="M970" s="6">
        <v>1018.79</v>
      </c>
      <c r="N970" s="6">
        <v>1018.79</v>
      </c>
      <c r="O970" s="19">
        <v>0.52539999999999998</v>
      </c>
      <c r="P970" s="6">
        <v>6.42</v>
      </c>
      <c r="Q970" s="6">
        <v>5.68</v>
      </c>
      <c r="R970" s="19">
        <v>0.93130000000000002</v>
      </c>
      <c r="S970" s="20">
        <v>29</v>
      </c>
      <c r="T970" s="6">
        <v>2.08</v>
      </c>
      <c r="U970" s="6">
        <v>2.42</v>
      </c>
      <c r="V970" s="6">
        <v>2.71</v>
      </c>
      <c r="W970" s="19">
        <v>0.85450000000000004</v>
      </c>
      <c r="X970" s="6">
        <v>3.26</v>
      </c>
      <c r="Y970" s="21">
        <v>116745.79409002099</v>
      </c>
      <c r="Z970" s="6">
        <v>3914</v>
      </c>
      <c r="AA970" s="6">
        <v>1.8766370778103301</v>
      </c>
    </row>
    <row r="971" spans="1:27" x14ac:dyDescent="0.25">
      <c r="A971" s="7" t="str">
        <f t="shared" si="15"/>
        <v>3535Providence St Vincent Medical Center584053083600, CARE MANAGEMENT</v>
      </c>
      <c r="B971" s="7"/>
      <c r="C971" s="29" t="s">
        <v>1249</v>
      </c>
      <c r="D971" s="29" t="s">
        <v>1249</v>
      </c>
      <c r="E971" s="29" t="s">
        <v>1249</v>
      </c>
      <c r="F971" s="148">
        <v>3535</v>
      </c>
      <c r="G971" s="43" t="s">
        <v>1480</v>
      </c>
      <c r="H971" s="42">
        <v>5840</v>
      </c>
      <c r="I971" s="43" t="s">
        <v>1091</v>
      </c>
      <c r="J971" s="43" t="s">
        <v>26</v>
      </c>
      <c r="K971" s="43" t="s">
        <v>1485</v>
      </c>
      <c r="L971" s="43" t="s">
        <v>1093</v>
      </c>
      <c r="M971" s="71"/>
      <c r="N971" s="46">
        <v>62943</v>
      </c>
      <c r="O971" s="45">
        <v>0.63639999999999997</v>
      </c>
      <c r="P971" s="71"/>
      <c r="Q971" s="46">
        <v>0.71</v>
      </c>
      <c r="R971" s="45">
        <v>0</v>
      </c>
      <c r="S971" s="47">
        <v>8</v>
      </c>
      <c r="T971" s="46">
        <v>1.04</v>
      </c>
      <c r="U971" s="46">
        <v>1.17</v>
      </c>
      <c r="V971" s="46">
        <v>1.26</v>
      </c>
      <c r="W971" s="45">
        <v>0.91080000000000005</v>
      </c>
      <c r="X971" s="46">
        <v>23.51</v>
      </c>
      <c r="Y971" s="48">
        <f>+Z971*44.45</f>
        <v>-1413038.5606060605</v>
      </c>
      <c r="Z971" s="46">
        <f>((Q971-U971)*N971)/W971</f>
        <v>-31789.393939393936</v>
      </c>
      <c r="AA971" s="46">
        <f>Z971/2085.7</f>
        <v>-15.241594639398734</v>
      </c>
    </row>
    <row r="972" spans="1:27" x14ac:dyDescent="0.25">
      <c r="A972" s="7" t="str">
        <f t="shared" si="15"/>
        <v>3535Providence St Vincent Medical Center413053077200, RESPIRATORY THERAPY</v>
      </c>
      <c r="B972" s="7"/>
      <c r="C972" s="29" t="s">
        <v>1249</v>
      </c>
      <c r="D972" s="29" t="s">
        <v>1249</v>
      </c>
      <c r="E972" s="29" t="s">
        <v>1249</v>
      </c>
      <c r="F972" s="29">
        <v>3535</v>
      </c>
      <c r="G972" s="4" t="s">
        <v>1480</v>
      </c>
      <c r="H972" s="5">
        <v>4130</v>
      </c>
      <c r="I972" s="4" t="s">
        <v>184</v>
      </c>
      <c r="J972" s="4" t="s">
        <v>44</v>
      </c>
      <c r="K972" s="4" t="s">
        <v>1483</v>
      </c>
      <c r="L972" s="4" t="s">
        <v>45</v>
      </c>
      <c r="M972" s="39">
        <v>44072.36</v>
      </c>
      <c r="N972" s="39">
        <v>46649.279999999999</v>
      </c>
      <c r="O972" s="38">
        <v>0.71430000000000005</v>
      </c>
      <c r="P972" s="39">
        <v>1.46</v>
      </c>
      <c r="Q972" s="39">
        <v>1.41</v>
      </c>
      <c r="R972" s="38">
        <v>0.1429</v>
      </c>
      <c r="S972" s="40">
        <v>8</v>
      </c>
      <c r="T972" s="39">
        <v>1.53</v>
      </c>
      <c r="U972" s="39">
        <v>1.74</v>
      </c>
      <c r="V972" s="39">
        <v>2.09</v>
      </c>
      <c r="W972" s="38">
        <v>0.89459999999999995</v>
      </c>
      <c r="X972" s="39">
        <v>35.270000000000003</v>
      </c>
      <c r="Y972" s="41">
        <v>-616562.31552657101</v>
      </c>
      <c r="Z972" s="39">
        <v>-17170</v>
      </c>
      <c r="AA972" s="39">
        <v>-8.2324241435572301</v>
      </c>
    </row>
    <row r="973" spans="1:27" x14ac:dyDescent="0.25">
      <c r="A973" s="7" t="str">
        <f t="shared" si="15"/>
        <v>3535Providence St Vincent Medical Center481153077700, PHYSICAL THERAPY</v>
      </c>
      <c r="B973" s="7"/>
      <c r="C973" s="29" t="s">
        <v>1249</v>
      </c>
      <c r="D973" s="29" t="s">
        <v>1249</v>
      </c>
      <c r="E973" s="29" t="s">
        <v>1249</v>
      </c>
      <c r="F973" s="29">
        <v>3535</v>
      </c>
      <c r="G973" s="4" t="s">
        <v>1480</v>
      </c>
      <c r="H973" s="5">
        <v>4811</v>
      </c>
      <c r="I973" s="4" t="s">
        <v>124</v>
      </c>
      <c r="J973" s="4" t="s">
        <v>41</v>
      </c>
      <c r="K973" s="4" t="s">
        <v>1484</v>
      </c>
      <c r="L973" s="4" t="s">
        <v>79</v>
      </c>
      <c r="M973" s="39">
        <v>1880.66</v>
      </c>
      <c r="N973" s="39">
        <v>2275.88</v>
      </c>
      <c r="O973" s="38">
        <v>1</v>
      </c>
      <c r="P973" s="39">
        <v>20.96</v>
      </c>
      <c r="Q973" s="39">
        <v>18.66</v>
      </c>
      <c r="R973" s="38">
        <v>0</v>
      </c>
      <c r="S973" s="40">
        <v>8</v>
      </c>
      <c r="T973" s="39">
        <v>21.68</v>
      </c>
      <c r="U973" s="39">
        <v>22.62</v>
      </c>
      <c r="V973" s="39">
        <v>23.98</v>
      </c>
      <c r="W973" s="38">
        <v>0.90229999999999999</v>
      </c>
      <c r="X973" s="39">
        <v>22.63</v>
      </c>
      <c r="Y973" s="41">
        <v>-359180.71669527201</v>
      </c>
      <c r="Z973" s="39">
        <v>-9855</v>
      </c>
      <c r="AA973" s="39">
        <v>-4.72515383483689</v>
      </c>
    </row>
    <row r="974" spans="1:27" x14ac:dyDescent="0.25">
      <c r="A974" s="7" t="str">
        <f t="shared" si="15"/>
        <v>3535Providence St Vincent Medical Center139053063400, MENTAL HEALTH-ADULT - 5E</v>
      </c>
      <c r="B974" s="7"/>
      <c r="C974" s="29" t="s">
        <v>1249</v>
      </c>
      <c r="D974" s="29" t="s">
        <v>1249</v>
      </c>
      <c r="E974" s="29" t="s">
        <v>1249</v>
      </c>
      <c r="F974" s="29">
        <v>3535</v>
      </c>
      <c r="G974" s="4" t="s">
        <v>1480</v>
      </c>
      <c r="H974" s="5">
        <v>1390</v>
      </c>
      <c r="I974" s="4" t="s">
        <v>174</v>
      </c>
      <c r="J974" s="4" t="s">
        <v>23</v>
      </c>
      <c r="K974" s="4" t="s">
        <v>1482</v>
      </c>
      <c r="L974" s="4" t="s">
        <v>114</v>
      </c>
      <c r="M974" s="39">
        <v>11473</v>
      </c>
      <c r="N974" s="39">
        <v>11476</v>
      </c>
      <c r="O974" s="38">
        <v>0.71430000000000005</v>
      </c>
      <c r="P974" s="39">
        <v>9.32</v>
      </c>
      <c r="Q974" s="39">
        <v>9.67</v>
      </c>
      <c r="R974" s="38">
        <v>0.25</v>
      </c>
      <c r="S974" s="40">
        <v>8</v>
      </c>
      <c r="T974" s="39">
        <v>9.67</v>
      </c>
      <c r="U974" s="39">
        <v>10.37</v>
      </c>
      <c r="V974" s="39">
        <v>11.31</v>
      </c>
      <c r="W974" s="38">
        <v>0.90080000000000005</v>
      </c>
      <c r="X974" s="39">
        <v>59.25</v>
      </c>
      <c r="Y974" s="41">
        <v>-357894.122966939</v>
      </c>
      <c r="Z974" s="39">
        <v>-8534</v>
      </c>
      <c r="AA974" s="39">
        <v>-4.0916069895220799</v>
      </c>
    </row>
    <row r="975" spans="1:27" x14ac:dyDescent="0.25">
      <c r="A975" s="7" t="str">
        <f t="shared" si="15"/>
        <v>3535Providence St Vincent Medical Center106053060500, PICU</v>
      </c>
      <c r="B975" s="7"/>
      <c r="C975" s="29" t="s">
        <v>1249</v>
      </c>
      <c r="D975" s="29" t="s">
        <v>1249</v>
      </c>
      <c r="E975" s="29" t="s">
        <v>1249</v>
      </c>
      <c r="F975" s="29">
        <v>3535</v>
      </c>
      <c r="G975" s="4" t="s">
        <v>1480</v>
      </c>
      <c r="H975" s="5">
        <v>1060</v>
      </c>
      <c r="I975" s="4" t="s">
        <v>159</v>
      </c>
      <c r="J975" s="4" t="s">
        <v>23</v>
      </c>
      <c r="K975" s="4" t="s">
        <v>1481</v>
      </c>
      <c r="L975" s="4" t="s">
        <v>74</v>
      </c>
      <c r="M975" s="39">
        <v>387.62</v>
      </c>
      <c r="N975" s="39">
        <v>452</v>
      </c>
      <c r="O975" s="38">
        <v>0.28570000000000001</v>
      </c>
      <c r="P975" s="39">
        <v>45.2</v>
      </c>
      <c r="Q975" s="39">
        <v>56.08</v>
      </c>
      <c r="R975" s="38">
        <v>1</v>
      </c>
      <c r="S975" s="40">
        <v>8</v>
      </c>
      <c r="T975" s="39">
        <v>22.96</v>
      </c>
      <c r="U975" s="39">
        <v>24.53</v>
      </c>
      <c r="V975" s="39">
        <v>33.880000000000003</v>
      </c>
      <c r="W975" s="38">
        <v>0.88729999999999998</v>
      </c>
      <c r="X975" s="39">
        <v>13.73</v>
      </c>
      <c r="Y975" s="41">
        <v>776922.77233453596</v>
      </c>
      <c r="Z975" s="39">
        <v>16141</v>
      </c>
      <c r="AA975" s="39">
        <v>7.7388021688867097</v>
      </c>
    </row>
    <row r="976" spans="1:27" x14ac:dyDescent="0.25">
      <c r="A976" s="7" t="str">
        <f t="shared" si="15"/>
        <v>3535Providence St Vincent Medical Center487253070822, PROVIDENCE PARK REHAB</v>
      </c>
      <c r="B976" s="7"/>
      <c r="C976" s="29" t="s">
        <v>1249</v>
      </c>
      <c r="D976" s="29" t="s">
        <v>1249</v>
      </c>
      <c r="E976" s="29" t="s">
        <v>1249</v>
      </c>
      <c r="F976" s="29">
        <v>3535</v>
      </c>
      <c r="G976" s="4" t="s">
        <v>1480</v>
      </c>
      <c r="H976" s="5">
        <v>4872</v>
      </c>
      <c r="I976" s="4" t="s">
        <v>197</v>
      </c>
      <c r="J976" s="4" t="s">
        <v>41</v>
      </c>
      <c r="K976" s="4" t="s">
        <v>1491</v>
      </c>
      <c r="L976" s="4" t="s">
        <v>79</v>
      </c>
      <c r="M976" s="39">
        <v>693.3</v>
      </c>
      <c r="N976" s="39">
        <v>1108.54</v>
      </c>
      <c r="O976" s="38">
        <v>0.625</v>
      </c>
      <c r="P976" s="39">
        <v>22.85</v>
      </c>
      <c r="Q976" s="39">
        <v>19.579999999999998</v>
      </c>
      <c r="R976" s="38">
        <v>0.125</v>
      </c>
      <c r="S976" s="40">
        <v>9</v>
      </c>
      <c r="T976" s="39">
        <v>21.11</v>
      </c>
      <c r="U976" s="39">
        <v>22.47</v>
      </c>
      <c r="V976" s="39">
        <v>23.32</v>
      </c>
      <c r="W976" s="38">
        <v>0.90349999999999997</v>
      </c>
      <c r="X976" s="39">
        <v>11.55</v>
      </c>
      <c r="Y976" s="41">
        <v>-120896.78797725101</v>
      </c>
      <c r="Z976" s="39">
        <v>-3480</v>
      </c>
      <c r="AA976" s="39">
        <v>-1.6682646534566099</v>
      </c>
    </row>
    <row r="977" spans="1:27" x14ac:dyDescent="0.25">
      <c r="A977" s="7" t="str">
        <f t="shared" si="15"/>
        <v>3535Providence St Vincent Medical Center127653061760, PERINATAL SPECIAL CARE UNIT - 3W</v>
      </c>
      <c r="B977" s="7"/>
      <c r="C977" s="29" t="s">
        <v>1249</v>
      </c>
      <c r="D977" s="29" t="s">
        <v>1249</v>
      </c>
      <c r="E977" s="29" t="s">
        <v>1249</v>
      </c>
      <c r="F977" s="29">
        <v>3535</v>
      </c>
      <c r="G977" s="4" t="s">
        <v>1480</v>
      </c>
      <c r="H977" s="5">
        <v>1276</v>
      </c>
      <c r="I977" s="4" t="s">
        <v>175</v>
      </c>
      <c r="J977" s="4" t="s">
        <v>23</v>
      </c>
      <c r="K977" s="4" t="s">
        <v>1486</v>
      </c>
      <c r="L977" s="4" t="s">
        <v>74</v>
      </c>
      <c r="M977" s="39">
        <v>5920.33</v>
      </c>
      <c r="N977" s="39">
        <v>6553</v>
      </c>
      <c r="O977" s="38">
        <v>0.875</v>
      </c>
      <c r="P977" s="39">
        <v>11.86</v>
      </c>
      <c r="Q977" s="39">
        <v>9.6300000000000008</v>
      </c>
      <c r="R977" s="38">
        <v>0.25</v>
      </c>
      <c r="S977" s="40">
        <v>9</v>
      </c>
      <c r="T977" s="39">
        <v>9.6300000000000008</v>
      </c>
      <c r="U977" s="39">
        <v>9.92</v>
      </c>
      <c r="V977" s="39">
        <v>9.99</v>
      </c>
      <c r="W977" s="38">
        <v>0.86470000000000002</v>
      </c>
      <c r="X977" s="39">
        <v>35.090000000000003</v>
      </c>
      <c r="Y977" s="41">
        <v>-99365.747695924001</v>
      </c>
      <c r="Z977" s="39">
        <v>-1990</v>
      </c>
      <c r="AA977" s="39">
        <v>-0.95412938653741697</v>
      </c>
    </row>
    <row r="978" spans="1:27" x14ac:dyDescent="0.25">
      <c r="A978" s="7" t="str">
        <f t="shared" si="15"/>
        <v>3535Providence St Vincent Medical Center487253078096, REHAB SERVICES-PEDIATRIC</v>
      </c>
      <c r="B978" s="7"/>
      <c r="C978" s="29" t="s">
        <v>1249</v>
      </c>
      <c r="D978" s="29" t="s">
        <v>1249</v>
      </c>
      <c r="E978" s="29" t="s">
        <v>1249</v>
      </c>
      <c r="F978" s="29">
        <v>3535</v>
      </c>
      <c r="G978" s="4" t="s">
        <v>1480</v>
      </c>
      <c r="H978" s="5">
        <v>4872</v>
      </c>
      <c r="I978" s="4" t="s">
        <v>197</v>
      </c>
      <c r="J978" s="4" t="s">
        <v>41</v>
      </c>
      <c r="K978" s="4" t="s">
        <v>1490</v>
      </c>
      <c r="L978" s="4" t="s">
        <v>79</v>
      </c>
      <c r="M978" s="39">
        <v>825.11</v>
      </c>
      <c r="N978" s="39">
        <v>125.16</v>
      </c>
      <c r="O978" s="38">
        <v>0.5</v>
      </c>
      <c r="P978" s="39">
        <v>24.09</v>
      </c>
      <c r="Q978" s="39">
        <v>47.36</v>
      </c>
      <c r="R978" s="38">
        <v>0.5</v>
      </c>
      <c r="S978" s="40">
        <v>9</v>
      </c>
      <c r="T978" s="39">
        <v>28.46</v>
      </c>
      <c r="U978" s="39">
        <v>43.57</v>
      </c>
      <c r="V978" s="39">
        <v>47.36</v>
      </c>
      <c r="W978" s="38">
        <v>0.90680000000000005</v>
      </c>
      <c r="X978" s="39">
        <v>3.14</v>
      </c>
      <c r="Y978" s="41">
        <v>17005.4583542816</v>
      </c>
      <c r="Z978" s="39">
        <v>535</v>
      </c>
      <c r="AA978" s="39">
        <v>0.25670046576537597</v>
      </c>
    </row>
    <row r="979" spans="1:27" x14ac:dyDescent="0.25">
      <c r="A979" s="7" t="str">
        <f t="shared" si="15"/>
        <v>3535Providence St Vincent Medical Center191053087200, NURSING SERVICE ADMIN</v>
      </c>
      <c r="B979" s="7"/>
      <c r="C979" s="29" t="s">
        <v>1249</v>
      </c>
      <c r="D979" s="29" t="s">
        <v>1249</v>
      </c>
      <c r="E979" s="29" t="s">
        <v>1249</v>
      </c>
      <c r="F979" s="29">
        <v>3535</v>
      </c>
      <c r="G979" s="4" t="s">
        <v>1480</v>
      </c>
      <c r="H979" s="5">
        <v>1910</v>
      </c>
      <c r="I979" s="4" t="s">
        <v>34</v>
      </c>
      <c r="J979" s="4" t="s">
        <v>23</v>
      </c>
      <c r="K979" s="4" t="s">
        <v>1487</v>
      </c>
      <c r="L979" s="4" t="s">
        <v>35</v>
      </c>
      <c r="M979" s="39">
        <v>1287</v>
      </c>
      <c r="N979" s="39">
        <v>1253</v>
      </c>
      <c r="O979" s="38">
        <v>0.375</v>
      </c>
      <c r="P979" s="39">
        <v>29.25</v>
      </c>
      <c r="Q979" s="39">
        <v>31.22</v>
      </c>
      <c r="R979" s="38">
        <v>0.375</v>
      </c>
      <c r="S979" s="40">
        <v>9</v>
      </c>
      <c r="T979" s="39">
        <v>27.98</v>
      </c>
      <c r="U979" s="39">
        <v>30.57</v>
      </c>
      <c r="V979" s="39">
        <v>32.61</v>
      </c>
      <c r="W979" s="38">
        <v>0.878</v>
      </c>
      <c r="X979" s="39">
        <v>21.42</v>
      </c>
      <c r="Y979" s="41">
        <f>Z979*58.16</f>
        <v>53950.355353075043</v>
      </c>
      <c r="Z979" s="39">
        <f>SUM((Q979-U979)*N979)/W979</f>
        <v>927.61958997721888</v>
      </c>
      <c r="AA979" s="39">
        <f>+Z979/2085.7</f>
        <v>0.4447521647299319</v>
      </c>
    </row>
    <row r="980" spans="1:27" x14ac:dyDescent="0.25">
      <c r="A980" s="7" t="str">
        <f t="shared" si="15"/>
        <v>3535Providence St Vincent Medical Center425053075701, ARRHYTHMIA SERVICES</v>
      </c>
      <c r="B980" s="7"/>
      <c r="C980" s="29" t="s">
        <v>1249</v>
      </c>
      <c r="D980" s="29" t="s">
        <v>1249</v>
      </c>
      <c r="E980" s="29" t="s">
        <v>1249</v>
      </c>
      <c r="F980" s="29">
        <v>3535</v>
      </c>
      <c r="G980" s="4" t="s">
        <v>1480</v>
      </c>
      <c r="H980" s="5">
        <v>4250</v>
      </c>
      <c r="I980" s="4" t="s">
        <v>296</v>
      </c>
      <c r="J980" s="4" t="s">
        <v>60</v>
      </c>
      <c r="K980" s="4" t="s">
        <v>1488</v>
      </c>
      <c r="L980" s="4" t="s">
        <v>97</v>
      </c>
      <c r="M980" s="39">
        <v>192097</v>
      </c>
      <c r="N980" s="39">
        <v>209510</v>
      </c>
      <c r="O980" s="38">
        <v>0.75</v>
      </c>
      <c r="P980" s="39">
        <v>0.13</v>
      </c>
      <c r="Q980" s="39">
        <v>0.13</v>
      </c>
      <c r="R980" s="38">
        <v>0.625</v>
      </c>
      <c r="S980" s="40">
        <v>9</v>
      </c>
      <c r="T980" s="39">
        <v>0.11</v>
      </c>
      <c r="U980" s="39">
        <v>0.11</v>
      </c>
      <c r="V980" s="39">
        <v>0.12</v>
      </c>
      <c r="W980" s="38">
        <v>0.86729999999999996</v>
      </c>
      <c r="X980" s="39">
        <v>15.2</v>
      </c>
      <c r="Y980" s="41">
        <v>249030.859168033</v>
      </c>
      <c r="Z980" s="39">
        <v>5130</v>
      </c>
      <c r="AA980" s="39">
        <v>2.4597997440041302</v>
      </c>
    </row>
    <row r="981" spans="1:27" x14ac:dyDescent="0.25">
      <c r="A981" s="7" t="str">
        <f t="shared" si="15"/>
        <v>3535Providence St Vincent Medical Center431053004310, EEG (U,N)</v>
      </c>
      <c r="B981" s="7"/>
      <c r="C981" s="29" t="s">
        <v>1249</v>
      </c>
      <c r="D981" s="29" t="s">
        <v>1249</v>
      </c>
      <c r="E981" s="29" t="s">
        <v>1249</v>
      </c>
      <c r="F981" s="29">
        <v>3535</v>
      </c>
      <c r="G981" s="4" t="s">
        <v>1480</v>
      </c>
      <c r="H981" s="5">
        <v>4310</v>
      </c>
      <c r="I981" s="4" t="s">
        <v>115</v>
      </c>
      <c r="J981" s="4" t="s">
        <v>116</v>
      </c>
      <c r="K981" s="4" t="s">
        <v>1489</v>
      </c>
      <c r="L981" s="4" t="s">
        <v>99</v>
      </c>
      <c r="M981" s="39">
        <v>5544.66</v>
      </c>
      <c r="N981" s="39">
        <v>1</v>
      </c>
      <c r="O981" s="7"/>
      <c r="P981" s="39">
        <v>1.05</v>
      </c>
      <c r="Q981" s="93">
        <v>5483.51</v>
      </c>
      <c r="R981" s="7"/>
      <c r="S981" s="40">
        <v>9</v>
      </c>
      <c r="T981" s="39">
        <v>0.55000000000000004</v>
      </c>
      <c r="U981" s="39">
        <v>0.6</v>
      </c>
      <c r="V981" s="39">
        <v>0.64</v>
      </c>
      <c r="W981" s="38">
        <v>0.9113</v>
      </c>
      <c r="X981" s="39">
        <v>2.89</v>
      </c>
      <c r="Y981" s="41">
        <v>207195.835617073</v>
      </c>
      <c r="Z981" s="39">
        <v>6027</v>
      </c>
      <c r="AA981" s="39">
        <v>2.88968432656289</v>
      </c>
    </row>
    <row r="982" spans="1:27" x14ac:dyDescent="0.25">
      <c r="A982" s="7" t="str">
        <f t="shared" si="15"/>
        <v>3535Providence St Vincent Medical Center303053074300, SHORT STAY SURGICAL UNIT</v>
      </c>
      <c r="B982" s="7"/>
      <c r="C982" s="29" t="s">
        <v>1249</v>
      </c>
      <c r="D982" s="29" t="s">
        <v>1249</v>
      </c>
      <c r="E982" s="29" t="s">
        <v>1249</v>
      </c>
      <c r="F982" s="29">
        <v>3535</v>
      </c>
      <c r="G982" s="4" t="s">
        <v>1480</v>
      </c>
      <c r="H982" s="5">
        <v>3030</v>
      </c>
      <c r="I982" s="4" t="s">
        <v>80</v>
      </c>
      <c r="J982" s="4" t="s">
        <v>47</v>
      </c>
      <c r="K982" s="79" t="s">
        <v>1492</v>
      </c>
      <c r="L982" s="79" t="s">
        <v>81</v>
      </c>
      <c r="M982" s="80">
        <v>38283</v>
      </c>
      <c r="N982" s="80">
        <v>37938</v>
      </c>
      <c r="O982" s="81">
        <v>1</v>
      </c>
      <c r="P982" s="80">
        <v>1.71</v>
      </c>
      <c r="Q982" s="80">
        <f>61602.78/N982</f>
        <v>1.6237751067531234</v>
      </c>
      <c r="R982" s="81">
        <v>0.1111</v>
      </c>
      <c r="S982" s="83">
        <v>10</v>
      </c>
      <c r="T982" s="80">
        <v>1.89</v>
      </c>
      <c r="U982" s="80">
        <v>2.04</v>
      </c>
      <c r="V982" s="80">
        <v>2.2000000000000002</v>
      </c>
      <c r="W982" s="81">
        <v>0.88190000000000002</v>
      </c>
      <c r="X982" s="80">
        <v>36.67</v>
      </c>
      <c r="Y982" s="78">
        <f>+Z982*49.34</f>
        <v>-883450.63113731751</v>
      </c>
      <c r="Z982" s="75">
        <f>((Q982-U982)*N982)/W982</f>
        <v>-17905.363419888883</v>
      </c>
      <c r="AA982" s="75">
        <f>Z982/2085.7</f>
        <v>-8.5848220836596276</v>
      </c>
    </row>
    <row r="983" spans="1:27" x14ac:dyDescent="0.25">
      <c r="A983" s="7" t="str">
        <f t="shared" si="15"/>
        <v>3535Providence St Vincent Medical Center432053078740, SLEEP LAB</v>
      </c>
      <c r="B983" s="7"/>
      <c r="C983" s="29" t="s">
        <v>1249</v>
      </c>
      <c r="D983" s="29" t="s">
        <v>1249</v>
      </c>
      <c r="E983" s="29" t="s">
        <v>1249</v>
      </c>
      <c r="F983" s="29">
        <v>3535</v>
      </c>
      <c r="G983" s="4" t="s">
        <v>1480</v>
      </c>
      <c r="H983" s="5">
        <v>4320</v>
      </c>
      <c r="I983" s="4" t="s">
        <v>166</v>
      </c>
      <c r="J983" s="4" t="s">
        <v>116</v>
      </c>
      <c r="K983" s="4" t="s">
        <v>1495</v>
      </c>
      <c r="L983" s="4" t="s">
        <v>99</v>
      </c>
      <c r="M983" s="39">
        <v>19597.89</v>
      </c>
      <c r="N983" s="39">
        <v>41810.050000000003</v>
      </c>
      <c r="O983" s="38">
        <v>1</v>
      </c>
      <c r="P983" s="39">
        <v>0.78</v>
      </c>
      <c r="Q983" s="39">
        <v>0.4</v>
      </c>
      <c r="R983" s="7"/>
      <c r="S983" s="40">
        <v>10</v>
      </c>
      <c r="T983" s="39">
        <v>0.77</v>
      </c>
      <c r="U983" s="39">
        <v>0.8</v>
      </c>
      <c r="V983" s="39">
        <v>0.86</v>
      </c>
      <c r="W983" s="38">
        <v>0.90449999999999997</v>
      </c>
      <c r="X983" s="39">
        <v>8.9600000000000009</v>
      </c>
      <c r="Y983" s="41">
        <v>-631335.08477676404</v>
      </c>
      <c r="Z983" s="39">
        <v>-18292</v>
      </c>
      <c r="AA983" s="39">
        <v>-8.7700622976544107</v>
      </c>
    </row>
    <row r="984" spans="1:27" x14ac:dyDescent="0.25">
      <c r="A984" s="7" t="str">
        <f t="shared" si="15"/>
        <v>3535Providence St Vincent Medical Center592553083700, PATIENT TRANSPORTATION</v>
      </c>
      <c r="B984" s="7"/>
      <c r="C984" s="29" t="s">
        <v>1249</v>
      </c>
      <c r="D984" s="29" t="s">
        <v>1249</v>
      </c>
      <c r="E984" s="29" t="s">
        <v>1249</v>
      </c>
      <c r="F984" s="29">
        <v>3535</v>
      </c>
      <c r="G984" s="4" t="s">
        <v>1480</v>
      </c>
      <c r="H984" s="5">
        <v>5925</v>
      </c>
      <c r="I984" s="4" t="s">
        <v>135</v>
      </c>
      <c r="J984" s="4" t="s">
        <v>136</v>
      </c>
      <c r="K984" s="4" t="s">
        <v>1496</v>
      </c>
      <c r="L984" s="4" t="s">
        <v>137</v>
      </c>
      <c r="M984" s="39">
        <v>2611.77</v>
      </c>
      <c r="N984" s="39">
        <v>3244.18</v>
      </c>
      <c r="O984" s="38">
        <v>0.66669999999999996</v>
      </c>
      <c r="P984" s="39">
        <v>26.45</v>
      </c>
      <c r="Q984" s="39">
        <v>21.64</v>
      </c>
      <c r="R984" s="38">
        <v>0</v>
      </c>
      <c r="S984" s="40">
        <v>10</v>
      </c>
      <c r="T984" s="39">
        <v>22.68</v>
      </c>
      <c r="U984" s="39">
        <v>23.79</v>
      </c>
      <c r="V984" s="39">
        <v>25.51</v>
      </c>
      <c r="W984" s="38">
        <v>0.9103</v>
      </c>
      <c r="X984" s="39">
        <v>37.07</v>
      </c>
      <c r="Y984" s="41">
        <v>-128245.517824557</v>
      </c>
      <c r="Z984" s="39">
        <v>-7467</v>
      </c>
      <c r="AA984" s="39">
        <v>-3.5802293982852298</v>
      </c>
    </row>
    <row r="985" spans="1:27" x14ac:dyDescent="0.25">
      <c r="A985" s="7" t="str">
        <f t="shared" si="15"/>
        <v>3535Providence St Vincent Medical Center426053078710, NON-INVASIVE LAB</v>
      </c>
      <c r="B985" s="7"/>
      <c r="C985" s="29" t="s">
        <v>1249</v>
      </c>
      <c r="D985" s="29" t="s">
        <v>1249</v>
      </c>
      <c r="E985" s="29" t="s">
        <v>1249</v>
      </c>
      <c r="F985" s="29">
        <v>3535</v>
      </c>
      <c r="G985" s="4" t="s">
        <v>1480</v>
      </c>
      <c r="H985" s="5">
        <v>4260</v>
      </c>
      <c r="I985" s="4" t="s">
        <v>158</v>
      </c>
      <c r="J985" s="4" t="s">
        <v>60</v>
      </c>
      <c r="K985" s="4" t="s">
        <v>1494</v>
      </c>
      <c r="L985" s="4" t="s">
        <v>99</v>
      </c>
      <c r="M985" s="39">
        <v>16424.509999999998</v>
      </c>
      <c r="N985" s="39">
        <v>17294.53</v>
      </c>
      <c r="O985" s="38">
        <v>0.66669999999999996</v>
      </c>
      <c r="P985" s="39">
        <v>0.68</v>
      </c>
      <c r="Q985" s="39">
        <v>0.56999999999999995</v>
      </c>
      <c r="R985" s="38">
        <v>0.45450000000000002</v>
      </c>
      <c r="S985" s="40">
        <v>10</v>
      </c>
      <c r="T985" s="39">
        <v>0.41</v>
      </c>
      <c r="U985" s="39">
        <v>0.52</v>
      </c>
      <c r="V985" s="39">
        <v>0.57999999999999996</v>
      </c>
      <c r="W985" s="38">
        <v>0.84230000000000005</v>
      </c>
      <c r="X985" s="39">
        <v>5.63</v>
      </c>
      <c r="Y985" s="41">
        <v>54429.0302913536</v>
      </c>
      <c r="Z985" s="39">
        <v>1066</v>
      </c>
      <c r="AA985" s="39">
        <v>0.51090173988325704</v>
      </c>
    </row>
    <row r="986" spans="1:27" x14ac:dyDescent="0.25">
      <c r="A986" s="7" t="str">
        <f t="shared" si="15"/>
        <v>3535Providence St Vincent Medical Center307053083800, STERILE PROCESSING</v>
      </c>
      <c r="B986" s="7"/>
      <c r="C986" s="29" t="s">
        <v>1249</v>
      </c>
      <c r="D986" s="29" t="s">
        <v>1249</v>
      </c>
      <c r="E986" s="29" t="s">
        <v>1249</v>
      </c>
      <c r="F986" s="29">
        <v>3535</v>
      </c>
      <c r="G986" s="4" t="s">
        <v>1480</v>
      </c>
      <c r="H986" s="5">
        <v>3070</v>
      </c>
      <c r="I986" s="4" t="s">
        <v>91</v>
      </c>
      <c r="J986" s="4" t="s">
        <v>47</v>
      </c>
      <c r="K986" s="4" t="s">
        <v>1493</v>
      </c>
      <c r="L986" s="4" t="s">
        <v>92</v>
      </c>
      <c r="M986" s="39">
        <v>5985.64</v>
      </c>
      <c r="N986" s="39">
        <v>4540</v>
      </c>
      <c r="O986" s="38">
        <v>0.55559999999999998</v>
      </c>
      <c r="P986" s="39">
        <v>10.62</v>
      </c>
      <c r="Q986" s="39">
        <v>17.91</v>
      </c>
      <c r="R986" s="38">
        <v>0.85709999999999997</v>
      </c>
      <c r="S986" s="40">
        <v>10</v>
      </c>
      <c r="T986" s="39">
        <v>13.8</v>
      </c>
      <c r="U986" s="39">
        <v>14.42</v>
      </c>
      <c r="V986" s="39">
        <v>15.54</v>
      </c>
      <c r="W986" s="38">
        <v>0.89670000000000005</v>
      </c>
      <c r="X986" s="39">
        <v>43.59</v>
      </c>
      <c r="Y986" s="41">
        <v>427937.02119827201</v>
      </c>
      <c r="Z986" s="39">
        <v>17907</v>
      </c>
      <c r="AA986" s="39">
        <v>8.58564316949996</v>
      </c>
    </row>
    <row r="987" spans="1:27" x14ac:dyDescent="0.25">
      <c r="A987" s="7" t="str">
        <f t="shared" si="15"/>
        <v>3535Providence St Vincent Medical Center521153084400, ENVIRONMENTAL SERVICES</v>
      </c>
      <c r="B987" s="7"/>
      <c r="C987" s="29" t="s">
        <v>1249</v>
      </c>
      <c r="D987" s="29" t="s">
        <v>1249</v>
      </c>
      <c r="E987" s="29" t="s">
        <v>1249</v>
      </c>
      <c r="F987" s="148">
        <v>3535</v>
      </c>
      <c r="G987" s="43" t="s">
        <v>1480</v>
      </c>
      <c r="H987" s="42">
        <v>5211</v>
      </c>
      <c r="I987" s="43" t="s">
        <v>50</v>
      </c>
      <c r="J987" s="43" t="s">
        <v>50</v>
      </c>
      <c r="K987" s="43" t="s">
        <v>1505</v>
      </c>
      <c r="L987" s="43" t="s">
        <v>51</v>
      </c>
      <c r="M987" s="46">
        <v>902.79</v>
      </c>
      <c r="N987" s="46">
        <v>902.79</v>
      </c>
      <c r="O987" s="45">
        <v>0.6</v>
      </c>
      <c r="P987" s="46">
        <v>208.97</v>
      </c>
      <c r="Q987" s="46">
        <f>225816.4/N987</f>
        <v>250.13170283233089</v>
      </c>
      <c r="R987" s="45">
        <v>0.66669999999999996</v>
      </c>
      <c r="S987" s="47">
        <v>11</v>
      </c>
      <c r="T987" s="46">
        <v>212.62</v>
      </c>
      <c r="U987" s="46">
        <v>215.81</v>
      </c>
      <c r="V987" s="46">
        <v>228.44</v>
      </c>
      <c r="W987" s="45">
        <v>0.90090000000000003</v>
      </c>
      <c r="X987" s="46">
        <v>111.74</v>
      </c>
      <c r="Y987" s="48">
        <f>+Z987*35.75</f>
        <v>1229575.003968254</v>
      </c>
      <c r="Z987" s="46">
        <f>((Q987-U987)*N987)/W987</f>
        <v>34393.706404706405</v>
      </c>
      <c r="AA987" s="46">
        <f>Z987/2085.7</f>
        <v>16.490246154627417</v>
      </c>
    </row>
    <row r="988" spans="1:27" x14ac:dyDescent="0.25">
      <c r="A988" s="7" t="str">
        <f t="shared" si="15"/>
        <v>3535Providence St Vincent Medical Center301153074200, SURGICAL SERVICES</v>
      </c>
      <c r="B988" s="7"/>
      <c r="C988" s="29" t="s">
        <v>1249</v>
      </c>
      <c r="D988" s="29" t="s">
        <v>1249</v>
      </c>
      <c r="E988" s="29" t="s">
        <v>1249</v>
      </c>
      <c r="F988" s="29">
        <v>3535</v>
      </c>
      <c r="G988" s="4" t="s">
        <v>1480</v>
      </c>
      <c r="H988" s="5">
        <v>3011</v>
      </c>
      <c r="I988" s="4" t="s">
        <v>87</v>
      </c>
      <c r="J988" s="4" t="s">
        <v>47</v>
      </c>
      <c r="K988" s="4" t="s">
        <v>1498</v>
      </c>
      <c r="L988" s="4" t="s">
        <v>88</v>
      </c>
      <c r="M988" s="39">
        <v>19489.2</v>
      </c>
      <c r="N988" s="39">
        <v>19506.95</v>
      </c>
      <c r="O988" s="38">
        <v>0.5</v>
      </c>
      <c r="P988" s="39">
        <v>10.16</v>
      </c>
      <c r="Q988" s="39">
        <v>10.41</v>
      </c>
      <c r="R988" s="38">
        <v>0.18179999999999999</v>
      </c>
      <c r="S988" s="40">
        <v>11</v>
      </c>
      <c r="T988" s="39">
        <v>10.62</v>
      </c>
      <c r="U988" s="39">
        <v>10.83</v>
      </c>
      <c r="V988" s="39">
        <v>11.39</v>
      </c>
      <c r="W988" s="38">
        <v>0.87080000000000002</v>
      </c>
      <c r="X988" s="39">
        <v>112.09</v>
      </c>
      <c r="Y988" s="41">
        <v>-341879.99918015802</v>
      </c>
      <c r="Z988" s="39">
        <v>-8819</v>
      </c>
      <c r="AA988" s="39">
        <v>-4.2281713309096602</v>
      </c>
    </row>
    <row r="989" spans="1:27" x14ac:dyDescent="0.25">
      <c r="A989" s="7" t="str">
        <f t="shared" si="15"/>
        <v>3535Providence St Vincent Medical Center482553077900, OCCUPATIONAL THERAPY</v>
      </c>
      <c r="B989" s="7"/>
      <c r="C989" s="29" t="s">
        <v>1249</v>
      </c>
      <c r="D989" s="29" t="s">
        <v>1249</v>
      </c>
      <c r="E989" s="29" t="s">
        <v>1249</v>
      </c>
      <c r="F989" s="29">
        <v>3535</v>
      </c>
      <c r="G989" s="4" t="s">
        <v>1480</v>
      </c>
      <c r="H989" s="5">
        <v>4825</v>
      </c>
      <c r="I989" s="4" t="s">
        <v>128</v>
      </c>
      <c r="J989" s="4" t="s">
        <v>41</v>
      </c>
      <c r="K989" s="4" t="s">
        <v>1503</v>
      </c>
      <c r="L989" s="4" t="s">
        <v>79</v>
      </c>
      <c r="M989" s="39">
        <v>1187.75</v>
      </c>
      <c r="N989" s="39">
        <v>1557.52</v>
      </c>
      <c r="O989" s="38">
        <v>0.9</v>
      </c>
      <c r="P989" s="39">
        <v>23.05</v>
      </c>
      <c r="Q989" s="39">
        <v>18.8</v>
      </c>
      <c r="R989" s="38">
        <v>0</v>
      </c>
      <c r="S989" s="40">
        <v>11</v>
      </c>
      <c r="T989" s="39">
        <v>22.37</v>
      </c>
      <c r="U989" s="39">
        <v>22.55</v>
      </c>
      <c r="V989" s="39">
        <v>23.75</v>
      </c>
      <c r="W989" s="38">
        <v>0.89949999999999997</v>
      </c>
      <c r="X989" s="39">
        <v>15.65</v>
      </c>
      <c r="Y989" s="41">
        <v>-236615.87081375701</v>
      </c>
      <c r="Z989" s="39">
        <v>-6405</v>
      </c>
      <c r="AA989" s="39">
        <v>-3.0709192280859701</v>
      </c>
    </row>
    <row r="990" spans="1:27" x14ac:dyDescent="0.25">
      <c r="A990" s="7" t="str">
        <f t="shared" si="15"/>
        <v>3535Providence St Vincent Medical Center339053075400, BLOOD BANK</v>
      </c>
      <c r="B990" s="7"/>
      <c r="C990" s="29" t="s">
        <v>1249</v>
      </c>
      <c r="D990" s="29" t="s">
        <v>1249</v>
      </c>
      <c r="E990" s="29" t="s">
        <v>1249</v>
      </c>
      <c r="F990" s="29">
        <v>3535</v>
      </c>
      <c r="G990" s="4" t="s">
        <v>1480</v>
      </c>
      <c r="H990" s="5">
        <v>3390</v>
      </c>
      <c r="I990" s="4" t="s">
        <v>831</v>
      </c>
      <c r="J990" s="4" t="s">
        <v>53</v>
      </c>
      <c r="K990" s="4" t="s">
        <v>1499</v>
      </c>
      <c r="L990" s="4" t="s">
        <v>94</v>
      </c>
      <c r="M990" s="39">
        <v>717.6</v>
      </c>
      <c r="N990" s="39">
        <v>741.01</v>
      </c>
      <c r="O990" s="38">
        <v>0.6</v>
      </c>
      <c r="P990" s="39">
        <v>16.22</v>
      </c>
      <c r="Q990" s="39">
        <v>15.54</v>
      </c>
      <c r="R990" s="38">
        <v>0.33329999999999999</v>
      </c>
      <c r="S990" s="40">
        <v>11</v>
      </c>
      <c r="T990" s="39">
        <v>13.25</v>
      </c>
      <c r="U990" s="39">
        <v>15.94</v>
      </c>
      <c r="V990" s="39">
        <v>18.48</v>
      </c>
      <c r="W990" s="38">
        <v>0.90669999999999995</v>
      </c>
      <c r="X990" s="39">
        <v>6.11</v>
      </c>
      <c r="Y990" s="41">
        <v>-9901.2745582578009</v>
      </c>
      <c r="Z990" s="39">
        <v>-284</v>
      </c>
      <c r="AA990" s="39">
        <v>-0.13592735950735699</v>
      </c>
    </row>
    <row r="991" spans="1:27" x14ac:dyDescent="0.25">
      <c r="A991" s="7" t="str">
        <f t="shared" si="15"/>
        <v>3535Providence St Vincent Medical Center346053076500, NUCLEAR MEDICINE</v>
      </c>
      <c r="B991" s="7"/>
      <c r="C991" s="29" t="s">
        <v>1249</v>
      </c>
      <c r="D991" s="29" t="s">
        <v>1249</v>
      </c>
      <c r="E991" s="29" t="s">
        <v>1249</v>
      </c>
      <c r="F991" s="29">
        <v>3535</v>
      </c>
      <c r="G991" s="4" t="s">
        <v>1480</v>
      </c>
      <c r="H991" s="5">
        <v>3460</v>
      </c>
      <c r="I991" s="4" t="s">
        <v>120</v>
      </c>
      <c r="J991" s="4" t="s">
        <v>57</v>
      </c>
      <c r="K991" s="4" t="s">
        <v>1500</v>
      </c>
      <c r="L991" s="4" t="s">
        <v>99</v>
      </c>
      <c r="M991" s="39">
        <v>57900.68</v>
      </c>
      <c r="N991" s="39">
        <v>62819.93</v>
      </c>
      <c r="O991" s="38">
        <v>0.7</v>
      </c>
      <c r="P991" s="39">
        <v>0.23</v>
      </c>
      <c r="Q991" s="39">
        <v>0.21</v>
      </c>
      <c r="R991" s="38">
        <v>0.375</v>
      </c>
      <c r="S991" s="40">
        <v>11</v>
      </c>
      <c r="T991" s="39">
        <v>0.2</v>
      </c>
      <c r="U991" s="39">
        <v>0.21</v>
      </c>
      <c r="V991" s="39">
        <v>0.22</v>
      </c>
      <c r="W991" s="38">
        <v>0.90210000000000001</v>
      </c>
      <c r="X991" s="39">
        <v>7.16</v>
      </c>
      <c r="Y991" s="41">
        <v>13571.1532096183</v>
      </c>
      <c r="Z991" s="39">
        <v>310</v>
      </c>
      <c r="AA991" s="39">
        <v>0.14851161548721301</v>
      </c>
    </row>
    <row r="992" spans="1:27" x14ac:dyDescent="0.25">
      <c r="A992" s="7" t="str">
        <f t="shared" si="15"/>
        <v>3535Providence St Vincent Medical Center481253077710, SPORTS CENTER REHAB</v>
      </c>
      <c r="B992" s="7"/>
      <c r="C992" s="29" t="s">
        <v>1249</v>
      </c>
      <c r="D992" s="29" t="s">
        <v>1249</v>
      </c>
      <c r="E992" s="29" t="s">
        <v>1249</v>
      </c>
      <c r="F992" s="29">
        <v>3535</v>
      </c>
      <c r="G992" s="4" t="s">
        <v>1480</v>
      </c>
      <c r="H992" s="5">
        <v>4812</v>
      </c>
      <c r="I992" s="4" t="s">
        <v>78</v>
      </c>
      <c r="J992" s="4" t="s">
        <v>41</v>
      </c>
      <c r="K992" s="4" t="s">
        <v>1502</v>
      </c>
      <c r="L992" s="4" t="s">
        <v>79</v>
      </c>
      <c r="M992" s="39">
        <v>920.2</v>
      </c>
      <c r="N992" s="39">
        <v>1349.29</v>
      </c>
      <c r="O992" s="38">
        <v>0.58209999999999995</v>
      </c>
      <c r="P992" s="39">
        <v>26.71</v>
      </c>
      <c r="Q992" s="39">
        <v>22.22</v>
      </c>
      <c r="R992" s="38">
        <v>0.70169999999999999</v>
      </c>
      <c r="S992" s="40">
        <v>11</v>
      </c>
      <c r="T992" s="39">
        <v>20.62</v>
      </c>
      <c r="U992" s="39">
        <v>21.54</v>
      </c>
      <c r="V992" s="39">
        <v>21.88</v>
      </c>
      <c r="W992" s="38">
        <v>0.87880000000000003</v>
      </c>
      <c r="X992" s="39">
        <v>16.399999999999999</v>
      </c>
      <c r="Y992" s="41">
        <v>40365.762453820003</v>
      </c>
      <c r="Z992" s="39">
        <v>1133</v>
      </c>
      <c r="AA992" s="39">
        <v>0.54343503322328601</v>
      </c>
    </row>
    <row r="993" spans="1:27" x14ac:dyDescent="0.25">
      <c r="A993" s="7" t="str">
        <f t="shared" si="15"/>
        <v>3535Providence St Vincent Medical Center103553060105, NEURO CRITICAL CARE</v>
      </c>
      <c r="B993" s="7"/>
      <c r="C993" s="29" t="s">
        <v>1249</v>
      </c>
      <c r="D993" s="29" t="s">
        <v>1249</v>
      </c>
      <c r="E993" s="29" t="s">
        <v>1249</v>
      </c>
      <c r="F993" s="29">
        <v>3535</v>
      </c>
      <c r="G993" s="4" t="s">
        <v>1480</v>
      </c>
      <c r="H993" s="5">
        <v>1035</v>
      </c>
      <c r="I993" s="4" t="s">
        <v>294</v>
      </c>
      <c r="J993" s="4" t="s">
        <v>23</v>
      </c>
      <c r="K993" s="4" t="s">
        <v>1497</v>
      </c>
      <c r="L993" s="4" t="s">
        <v>74</v>
      </c>
      <c r="M993" s="39">
        <v>2460.62</v>
      </c>
      <c r="N993" s="39">
        <v>3000</v>
      </c>
      <c r="O993" s="38">
        <v>0.5</v>
      </c>
      <c r="P993" s="39">
        <v>20.3</v>
      </c>
      <c r="Q993" s="39">
        <v>20.22</v>
      </c>
      <c r="R993" s="38">
        <v>0.7</v>
      </c>
      <c r="S993" s="40">
        <v>11</v>
      </c>
      <c r="T993" s="39">
        <v>18.649999999999999</v>
      </c>
      <c r="U993" s="39">
        <v>18.79</v>
      </c>
      <c r="V993" s="39">
        <v>19.3</v>
      </c>
      <c r="W993" s="38">
        <v>0.91900000000000004</v>
      </c>
      <c r="X993" s="39">
        <v>31.73</v>
      </c>
      <c r="Y993" s="41">
        <v>267826.74672923097</v>
      </c>
      <c r="Z993" s="39">
        <v>4841</v>
      </c>
      <c r="AA993" s="39">
        <v>2.3209712246974501</v>
      </c>
    </row>
    <row r="994" spans="1:27" x14ac:dyDescent="0.25">
      <c r="A994" s="7" t="str">
        <f t="shared" si="15"/>
        <v>3535Providence St Vincent Medical Center349953076395, DIAG IMAGING ADM SUPPORT</v>
      </c>
      <c r="B994" s="7"/>
      <c r="C994" s="29" t="s">
        <v>1249</v>
      </c>
      <c r="D994" s="29" t="s">
        <v>1249</v>
      </c>
      <c r="E994" s="29" t="s">
        <v>1249</v>
      </c>
      <c r="F994" s="29">
        <v>3535</v>
      </c>
      <c r="G994" s="4" t="s">
        <v>1480</v>
      </c>
      <c r="H994" s="5">
        <v>3499</v>
      </c>
      <c r="I994" s="4" t="s">
        <v>56</v>
      </c>
      <c r="J994" s="4" t="s">
        <v>57</v>
      </c>
      <c r="K994" s="4" t="s">
        <v>1501</v>
      </c>
      <c r="L994" s="4" t="s">
        <v>58</v>
      </c>
      <c r="M994" s="39">
        <v>429359.47</v>
      </c>
      <c r="N994" s="39">
        <v>442002.1287</v>
      </c>
      <c r="O994" s="38">
        <v>0.5</v>
      </c>
      <c r="P994" s="39">
        <v>0.1</v>
      </c>
      <c r="Q994" s="39">
        <v>0.1</v>
      </c>
      <c r="R994" s="38">
        <v>0.9</v>
      </c>
      <c r="S994" s="40">
        <v>11</v>
      </c>
      <c r="T994" s="39">
        <v>0.04</v>
      </c>
      <c r="U994" s="39">
        <v>0.05</v>
      </c>
      <c r="V994" s="39">
        <v>0.06</v>
      </c>
      <c r="W994" s="38">
        <v>0.87590000000000001</v>
      </c>
      <c r="X994" s="39">
        <v>24.71</v>
      </c>
      <c r="Y994" s="41">
        <v>681820.19830051705</v>
      </c>
      <c r="Z994" s="39">
        <v>26306</v>
      </c>
      <c r="AA994" s="39">
        <v>12.612712619161099</v>
      </c>
    </row>
    <row r="995" spans="1:27" x14ac:dyDescent="0.25">
      <c r="A995" s="7" t="str">
        <f t="shared" si="15"/>
        <v>3535Providence St Vincent Medical Center511153083410, NUTRITION SERVICES</v>
      </c>
      <c r="B995" s="7"/>
      <c r="C995" s="29" t="s">
        <v>1249</v>
      </c>
      <c r="D995" s="29" t="s">
        <v>1249</v>
      </c>
      <c r="E995" s="29" t="s">
        <v>1249</v>
      </c>
      <c r="F995" s="29">
        <v>3535</v>
      </c>
      <c r="G995" s="4" t="s">
        <v>1480</v>
      </c>
      <c r="H995" s="5">
        <v>5111</v>
      </c>
      <c r="I995" s="4" t="s">
        <v>64</v>
      </c>
      <c r="J995" s="4" t="s">
        <v>65</v>
      </c>
      <c r="K995" s="4" t="s">
        <v>1504</v>
      </c>
      <c r="L995" s="4" t="s">
        <v>67</v>
      </c>
      <c r="M995" s="39">
        <v>59084</v>
      </c>
      <c r="N995" s="39">
        <v>62547</v>
      </c>
      <c r="O995" s="38">
        <v>0.5</v>
      </c>
      <c r="P995" s="39">
        <v>0.48</v>
      </c>
      <c r="Q995" s="39">
        <v>0.44</v>
      </c>
      <c r="R995" s="38">
        <v>1</v>
      </c>
      <c r="S995" s="40">
        <v>11</v>
      </c>
      <c r="T995" s="39">
        <v>0.27</v>
      </c>
      <c r="U995" s="39">
        <v>0.28000000000000003</v>
      </c>
      <c r="V995" s="39">
        <v>0.32</v>
      </c>
      <c r="W995" s="38">
        <v>0.86809999999999998</v>
      </c>
      <c r="X995" s="39">
        <v>15.27</v>
      </c>
      <c r="Y995" s="41">
        <v>352440.58322351403</v>
      </c>
      <c r="Z995" s="39">
        <v>11675</v>
      </c>
      <c r="AA995" s="39">
        <v>5.5974069115036302</v>
      </c>
    </row>
    <row r="996" spans="1:27" x14ac:dyDescent="0.25">
      <c r="A996" s="7" t="str">
        <f t="shared" si="15"/>
        <v>3535Providence St Vincent Medical Center487253070818, TANASBOURNE REHAB</v>
      </c>
      <c r="B996" s="7"/>
      <c r="C996" s="29" t="s">
        <v>1249</v>
      </c>
      <c r="D996" s="29" t="s">
        <v>1249</v>
      </c>
      <c r="E996" s="29" t="s">
        <v>1249</v>
      </c>
      <c r="F996" s="29">
        <v>3535</v>
      </c>
      <c r="G996" s="4" t="s">
        <v>1480</v>
      </c>
      <c r="H996" s="5">
        <v>4872</v>
      </c>
      <c r="I996" s="4" t="s">
        <v>197</v>
      </c>
      <c r="J996" s="4" t="s">
        <v>41</v>
      </c>
      <c r="K996" s="4" t="s">
        <v>1510</v>
      </c>
      <c r="L996" s="4" t="s">
        <v>79</v>
      </c>
      <c r="M996" s="39">
        <v>589.23</v>
      </c>
      <c r="N996" s="39">
        <v>865.48</v>
      </c>
      <c r="O996" s="38">
        <v>0.54549999999999998</v>
      </c>
      <c r="P996" s="39">
        <v>22.1</v>
      </c>
      <c r="Q996" s="39">
        <v>18.64</v>
      </c>
      <c r="R996" s="38">
        <v>0</v>
      </c>
      <c r="S996" s="40">
        <v>12</v>
      </c>
      <c r="T996" s="39">
        <v>21.68</v>
      </c>
      <c r="U996" s="39">
        <v>22.27</v>
      </c>
      <c r="V996" s="39">
        <v>22.64</v>
      </c>
      <c r="W996" s="38">
        <v>0.88739999999999997</v>
      </c>
      <c r="X996" s="39">
        <v>8.74</v>
      </c>
      <c r="Y996" s="41">
        <v>-129464.642812714</v>
      </c>
      <c r="Z996" s="39">
        <v>-3491</v>
      </c>
      <c r="AA996" s="39">
        <v>-1.6737221954939701</v>
      </c>
    </row>
    <row r="997" spans="1:27" x14ac:dyDescent="0.25">
      <c r="A997" s="7" t="str">
        <f t="shared" si="15"/>
        <v>3535Providence St Vincent Medical Center111053061712, MEDSURG INTERM - 7W</v>
      </c>
      <c r="B997" s="7"/>
      <c r="C997" s="29" t="s">
        <v>1249</v>
      </c>
      <c r="D997" s="29" t="s">
        <v>1249</v>
      </c>
      <c r="E997" s="29" t="s">
        <v>1249</v>
      </c>
      <c r="F997" s="29">
        <v>3535</v>
      </c>
      <c r="G997" s="4" t="s">
        <v>1480</v>
      </c>
      <c r="H997" s="5">
        <v>1110</v>
      </c>
      <c r="I997" s="4" t="s">
        <v>111</v>
      </c>
      <c r="J997" s="4" t="s">
        <v>23</v>
      </c>
      <c r="K997" s="4" t="s">
        <v>1506</v>
      </c>
      <c r="L997" s="4" t="s">
        <v>74</v>
      </c>
      <c r="M997" s="39">
        <v>9180.42</v>
      </c>
      <c r="N997" s="39">
        <v>9527</v>
      </c>
      <c r="O997" s="38">
        <v>0.45450000000000002</v>
      </c>
      <c r="P997" s="39">
        <v>11.04</v>
      </c>
      <c r="Q997" s="39">
        <v>11.3</v>
      </c>
      <c r="R997" s="38">
        <v>0.66669999999999996</v>
      </c>
      <c r="S997" s="40">
        <v>12</v>
      </c>
      <c r="T997" s="39">
        <v>11.06</v>
      </c>
      <c r="U997" s="39">
        <v>11.11</v>
      </c>
      <c r="V997" s="39">
        <v>11.2</v>
      </c>
      <c r="W997" s="38">
        <v>0.89439999999999997</v>
      </c>
      <c r="X997" s="39">
        <v>57.86</v>
      </c>
      <c r="Y997" s="41">
        <v>90261.215288570806</v>
      </c>
      <c r="Z997" s="39">
        <v>2337</v>
      </c>
      <c r="AA997" s="39">
        <v>1.12035784350766</v>
      </c>
    </row>
    <row r="998" spans="1:27" x14ac:dyDescent="0.25">
      <c r="A998" s="7" t="str">
        <f t="shared" si="15"/>
        <v>3535Providence St Vincent Medical Center463053077610, ENDOSCOPY</v>
      </c>
      <c r="B998" s="7"/>
      <c r="C998" s="29" t="s">
        <v>1249</v>
      </c>
      <c r="D998" s="29" t="s">
        <v>1249</v>
      </c>
      <c r="E998" s="29" t="s">
        <v>1249</v>
      </c>
      <c r="F998" s="148">
        <v>3535</v>
      </c>
      <c r="G998" s="43" t="s">
        <v>1480</v>
      </c>
      <c r="H998" s="42">
        <v>4630</v>
      </c>
      <c r="I998" s="43" t="s">
        <v>104</v>
      </c>
      <c r="J998" s="43" t="s">
        <v>83</v>
      </c>
      <c r="K998" s="43" t="s">
        <v>1509</v>
      </c>
      <c r="L998" s="43" t="s">
        <v>97</v>
      </c>
      <c r="M998" s="71"/>
      <c r="N998" s="46">
        <v>155431</v>
      </c>
      <c r="O998" s="45">
        <v>0.5</v>
      </c>
      <c r="P998" s="71" t="s">
        <v>1058</v>
      </c>
      <c r="Q998" s="46">
        <v>0.16</v>
      </c>
      <c r="R998" s="45">
        <v>0.45450000000000002</v>
      </c>
      <c r="S998" s="47">
        <v>12</v>
      </c>
      <c r="T998" s="46">
        <v>0.14000000000000001</v>
      </c>
      <c r="U998" s="46">
        <v>0.14000000000000001</v>
      </c>
      <c r="V998" s="46">
        <v>0.17</v>
      </c>
      <c r="W998" s="45">
        <v>0.8669</v>
      </c>
      <c r="X998" s="46">
        <v>14.11</v>
      </c>
      <c r="Y998" s="48">
        <f>+Z998*50.35</f>
        <v>180550.25608490012</v>
      </c>
      <c r="Z998" s="46">
        <f>((Q998-U998)*N998)/W998</f>
        <v>3585.9037951320779</v>
      </c>
      <c r="AA998" s="46">
        <f>Z998/2085.7</f>
        <v>1.7192807187668784</v>
      </c>
    </row>
    <row r="999" spans="1:27" x14ac:dyDescent="0.25">
      <c r="A999" s="7" t="str">
        <f t="shared" si="15"/>
        <v>3535Providence St Vincent Medical Center181053077150, IV THERAPY</v>
      </c>
      <c r="B999" s="7"/>
      <c r="C999" s="29" t="s">
        <v>1249</v>
      </c>
      <c r="D999" s="29" t="s">
        <v>1249</v>
      </c>
      <c r="E999" s="29" t="s">
        <v>1249</v>
      </c>
      <c r="F999" s="29">
        <v>3535</v>
      </c>
      <c r="G999" s="4" t="s">
        <v>1480</v>
      </c>
      <c r="H999" s="5">
        <v>1810</v>
      </c>
      <c r="I999" s="4" t="s">
        <v>162</v>
      </c>
      <c r="J999" s="4" t="s">
        <v>23</v>
      </c>
      <c r="K999" s="4" t="s">
        <v>1507</v>
      </c>
      <c r="L999" s="4" t="s">
        <v>163</v>
      </c>
      <c r="M999" s="39">
        <v>1461.12</v>
      </c>
      <c r="N999" s="39">
        <v>5.57</v>
      </c>
      <c r="O999" s="38">
        <v>0.45450000000000002</v>
      </c>
      <c r="P999" s="39">
        <v>21.86</v>
      </c>
      <c r="Q999" s="39">
        <v>5418.93</v>
      </c>
      <c r="R999" s="38">
        <v>0.91669999999999996</v>
      </c>
      <c r="S999" s="40">
        <v>12</v>
      </c>
      <c r="T999" s="39">
        <v>704.15</v>
      </c>
      <c r="U999" s="39">
        <v>931.41</v>
      </c>
      <c r="V999" s="39">
        <v>1020.02</v>
      </c>
      <c r="W999" s="38">
        <v>0.8982</v>
      </c>
      <c r="X999" s="39">
        <v>16.16</v>
      </c>
      <c r="Y999" s="41">
        <v>1610728.7258323</v>
      </c>
      <c r="Z999" s="39">
        <v>27929</v>
      </c>
      <c r="AA999" s="39">
        <v>13.3906923863549</v>
      </c>
    </row>
    <row r="1000" spans="1:27" x14ac:dyDescent="0.25">
      <c r="A1000" s="7" t="str">
        <f t="shared" si="15"/>
        <v>3535Providence St Vincent Medical Center309953003099, SURG SVCS ADMIN (U,N)</v>
      </c>
      <c r="B1000" s="7"/>
      <c r="C1000" s="29" t="s">
        <v>1249</v>
      </c>
      <c r="D1000" s="29" t="s">
        <v>1249</v>
      </c>
      <c r="E1000" s="29" t="s">
        <v>1249</v>
      </c>
      <c r="F1000" s="29">
        <v>3535</v>
      </c>
      <c r="G1000" s="4" t="s">
        <v>1480</v>
      </c>
      <c r="H1000" s="5">
        <v>3099</v>
      </c>
      <c r="I1000" s="4" t="s">
        <v>46</v>
      </c>
      <c r="J1000" s="4" t="s">
        <v>47</v>
      </c>
      <c r="K1000" s="4" t="s">
        <v>1508</v>
      </c>
      <c r="L1000" s="4" t="s">
        <v>49</v>
      </c>
      <c r="M1000" s="39">
        <v>20850</v>
      </c>
      <c r="N1000" s="39">
        <v>21035</v>
      </c>
      <c r="O1000" s="38">
        <v>0.55630000000000002</v>
      </c>
      <c r="P1000" s="39">
        <v>2.13</v>
      </c>
      <c r="Q1000" s="39">
        <v>2</v>
      </c>
      <c r="R1000" s="7"/>
      <c r="S1000" s="40">
        <v>12</v>
      </c>
      <c r="T1000" s="39">
        <v>0.5</v>
      </c>
      <c r="U1000" s="39">
        <v>0.72</v>
      </c>
      <c r="V1000" s="39">
        <v>0.85</v>
      </c>
      <c r="W1000" s="38">
        <v>0.8639</v>
      </c>
      <c r="X1000" s="39">
        <v>23.45</v>
      </c>
      <c r="Y1000" s="41">
        <v>1205608.8229823699</v>
      </c>
      <c r="Z1000" s="39">
        <v>31379</v>
      </c>
      <c r="AA1000" s="39">
        <v>15.044574607926499</v>
      </c>
    </row>
    <row r="1001" spans="1:27" x14ac:dyDescent="0.25">
      <c r="A1001" s="7" t="str">
        <f t="shared" si="15"/>
        <v>3535Providence St Vincent Medical Center112253060342, CARDIAC TELEMETRY - 6W</v>
      </c>
      <c r="B1001" s="7"/>
      <c r="C1001" s="29" t="s">
        <v>1249</v>
      </c>
      <c r="D1001" s="29" t="s">
        <v>1249</v>
      </c>
      <c r="E1001" s="29" t="s">
        <v>1249</v>
      </c>
      <c r="F1001" s="29">
        <v>3535</v>
      </c>
      <c r="G1001" s="4" t="s">
        <v>1480</v>
      </c>
      <c r="H1001" s="5">
        <v>1122</v>
      </c>
      <c r="I1001" s="4" t="s">
        <v>105</v>
      </c>
      <c r="J1001" s="4" t="s">
        <v>23</v>
      </c>
      <c r="K1001" s="4" t="s">
        <v>1512</v>
      </c>
      <c r="L1001" s="4" t="s">
        <v>74</v>
      </c>
      <c r="M1001" s="39">
        <v>7946.95</v>
      </c>
      <c r="N1001" s="39">
        <v>8905</v>
      </c>
      <c r="O1001" s="38">
        <v>0.66669999999999996</v>
      </c>
      <c r="P1001" s="39">
        <v>10.65</v>
      </c>
      <c r="Q1001" s="39">
        <v>10.59</v>
      </c>
      <c r="R1001" s="38">
        <v>0.16669999999999999</v>
      </c>
      <c r="S1001" s="40">
        <v>13</v>
      </c>
      <c r="T1001" s="39">
        <v>11.04</v>
      </c>
      <c r="U1001" s="39">
        <v>11.27</v>
      </c>
      <c r="V1001" s="39">
        <v>11.33</v>
      </c>
      <c r="W1001" s="38">
        <v>0.89980000000000004</v>
      </c>
      <c r="X1001" s="39">
        <v>50.37</v>
      </c>
      <c r="Y1001" s="41">
        <v>-292883.057363867</v>
      </c>
      <c r="Z1001" s="39">
        <v>-6478</v>
      </c>
      <c r="AA1001" s="39">
        <v>-3.1061348627408001</v>
      </c>
    </row>
    <row r="1002" spans="1:27" x14ac:dyDescent="0.25">
      <c r="A1002" s="7" t="str">
        <f t="shared" si="15"/>
        <v>3535Providence St Vincent Medical Center102353060310, CARDIOVASC INTENSIVE CARE UNIT</v>
      </c>
      <c r="B1002" s="7"/>
      <c r="C1002" s="29" t="s">
        <v>1249</v>
      </c>
      <c r="D1002" s="29" t="s">
        <v>1249</v>
      </c>
      <c r="E1002" s="29" t="s">
        <v>1249</v>
      </c>
      <c r="F1002" s="29">
        <v>3535</v>
      </c>
      <c r="G1002" s="4" t="s">
        <v>1480</v>
      </c>
      <c r="H1002" s="5">
        <v>1023</v>
      </c>
      <c r="I1002" s="4" t="s">
        <v>878</v>
      </c>
      <c r="J1002" s="4" t="s">
        <v>23</v>
      </c>
      <c r="K1002" s="4" t="s">
        <v>1511</v>
      </c>
      <c r="L1002" s="4" t="s">
        <v>74</v>
      </c>
      <c r="M1002" s="39">
        <v>3501.5</v>
      </c>
      <c r="N1002" s="39">
        <v>3606</v>
      </c>
      <c r="O1002" s="38">
        <v>0.58330000000000004</v>
      </c>
      <c r="P1002" s="39">
        <v>21.75</v>
      </c>
      <c r="Q1002" s="39">
        <v>21.85</v>
      </c>
      <c r="R1002" s="38">
        <v>0.61539999999999995</v>
      </c>
      <c r="S1002" s="40">
        <v>13</v>
      </c>
      <c r="T1002" s="39">
        <v>20.260000000000002</v>
      </c>
      <c r="U1002" s="39">
        <v>20.59</v>
      </c>
      <c r="V1002" s="39">
        <v>21.18</v>
      </c>
      <c r="W1002" s="38">
        <v>0.877</v>
      </c>
      <c r="X1002" s="39">
        <v>43.19</v>
      </c>
      <c r="Y1002" s="41">
        <v>292426.421864036</v>
      </c>
      <c r="Z1002" s="39">
        <v>5421</v>
      </c>
      <c r="AA1002" s="39">
        <v>2.59891739913903</v>
      </c>
    </row>
    <row r="1003" spans="1:27" x14ac:dyDescent="0.25">
      <c r="A1003" s="7" t="str">
        <f t="shared" si="15"/>
        <v>3535Providence St Vincent Medical Center201053087308, ER SVCS BEHAVIORAL HLTH</v>
      </c>
      <c r="B1003" s="7"/>
      <c r="C1003" s="29" t="s">
        <v>1249</v>
      </c>
      <c r="D1003" s="29" t="s">
        <v>1249</v>
      </c>
      <c r="E1003" s="29" t="s">
        <v>1249</v>
      </c>
      <c r="F1003" s="148">
        <v>3535</v>
      </c>
      <c r="G1003" s="43" t="s">
        <v>1480</v>
      </c>
      <c r="H1003" s="42">
        <v>2010</v>
      </c>
      <c r="I1003" s="43" t="s">
        <v>75</v>
      </c>
      <c r="J1003" s="43" t="s">
        <v>76</v>
      </c>
      <c r="K1003" s="43" t="s">
        <v>1513</v>
      </c>
      <c r="L1003" s="43" t="s">
        <v>77</v>
      </c>
      <c r="M1003" s="46">
        <v>5831</v>
      </c>
      <c r="N1003" s="46">
        <v>5452</v>
      </c>
      <c r="O1003" s="45">
        <v>8.3299999999999999E-2</v>
      </c>
      <c r="P1003" s="46">
        <v>8.39</v>
      </c>
      <c r="Q1003" s="46">
        <v>6.05</v>
      </c>
      <c r="R1003" s="45">
        <v>0.75</v>
      </c>
      <c r="S1003" s="47">
        <v>13</v>
      </c>
      <c r="T1003" s="46">
        <v>3.02</v>
      </c>
      <c r="U1003" s="46">
        <v>3.17</v>
      </c>
      <c r="V1003" s="46">
        <v>3.74</v>
      </c>
      <c r="W1003" s="45">
        <v>0.88239999999999996</v>
      </c>
      <c r="X1003" s="46">
        <v>17.96</v>
      </c>
      <c r="Y1003" s="48">
        <v>0</v>
      </c>
      <c r="Z1003" s="46">
        <v>0</v>
      </c>
      <c r="AA1003" s="46">
        <v>0</v>
      </c>
    </row>
    <row r="1004" spans="1:27" x14ac:dyDescent="0.25">
      <c r="A1004" s="7" t="str">
        <f t="shared" si="15"/>
        <v>3535Providence St Vincent Medical Center581053005810, SOCIAL WORK SVCS (U,N)</v>
      </c>
      <c r="B1004" s="7"/>
      <c r="C1004" s="29" t="s">
        <v>1249</v>
      </c>
      <c r="D1004" s="29" t="s">
        <v>1249</v>
      </c>
      <c r="E1004" s="29" t="s">
        <v>1249</v>
      </c>
      <c r="F1004" s="29">
        <v>3535</v>
      </c>
      <c r="G1004" s="4" t="s">
        <v>1480</v>
      </c>
      <c r="H1004" s="5">
        <v>5810</v>
      </c>
      <c r="I1004" s="4" t="s">
        <v>133</v>
      </c>
      <c r="J1004" s="4" t="s">
        <v>26</v>
      </c>
      <c r="K1004" s="4" t="s">
        <v>1516</v>
      </c>
      <c r="L1004" s="4" t="s">
        <v>134</v>
      </c>
      <c r="M1004" s="39">
        <v>1482</v>
      </c>
      <c r="N1004" s="39">
        <v>20365</v>
      </c>
      <c r="O1004" s="38">
        <v>0.45989999999999998</v>
      </c>
      <c r="P1004" s="39">
        <v>12.24</v>
      </c>
      <c r="Q1004" s="39">
        <v>0.95</v>
      </c>
      <c r="R1004" s="38">
        <v>0.36509999999999998</v>
      </c>
      <c r="S1004" s="40">
        <v>14</v>
      </c>
      <c r="T1004" s="39">
        <v>0.86</v>
      </c>
      <c r="U1004" s="39">
        <v>0.92</v>
      </c>
      <c r="V1004" s="39">
        <v>1.0900000000000001</v>
      </c>
      <c r="W1004" s="38">
        <v>0.92620000000000002</v>
      </c>
      <c r="X1004" s="39">
        <v>10.08</v>
      </c>
      <c r="Y1004" s="41">
        <v>27349.2966038964</v>
      </c>
      <c r="Z1004" s="39">
        <v>795</v>
      </c>
      <c r="AA1004" s="39">
        <v>0.38125314675566802</v>
      </c>
    </row>
    <row r="1005" spans="1:27" x14ac:dyDescent="0.25">
      <c r="A1005" s="7" t="str">
        <f t="shared" si="15"/>
        <v>3535Providence St Vincent Medical Center121153061711, MEDICAL - 7E</v>
      </c>
      <c r="B1005" s="7"/>
      <c r="C1005" s="29" t="s">
        <v>1249</v>
      </c>
      <c r="D1005" s="29" t="s">
        <v>1249</v>
      </c>
      <c r="E1005" s="29" t="s">
        <v>1249</v>
      </c>
      <c r="F1005" s="29">
        <v>3535</v>
      </c>
      <c r="G1005" s="4" t="s">
        <v>1480</v>
      </c>
      <c r="H1005" s="5">
        <v>1211</v>
      </c>
      <c r="I1005" s="4" t="s">
        <v>161</v>
      </c>
      <c r="J1005" s="4" t="s">
        <v>23</v>
      </c>
      <c r="K1005" s="4" t="s">
        <v>1514</v>
      </c>
      <c r="L1005" s="4" t="s">
        <v>74</v>
      </c>
      <c r="M1005" s="39">
        <v>9122.67</v>
      </c>
      <c r="N1005" s="39">
        <v>9657</v>
      </c>
      <c r="O1005" s="38">
        <v>0.53849999999999998</v>
      </c>
      <c r="P1005" s="39">
        <v>10.14</v>
      </c>
      <c r="Q1005" s="39">
        <v>10.06</v>
      </c>
      <c r="R1005" s="38">
        <v>0.3846</v>
      </c>
      <c r="S1005" s="40">
        <v>14</v>
      </c>
      <c r="T1005" s="39">
        <v>9.64</v>
      </c>
      <c r="U1005" s="39">
        <v>9.99</v>
      </c>
      <c r="V1005" s="39">
        <v>11.18</v>
      </c>
      <c r="W1005" s="38">
        <v>0.89229999999999998</v>
      </c>
      <c r="X1005" s="39">
        <v>52.33</v>
      </c>
      <c r="Y1005" s="41">
        <v>42919.143407361596</v>
      </c>
      <c r="Z1005" s="39">
        <v>1027</v>
      </c>
      <c r="AA1005" s="39">
        <v>0.49238814345366</v>
      </c>
    </row>
    <row r="1006" spans="1:27" x14ac:dyDescent="0.25">
      <c r="A1006" s="7" t="str">
        <f t="shared" si="15"/>
        <v>3535Providence St Vincent Medical Center123853061730, ONCOLOGY - 5W</v>
      </c>
      <c r="B1006" s="7"/>
      <c r="C1006" s="29" t="s">
        <v>1249</v>
      </c>
      <c r="D1006" s="29" t="s">
        <v>1249</v>
      </c>
      <c r="E1006" s="29" t="s">
        <v>1249</v>
      </c>
      <c r="F1006" s="29">
        <v>3535</v>
      </c>
      <c r="G1006" s="4" t="s">
        <v>1480</v>
      </c>
      <c r="H1006" s="5">
        <v>1238</v>
      </c>
      <c r="I1006" s="4" t="s">
        <v>148</v>
      </c>
      <c r="J1006" s="4" t="s">
        <v>23</v>
      </c>
      <c r="K1006" s="4" t="s">
        <v>1515</v>
      </c>
      <c r="L1006" s="4" t="s">
        <v>74</v>
      </c>
      <c r="M1006" s="39">
        <v>5005.5</v>
      </c>
      <c r="N1006" s="39">
        <v>5251</v>
      </c>
      <c r="O1006" s="38">
        <v>0.53849999999999998</v>
      </c>
      <c r="P1006" s="39">
        <v>10.54</v>
      </c>
      <c r="Q1006" s="39">
        <v>11.11</v>
      </c>
      <c r="R1006" s="38">
        <v>0.69230000000000003</v>
      </c>
      <c r="S1006" s="40">
        <v>14</v>
      </c>
      <c r="T1006" s="39">
        <v>10.47</v>
      </c>
      <c r="U1006" s="39">
        <v>10.63</v>
      </c>
      <c r="V1006" s="39">
        <v>10.87</v>
      </c>
      <c r="W1006" s="38">
        <v>0.90680000000000005</v>
      </c>
      <c r="X1006" s="39">
        <v>30.94</v>
      </c>
      <c r="Y1006" s="41">
        <v>139035.04385190399</v>
      </c>
      <c r="Z1006" s="39">
        <v>2977</v>
      </c>
      <c r="AA1006" s="39">
        <v>1.4270970150912501</v>
      </c>
    </row>
    <row r="1007" spans="1:27" x14ac:dyDescent="0.25">
      <c r="A1007" s="7" t="str">
        <f t="shared" si="15"/>
        <v>3535Providence St Vincent Medical Center623053006230, COMBO ALL STAFF EDUC (U,N)</v>
      </c>
      <c r="B1007" s="7"/>
      <c r="C1007" s="29" t="s">
        <v>1249</v>
      </c>
      <c r="D1007" s="29" t="s">
        <v>1249</v>
      </c>
      <c r="E1007" s="29" t="s">
        <v>1249</v>
      </c>
      <c r="F1007" s="29">
        <v>3535</v>
      </c>
      <c r="G1007" s="4" t="s">
        <v>1480</v>
      </c>
      <c r="H1007" s="5">
        <v>6230</v>
      </c>
      <c r="I1007" s="4" t="s">
        <v>284</v>
      </c>
      <c r="J1007" s="4" t="s">
        <v>21</v>
      </c>
      <c r="K1007" s="4" t="s">
        <v>1517</v>
      </c>
      <c r="L1007" s="4" t="s">
        <v>18</v>
      </c>
      <c r="M1007" s="39">
        <v>48308.45</v>
      </c>
      <c r="N1007" s="39">
        <v>48912.93</v>
      </c>
      <c r="O1007" s="38">
        <v>0.87090000000000001</v>
      </c>
      <c r="P1007" s="39">
        <v>0.59</v>
      </c>
      <c r="Q1007" s="39">
        <v>0.63</v>
      </c>
      <c r="R1007" s="38">
        <v>0.68440000000000001</v>
      </c>
      <c r="S1007" s="40">
        <v>14</v>
      </c>
      <c r="T1007" s="39">
        <v>0.33</v>
      </c>
      <c r="U1007" s="39">
        <v>0.39</v>
      </c>
      <c r="V1007" s="39">
        <v>0.39</v>
      </c>
      <c r="W1007" s="38">
        <v>0.87790000000000001</v>
      </c>
      <c r="X1007" s="39">
        <v>16.98</v>
      </c>
      <c r="Y1007" s="41">
        <v>664069.86635533604</v>
      </c>
      <c r="Z1007" s="39">
        <v>13686</v>
      </c>
      <c r="AA1007" s="39">
        <v>6.5618310576881402</v>
      </c>
    </row>
    <row r="1008" spans="1:27" x14ac:dyDescent="0.25">
      <c r="A1008" s="7" t="str">
        <f t="shared" si="15"/>
        <v>3535Providence St Vincent Medical Center111153061721, NEUROSURGERY - 9E</v>
      </c>
      <c r="B1008" s="7"/>
      <c r="C1008" s="29" t="s">
        <v>1249</v>
      </c>
      <c r="D1008" s="29" t="s">
        <v>1249</v>
      </c>
      <c r="E1008" s="29" t="s">
        <v>1249</v>
      </c>
      <c r="F1008" s="29">
        <v>3535</v>
      </c>
      <c r="G1008" s="4" t="s">
        <v>1480</v>
      </c>
      <c r="H1008" s="5">
        <v>1111</v>
      </c>
      <c r="I1008" s="4" t="s">
        <v>146</v>
      </c>
      <c r="J1008" s="4" t="s">
        <v>23</v>
      </c>
      <c r="K1008" s="4" t="s">
        <v>1518</v>
      </c>
      <c r="L1008" s="4" t="s">
        <v>74</v>
      </c>
      <c r="M1008" s="39">
        <v>11886.96</v>
      </c>
      <c r="N1008" s="39">
        <v>12406</v>
      </c>
      <c r="O1008" s="38">
        <v>0.71430000000000005</v>
      </c>
      <c r="P1008" s="39">
        <v>9.82</v>
      </c>
      <c r="Q1008" s="39">
        <v>10.19</v>
      </c>
      <c r="R1008" s="38">
        <v>0.1429</v>
      </c>
      <c r="S1008" s="40">
        <v>15</v>
      </c>
      <c r="T1008" s="39">
        <v>10.38</v>
      </c>
      <c r="U1008" s="39">
        <v>10.74</v>
      </c>
      <c r="V1008" s="39">
        <v>11.33</v>
      </c>
      <c r="W1008" s="38">
        <v>0.90780000000000005</v>
      </c>
      <c r="X1008" s="39">
        <v>66.97</v>
      </c>
      <c r="Y1008" s="41">
        <v>-301754.97875424998</v>
      </c>
      <c r="Z1008" s="39">
        <v>-7094</v>
      </c>
      <c r="AA1008" s="39">
        <v>-3.4010512154953401</v>
      </c>
    </row>
    <row r="1009" spans="1:27" x14ac:dyDescent="0.25">
      <c r="A1009" s="7" t="str">
        <f t="shared" si="15"/>
        <v>3535Providence St Vincent Medical Center304053074292, SURGICAL SERVICES - PEDIATRIC</v>
      </c>
      <c r="B1009" s="7"/>
      <c r="C1009" s="29" t="s">
        <v>1249</v>
      </c>
      <c r="D1009" s="29" t="s">
        <v>1249</v>
      </c>
      <c r="E1009" s="29" t="s">
        <v>1249</v>
      </c>
      <c r="F1009" s="29">
        <v>3535</v>
      </c>
      <c r="G1009" s="4" t="s">
        <v>1480</v>
      </c>
      <c r="H1009" s="5">
        <v>3040</v>
      </c>
      <c r="I1009" s="4" t="s">
        <v>277</v>
      </c>
      <c r="J1009" s="4" t="s">
        <v>47</v>
      </c>
      <c r="K1009" s="4" t="s">
        <v>1520</v>
      </c>
      <c r="L1009" s="4" t="s">
        <v>88</v>
      </c>
      <c r="M1009" s="39">
        <v>854.4</v>
      </c>
      <c r="N1009" s="39">
        <v>1204.3900000000001</v>
      </c>
      <c r="O1009" s="38">
        <v>0.42859999999999998</v>
      </c>
      <c r="P1009" s="39">
        <v>19</v>
      </c>
      <c r="Q1009" s="39">
        <v>14.15</v>
      </c>
      <c r="R1009" s="38">
        <v>0.15379999999999999</v>
      </c>
      <c r="S1009" s="40">
        <v>15</v>
      </c>
      <c r="T1009" s="39">
        <v>15.51</v>
      </c>
      <c r="U1009" s="39">
        <v>17.760000000000002</v>
      </c>
      <c r="V1009" s="39">
        <v>18.91</v>
      </c>
      <c r="W1009" s="38">
        <v>0.92490000000000006</v>
      </c>
      <c r="X1009" s="39">
        <v>8.86</v>
      </c>
      <c r="Y1009" s="41">
        <v>-222168.31610559899</v>
      </c>
      <c r="Z1009" s="39">
        <v>-4648</v>
      </c>
      <c r="AA1009" s="39">
        <v>-2.2282620670845299</v>
      </c>
    </row>
    <row r="1010" spans="1:27" x14ac:dyDescent="0.25">
      <c r="A1010" s="7" t="str">
        <f t="shared" si="15"/>
        <v>3535Providence St Vincent Medical Center128053001280, NEWBORN NURSERY (U,N)</v>
      </c>
      <c r="B1010" s="7"/>
      <c r="C1010" s="29" t="s">
        <v>1249</v>
      </c>
      <c r="D1010" s="29" t="s">
        <v>1249</v>
      </c>
      <c r="E1010" s="29" t="s">
        <v>1249</v>
      </c>
      <c r="F1010" s="29">
        <v>3535</v>
      </c>
      <c r="G1010" s="4" t="s">
        <v>1480</v>
      </c>
      <c r="H1010" s="5">
        <v>1280</v>
      </c>
      <c r="I1010" s="4" t="s">
        <v>1020</v>
      </c>
      <c r="J1010" s="4" t="s">
        <v>23</v>
      </c>
      <c r="K1010" s="4" t="s">
        <v>1519</v>
      </c>
      <c r="L1010" s="4" t="s">
        <v>107</v>
      </c>
      <c r="M1010" s="39">
        <v>1764</v>
      </c>
      <c r="N1010" s="39">
        <v>1764</v>
      </c>
      <c r="O1010" s="38">
        <v>0.69189999999999996</v>
      </c>
      <c r="P1010" s="39">
        <v>5.91</v>
      </c>
      <c r="Q1010" s="39">
        <v>5.91</v>
      </c>
      <c r="R1010" s="38">
        <v>0.16589999999999999</v>
      </c>
      <c r="S1010" s="40">
        <v>15</v>
      </c>
      <c r="T1010" s="39">
        <v>7.35</v>
      </c>
      <c r="U1010" s="39">
        <v>7.76</v>
      </c>
      <c r="V1010" s="39">
        <v>8.5500000000000007</v>
      </c>
      <c r="W1010" s="38">
        <v>0.85729999999999995</v>
      </c>
      <c r="X1010" s="39">
        <v>5.84</v>
      </c>
      <c r="Y1010" s="41">
        <v>-200472.31002684199</v>
      </c>
      <c r="Z1010" s="39">
        <v>-3787</v>
      </c>
      <c r="AA1010" s="39">
        <v>-1.8155366009846801</v>
      </c>
    </row>
    <row r="1011" spans="1:27" x14ac:dyDescent="0.25">
      <c r="A1011" s="7" t="str">
        <f t="shared" si="15"/>
        <v>3535Providence St Vincent Medical Center423053075700, CARDIOVASCULAR LAB</v>
      </c>
      <c r="B1011" s="7"/>
      <c r="C1011" s="29" t="s">
        <v>1249</v>
      </c>
      <c r="D1011" s="29" t="s">
        <v>1249</v>
      </c>
      <c r="E1011" s="29" t="s">
        <v>1249</v>
      </c>
      <c r="F1011" s="29">
        <v>3535</v>
      </c>
      <c r="G1011" s="43" t="s">
        <v>1480</v>
      </c>
      <c r="H1011" s="42">
        <v>4230</v>
      </c>
      <c r="I1011" s="43" t="s">
        <v>96</v>
      </c>
      <c r="J1011" s="43" t="s">
        <v>60</v>
      </c>
      <c r="K1011" s="43" t="s">
        <v>1521</v>
      </c>
      <c r="L1011" s="43" t="s">
        <v>97</v>
      </c>
      <c r="M1011" s="46">
        <v>369999</v>
      </c>
      <c r="N1011" s="46">
        <v>437269</v>
      </c>
      <c r="O1011" s="45">
        <v>0.64290000000000003</v>
      </c>
      <c r="P1011" s="46">
        <v>0.18</v>
      </c>
      <c r="Q1011" s="46">
        <v>0.16</v>
      </c>
      <c r="R1011" s="45">
        <v>0.81820000000000004</v>
      </c>
      <c r="S1011" s="47">
        <v>15</v>
      </c>
      <c r="T1011" s="46">
        <v>0.14000000000000001</v>
      </c>
      <c r="U1011" s="46">
        <v>0.14000000000000001</v>
      </c>
      <c r="V1011" s="46">
        <v>0.14000000000000001</v>
      </c>
      <c r="W1011" s="45">
        <v>0.8982</v>
      </c>
      <c r="X1011" s="46">
        <v>38.43</v>
      </c>
      <c r="Y1011" s="48">
        <f>+Z1011*47.25</f>
        <v>460052.55511022022</v>
      </c>
      <c r="Z1011" s="46">
        <f>((Q1011-U1011)*N1011)/W1011</f>
        <v>9736.5620129147137</v>
      </c>
      <c r="AA1011" s="46">
        <f>Z1011/2085.7</f>
        <v>4.6682466380182746</v>
      </c>
    </row>
    <row r="1012" spans="1:27" x14ac:dyDescent="0.25">
      <c r="A1012" s="7" t="str">
        <f t="shared" si="15"/>
        <v>3535Providence St Vincent Medical Center343053076600, MRI</v>
      </c>
      <c r="B1012" s="7"/>
      <c r="C1012" s="29" t="s">
        <v>1249</v>
      </c>
      <c r="D1012" s="29" t="s">
        <v>1249</v>
      </c>
      <c r="E1012" s="29" t="s">
        <v>1249</v>
      </c>
      <c r="F1012" s="29">
        <v>3535</v>
      </c>
      <c r="G1012" s="4" t="s">
        <v>1480</v>
      </c>
      <c r="H1012" s="5">
        <v>3430</v>
      </c>
      <c r="I1012" s="4" t="s">
        <v>121</v>
      </c>
      <c r="J1012" s="4" t="s">
        <v>57</v>
      </c>
      <c r="K1012" s="4" t="s">
        <v>1523</v>
      </c>
      <c r="L1012" s="4" t="s">
        <v>99</v>
      </c>
      <c r="M1012" s="39">
        <v>71424.98</v>
      </c>
      <c r="N1012" s="39">
        <v>72943.759999999995</v>
      </c>
      <c r="O1012" s="38">
        <v>0.8</v>
      </c>
      <c r="P1012" s="39">
        <v>0.35</v>
      </c>
      <c r="Q1012" s="39">
        <v>0.35</v>
      </c>
      <c r="R1012" s="38">
        <v>0.4</v>
      </c>
      <c r="S1012" s="40">
        <v>16</v>
      </c>
      <c r="T1012" s="39">
        <v>0.33</v>
      </c>
      <c r="U1012" s="39">
        <v>0.35</v>
      </c>
      <c r="V1012" s="39">
        <v>0.36</v>
      </c>
      <c r="W1012" s="38">
        <v>0.89710000000000001</v>
      </c>
      <c r="X1012" s="39">
        <v>13.6</v>
      </c>
      <c r="Y1012" s="41">
        <v>-3767.62282728332</v>
      </c>
      <c r="Z1012" s="39">
        <v>-93</v>
      </c>
      <c r="AA1012" s="39">
        <v>-4.4684322591257E-2</v>
      </c>
    </row>
    <row r="1013" spans="1:27" x14ac:dyDescent="0.25">
      <c r="A1013" s="7" t="str">
        <f t="shared" si="15"/>
        <v>3535Providence St Vincent Medical Center126053062900, IP PEDIATRICS - 4E</v>
      </c>
      <c r="B1013" s="7"/>
      <c r="C1013" s="29" t="s">
        <v>1249</v>
      </c>
      <c r="D1013" s="29" t="s">
        <v>1249</v>
      </c>
      <c r="E1013" s="29" t="s">
        <v>1249</v>
      </c>
      <c r="F1013" s="29">
        <v>3535</v>
      </c>
      <c r="G1013" s="4" t="s">
        <v>1480</v>
      </c>
      <c r="H1013" s="5">
        <v>1260</v>
      </c>
      <c r="I1013" s="4" t="s">
        <v>173</v>
      </c>
      <c r="J1013" s="4" t="s">
        <v>23</v>
      </c>
      <c r="K1013" s="4" t="s">
        <v>1522</v>
      </c>
      <c r="L1013" s="4" t="s">
        <v>74</v>
      </c>
      <c r="M1013" s="39">
        <v>2437.63</v>
      </c>
      <c r="N1013" s="39">
        <v>2504</v>
      </c>
      <c r="O1013" s="38">
        <v>0.4667</v>
      </c>
      <c r="P1013" s="39">
        <v>14.75</v>
      </c>
      <c r="Q1013" s="39">
        <v>13.83</v>
      </c>
      <c r="R1013" s="38">
        <v>0.33329999999999999</v>
      </c>
      <c r="S1013" s="40">
        <v>16</v>
      </c>
      <c r="T1013" s="39">
        <v>13.08</v>
      </c>
      <c r="U1013" s="39">
        <v>13.89</v>
      </c>
      <c r="V1013" s="39">
        <v>14.17</v>
      </c>
      <c r="W1013" s="38">
        <v>0.87390000000000001</v>
      </c>
      <c r="X1013" s="39">
        <v>19.05</v>
      </c>
      <c r="Y1013" s="41">
        <v>-3098.9926092794499</v>
      </c>
      <c r="Z1013" s="39">
        <v>-67</v>
      </c>
      <c r="AA1013" s="39">
        <v>-3.1960380134844299E-2</v>
      </c>
    </row>
    <row r="1014" spans="1:27" x14ac:dyDescent="0.25">
      <c r="A1014" s="7" t="str">
        <f t="shared" si="15"/>
        <v>3535Providence St Vincent Medical Center101053060100, ICU</v>
      </c>
      <c r="B1014" s="7"/>
      <c r="C1014" s="29" t="s">
        <v>1249</v>
      </c>
      <c r="D1014" s="29" t="s">
        <v>1249</v>
      </c>
      <c r="E1014" s="29" t="s">
        <v>1249</v>
      </c>
      <c r="F1014" s="29">
        <v>3535</v>
      </c>
      <c r="G1014" s="4" t="s">
        <v>1480</v>
      </c>
      <c r="H1014" s="5">
        <v>1010</v>
      </c>
      <c r="I1014" s="4" t="s">
        <v>287</v>
      </c>
      <c r="J1014" s="4" t="s">
        <v>23</v>
      </c>
      <c r="K1014" s="4" t="s">
        <v>1524</v>
      </c>
      <c r="L1014" s="4" t="s">
        <v>74</v>
      </c>
      <c r="M1014" s="39">
        <v>3218.62</v>
      </c>
      <c r="N1014" s="39">
        <v>3257</v>
      </c>
      <c r="O1014" s="38">
        <v>0.5</v>
      </c>
      <c r="P1014" s="39">
        <v>20.329999999999998</v>
      </c>
      <c r="Q1014" s="39">
        <v>21.44</v>
      </c>
      <c r="R1014" s="38">
        <v>0.85709999999999997</v>
      </c>
      <c r="S1014" s="40">
        <v>17</v>
      </c>
      <c r="T1014" s="39">
        <v>17.91</v>
      </c>
      <c r="U1014" s="39">
        <v>18.79</v>
      </c>
      <c r="V1014" s="39">
        <v>20.100000000000001</v>
      </c>
      <c r="W1014" s="38">
        <v>0.89500000000000002</v>
      </c>
      <c r="X1014" s="39">
        <v>37.520000000000003</v>
      </c>
      <c r="Y1014" s="41">
        <v>545212.39765687298</v>
      </c>
      <c r="Z1014" s="39">
        <v>9877</v>
      </c>
      <c r="AA1014" s="70">
        <v>4.7354171408765602</v>
      </c>
    </row>
    <row r="1015" spans="1:27" x14ac:dyDescent="0.25">
      <c r="A1015" s="7" t="str">
        <f t="shared" si="15"/>
        <v>3535Providence St Vincent Medical Center341153076300, DIAGNOSTIC IMAGING</v>
      </c>
      <c r="B1015" s="7"/>
      <c r="C1015" s="29" t="s">
        <v>1249</v>
      </c>
      <c r="D1015" s="29" t="s">
        <v>1249</v>
      </c>
      <c r="E1015" s="29" t="s">
        <v>1249</v>
      </c>
      <c r="F1015" s="29">
        <v>3535</v>
      </c>
      <c r="G1015" s="4" t="s">
        <v>1480</v>
      </c>
      <c r="H1015" s="5">
        <v>3411</v>
      </c>
      <c r="I1015" s="4" t="s">
        <v>117</v>
      </c>
      <c r="J1015" s="4" t="s">
        <v>57</v>
      </c>
      <c r="K1015" s="4" t="s">
        <v>1525</v>
      </c>
      <c r="L1015" s="4" t="s">
        <v>99</v>
      </c>
      <c r="M1015" s="39">
        <v>103717.88</v>
      </c>
      <c r="N1015" s="39">
        <v>98844.68</v>
      </c>
      <c r="O1015" s="38">
        <v>0.5</v>
      </c>
      <c r="P1015" s="39">
        <v>0.61</v>
      </c>
      <c r="Q1015" s="39">
        <v>0.64</v>
      </c>
      <c r="R1015" s="38">
        <v>0.5</v>
      </c>
      <c r="S1015" s="40">
        <v>17</v>
      </c>
      <c r="T1015" s="39">
        <v>0.6</v>
      </c>
      <c r="U1015" s="39">
        <v>0.62</v>
      </c>
      <c r="V1015" s="39">
        <v>0.64</v>
      </c>
      <c r="W1015" s="38">
        <v>0.88290000000000002</v>
      </c>
      <c r="X1015" s="39">
        <v>34.65</v>
      </c>
      <c r="Y1015" s="41">
        <v>96877.832107336595</v>
      </c>
      <c r="Z1015" s="39">
        <v>2858</v>
      </c>
      <c r="AA1015" s="39">
        <v>1.3701292223641099</v>
      </c>
    </row>
    <row r="1016" spans="1:27" x14ac:dyDescent="0.25">
      <c r="A1016" s="7" t="str">
        <f t="shared" si="15"/>
        <v>3535Providence St Vincent Medical Center201053070100, 53070101 EMERGENCY SVCS</v>
      </c>
      <c r="B1016" s="7"/>
      <c r="C1016" s="29" t="s">
        <v>1249</v>
      </c>
      <c r="D1016" s="29" t="s">
        <v>1249</v>
      </c>
      <c r="E1016" s="29" t="s">
        <v>1249</v>
      </c>
      <c r="F1016" s="29">
        <v>3535</v>
      </c>
      <c r="G1016" s="4" t="s">
        <v>1480</v>
      </c>
      <c r="H1016" s="5">
        <v>2010</v>
      </c>
      <c r="I1016" s="4" t="s">
        <v>75</v>
      </c>
      <c r="J1016" s="4" t="s">
        <v>76</v>
      </c>
      <c r="K1016" s="4" t="s">
        <v>1527</v>
      </c>
      <c r="L1016" s="4" t="s">
        <v>77</v>
      </c>
      <c r="M1016" s="39">
        <v>77043</v>
      </c>
      <c r="N1016" s="39">
        <v>75447</v>
      </c>
      <c r="O1016" s="38">
        <v>0.58819999999999995</v>
      </c>
      <c r="P1016" s="39">
        <v>2.58</v>
      </c>
      <c r="Q1016" s="39">
        <v>3.02</v>
      </c>
      <c r="R1016" s="38">
        <v>0.64710000000000001</v>
      </c>
      <c r="S1016" s="40">
        <v>18</v>
      </c>
      <c r="T1016" s="39">
        <v>2.69</v>
      </c>
      <c r="U1016" s="39">
        <v>2.76</v>
      </c>
      <c r="V1016" s="39">
        <v>2.83</v>
      </c>
      <c r="W1016" s="38">
        <v>0.90549999999999997</v>
      </c>
      <c r="X1016" s="39">
        <v>120.9</v>
      </c>
      <c r="Y1016" s="41">
        <v>987849.31835771701</v>
      </c>
      <c r="Z1016" s="39">
        <v>22196</v>
      </c>
      <c r="AA1016" s="39">
        <v>10.641834612158901</v>
      </c>
    </row>
    <row r="1017" spans="1:27" x14ac:dyDescent="0.25">
      <c r="A1017" s="7" t="str">
        <f t="shared" si="15"/>
        <v>3535Providence St Vincent Medical Center124053061770, ORTHOPEDICS - 9W</v>
      </c>
      <c r="B1017" s="7"/>
      <c r="C1017" s="29" t="s">
        <v>1249</v>
      </c>
      <c r="D1017" s="29" t="s">
        <v>1249</v>
      </c>
      <c r="E1017" s="29" t="s">
        <v>1249</v>
      </c>
      <c r="F1017" s="29">
        <v>3535</v>
      </c>
      <c r="G1017" s="4" t="s">
        <v>1480</v>
      </c>
      <c r="H1017" s="5">
        <v>1240</v>
      </c>
      <c r="I1017" s="4" t="s">
        <v>110</v>
      </c>
      <c r="J1017" s="4" t="s">
        <v>23</v>
      </c>
      <c r="K1017" s="4" t="s">
        <v>1526</v>
      </c>
      <c r="L1017" s="4" t="s">
        <v>74</v>
      </c>
      <c r="M1017" s="39">
        <v>4727.08</v>
      </c>
      <c r="N1017" s="39">
        <v>4546</v>
      </c>
      <c r="O1017" s="38">
        <v>0.4118</v>
      </c>
      <c r="P1017" s="39">
        <v>9.19</v>
      </c>
      <c r="Q1017" s="39">
        <v>9.69</v>
      </c>
      <c r="R1017" s="38">
        <v>0.1176</v>
      </c>
      <c r="S1017" s="40">
        <v>18</v>
      </c>
      <c r="T1017" s="39">
        <v>9.9600000000000009</v>
      </c>
      <c r="U1017" s="39">
        <v>10.43</v>
      </c>
      <c r="V1017" s="39">
        <v>10.89</v>
      </c>
      <c r="W1017" s="38">
        <v>0.85299999999999998</v>
      </c>
      <c r="X1017" s="39">
        <v>24.84</v>
      </c>
      <c r="Y1017" s="41">
        <v>-166059.66805368999</v>
      </c>
      <c r="Z1017" s="39">
        <v>-3777</v>
      </c>
      <c r="AA1017" s="39">
        <v>-1.8109606165941801</v>
      </c>
    </row>
    <row r="1018" spans="1:27" x14ac:dyDescent="0.25">
      <c r="A1018" s="7" t="str">
        <f t="shared" si="15"/>
        <v>3535Providence St Vincent Medical Center487253070813, BRIDGEPORT REHAB SRVS</v>
      </c>
      <c r="B1018" s="7"/>
      <c r="C1018" s="29" t="s">
        <v>1249</v>
      </c>
      <c r="D1018" s="29" t="s">
        <v>1249</v>
      </c>
      <c r="E1018" s="29" t="s">
        <v>1249</v>
      </c>
      <c r="F1018" s="29">
        <v>3535</v>
      </c>
      <c r="G1018" s="4" t="s">
        <v>1480</v>
      </c>
      <c r="H1018" s="5">
        <v>4872</v>
      </c>
      <c r="I1018" s="4" t="s">
        <v>197</v>
      </c>
      <c r="J1018" s="4" t="s">
        <v>41</v>
      </c>
      <c r="K1018" s="4" t="s">
        <v>1528</v>
      </c>
      <c r="L1018" s="4" t="s">
        <v>79</v>
      </c>
      <c r="M1018" s="39">
        <v>489.97</v>
      </c>
      <c r="N1018" s="39">
        <v>712.64</v>
      </c>
      <c r="O1018" s="38">
        <v>0.4118</v>
      </c>
      <c r="P1018" s="39">
        <v>24.14</v>
      </c>
      <c r="Q1018" s="39">
        <v>21.38</v>
      </c>
      <c r="R1018" s="38">
        <v>0.2</v>
      </c>
      <c r="S1018" s="40">
        <v>18</v>
      </c>
      <c r="T1018" s="39">
        <v>22.02</v>
      </c>
      <c r="U1018" s="39">
        <v>22.65</v>
      </c>
      <c r="V1018" s="39">
        <v>23.84</v>
      </c>
      <c r="W1018" s="38">
        <v>0.91080000000000005</v>
      </c>
      <c r="X1018" s="39">
        <v>8.0399999999999991</v>
      </c>
      <c r="Y1018" s="41">
        <v>-33960.553926258697</v>
      </c>
      <c r="Z1018" s="39">
        <v>-953</v>
      </c>
      <c r="AA1018" s="39">
        <v>-0.45695931192915901</v>
      </c>
    </row>
    <row r="1019" spans="1:27" x14ac:dyDescent="0.25">
      <c r="A1019" s="84" t="str">
        <f t="shared" si="15"/>
        <v>3535Providence St Vincent Medical Center500153084100, 53084500, 53084600 GARDEN &amp; GROUNDS, FACILITY &amp; MAINT</v>
      </c>
      <c r="B1019" s="84"/>
      <c r="C1019" s="88" t="s">
        <v>1249</v>
      </c>
      <c r="D1019" s="148" t="s">
        <v>1249</v>
      </c>
      <c r="E1019" s="148" t="s">
        <v>1249</v>
      </c>
      <c r="F1019" s="148">
        <v>3535</v>
      </c>
      <c r="G1019" s="43" t="s">
        <v>1480</v>
      </c>
      <c r="H1019" s="42">
        <v>5001</v>
      </c>
      <c r="I1019" s="43" t="s">
        <v>141</v>
      </c>
      <c r="J1019" s="43" t="s">
        <v>62</v>
      </c>
      <c r="K1019" s="43" t="s">
        <v>1529</v>
      </c>
      <c r="L1019" s="43" t="s">
        <v>63</v>
      </c>
      <c r="M1019" s="46">
        <v>2197.11</v>
      </c>
      <c r="N1019" s="46">
        <v>2197.11</v>
      </c>
      <c r="O1019" s="45">
        <v>0.47060000000000002</v>
      </c>
      <c r="P1019" s="46">
        <v>26.41</v>
      </c>
      <c r="Q1019" s="46">
        <f>45063.38/N1019</f>
        <v>20.510297618234862</v>
      </c>
      <c r="R1019" s="45">
        <v>0.17649999999999999</v>
      </c>
      <c r="S1019" s="47">
        <v>18</v>
      </c>
      <c r="T1019" s="46">
        <v>25.03</v>
      </c>
      <c r="U1019" s="46">
        <v>27.45</v>
      </c>
      <c r="V1019" s="46">
        <v>29.52</v>
      </c>
      <c r="W1019" s="45">
        <v>0.88109999999999999</v>
      </c>
      <c r="X1019" s="46">
        <v>28.67</v>
      </c>
      <c r="Y1019" s="48">
        <f>+Z1019*35.75</f>
        <v>-618647.82615480665</v>
      </c>
      <c r="Z1019" s="46">
        <f>((Q1019-U1019)*N1019)/W1019</f>
        <v>-17304.834298036549</v>
      </c>
      <c r="AA1019" s="46">
        <f>Z1019/2085.7</f>
        <v>-8.2968951901215657</v>
      </c>
    </row>
    <row r="1020" spans="1:27" x14ac:dyDescent="0.25">
      <c r="A1020" s="7" t="str">
        <f t="shared" si="15"/>
        <v>3535Providence St Vincent Medical Center560853005608, CENTRALIZED SCHEDULING (U,N)</v>
      </c>
      <c r="B1020" s="7"/>
      <c r="C1020" s="29" t="s">
        <v>1249</v>
      </c>
      <c r="D1020" s="29" t="s">
        <v>1249</v>
      </c>
      <c r="E1020" s="29" t="s">
        <v>1249</v>
      </c>
      <c r="F1020" s="29">
        <v>3535</v>
      </c>
      <c r="G1020" s="4" t="s">
        <v>1480</v>
      </c>
      <c r="H1020" s="5">
        <v>5608</v>
      </c>
      <c r="I1020" s="4" t="s">
        <v>257</v>
      </c>
      <c r="J1020" s="4" t="s">
        <v>12</v>
      </c>
      <c r="K1020" s="4" t="s">
        <v>1530</v>
      </c>
      <c r="L1020" s="4" t="s">
        <v>18</v>
      </c>
      <c r="M1020" s="39">
        <v>48308.45</v>
      </c>
      <c r="N1020" s="39">
        <v>48912.93</v>
      </c>
      <c r="O1020" s="38">
        <v>0.80379999999999996</v>
      </c>
      <c r="P1020" s="39">
        <v>0.78</v>
      </c>
      <c r="Q1020" s="39">
        <v>0.71</v>
      </c>
      <c r="R1020" s="38">
        <v>0.40910000000000002</v>
      </c>
      <c r="S1020" s="40">
        <v>18</v>
      </c>
      <c r="T1020" s="39">
        <v>0.54</v>
      </c>
      <c r="U1020" s="39">
        <v>0.65</v>
      </c>
      <c r="V1020" s="39">
        <v>0.91</v>
      </c>
      <c r="W1020" s="38">
        <v>0.88349999999999995</v>
      </c>
      <c r="X1020" s="39">
        <v>18.87</v>
      </c>
      <c r="Y1020" s="41">
        <v>69212.894778012604</v>
      </c>
      <c r="Z1020" s="39">
        <v>3371</v>
      </c>
      <c r="AA1020" s="70">
        <v>1.6164430966693499</v>
      </c>
    </row>
    <row r="1021" spans="1:27" x14ac:dyDescent="0.25">
      <c r="A1021" s="7" t="str">
        <f t="shared" si="15"/>
        <v>3535Providence St Vincent Medical Center304053074291, SURGICAL SVCS-OPHTHALMOLOGY</v>
      </c>
      <c r="B1021" s="7"/>
      <c r="C1021" s="29" t="s">
        <v>1249</v>
      </c>
      <c r="D1021" s="29" t="s">
        <v>1249</v>
      </c>
      <c r="E1021" s="29" t="s">
        <v>1249</v>
      </c>
      <c r="F1021" s="29">
        <v>3535</v>
      </c>
      <c r="G1021" s="4" t="s">
        <v>1480</v>
      </c>
      <c r="H1021" s="5">
        <v>3040</v>
      </c>
      <c r="I1021" s="4" t="s">
        <v>277</v>
      </c>
      <c r="J1021" s="4" t="s">
        <v>47</v>
      </c>
      <c r="K1021" s="79" t="s">
        <v>1532</v>
      </c>
      <c r="L1021" s="79" t="s">
        <v>88</v>
      </c>
      <c r="M1021" s="80">
        <v>1339.8</v>
      </c>
      <c r="N1021" s="80">
        <v>1332.86</v>
      </c>
      <c r="O1021" s="81">
        <v>0.44440000000000002</v>
      </c>
      <c r="P1021" s="80">
        <v>16.920000000000002</v>
      </c>
      <c r="Q1021" s="80">
        <f>18945.18/N1021</f>
        <v>14.213930945485648</v>
      </c>
      <c r="R1021" s="81">
        <v>0.17649999999999999</v>
      </c>
      <c r="S1021" s="83">
        <v>19</v>
      </c>
      <c r="T1021" s="80">
        <v>16.82</v>
      </c>
      <c r="U1021" s="80">
        <v>17.989999999999998</v>
      </c>
      <c r="V1021" s="80">
        <v>18.739999999999998</v>
      </c>
      <c r="W1021" s="81">
        <v>0.86739999999999995</v>
      </c>
      <c r="X1021" s="80">
        <v>11.08</v>
      </c>
      <c r="Y1021" s="78">
        <f>+Z1021*49.97</f>
        <v>-289944.17899239087</v>
      </c>
      <c r="Z1021" s="75">
        <f>((Q1021-U1021)*N1021)/W1021</f>
        <v>-5802.3649988471252</v>
      </c>
      <c r="AA1021" s="75">
        <f>Z1021/2085.7</f>
        <v>-2.7819748759874985</v>
      </c>
    </row>
    <row r="1022" spans="1:27" x14ac:dyDescent="0.25">
      <c r="A1022" s="7" t="str">
        <f t="shared" si="15"/>
        <v>3535Providence St Vincent Medical Center486153077800, SPEECH THERAPY</v>
      </c>
      <c r="B1022" s="7"/>
      <c r="C1022" s="29" t="s">
        <v>1249</v>
      </c>
      <c r="D1022" s="29" t="s">
        <v>1249</v>
      </c>
      <c r="E1022" s="29" t="s">
        <v>1249</v>
      </c>
      <c r="F1022" s="29">
        <v>3535</v>
      </c>
      <c r="G1022" s="4" t="s">
        <v>1480</v>
      </c>
      <c r="H1022" s="5">
        <v>4861</v>
      </c>
      <c r="I1022" s="4" t="s">
        <v>125</v>
      </c>
      <c r="J1022" s="4" t="s">
        <v>41</v>
      </c>
      <c r="K1022" s="4" t="s">
        <v>1533</v>
      </c>
      <c r="L1022" s="4" t="s">
        <v>79</v>
      </c>
      <c r="M1022" s="39">
        <v>407.62</v>
      </c>
      <c r="N1022" s="39">
        <v>495</v>
      </c>
      <c r="O1022" s="38">
        <v>0.77780000000000005</v>
      </c>
      <c r="P1022" s="39">
        <v>19.23</v>
      </c>
      <c r="Q1022" s="39">
        <v>19.600000000000001</v>
      </c>
      <c r="R1022" s="38">
        <v>0.1053</v>
      </c>
      <c r="S1022" s="40">
        <v>19</v>
      </c>
      <c r="T1022" s="39">
        <v>21.21</v>
      </c>
      <c r="U1022" s="39">
        <v>22.97</v>
      </c>
      <c r="V1022" s="39">
        <v>25.6</v>
      </c>
      <c r="W1022" s="38">
        <v>0.90620000000000001</v>
      </c>
      <c r="X1022" s="39">
        <v>5.15</v>
      </c>
      <c r="Y1022" s="41">
        <v>-69327.585797456704</v>
      </c>
      <c r="Z1022" s="39">
        <v>-1806</v>
      </c>
      <c r="AA1022" s="39">
        <v>-0.86575713939527499</v>
      </c>
    </row>
    <row r="1023" spans="1:27" x14ac:dyDescent="0.25">
      <c r="A1023" s="7" t="str">
        <f t="shared" si="15"/>
        <v>3535Providence St Vincent Medical Center112253060340, CARDIOLOGY - 6E</v>
      </c>
      <c r="B1023" s="7"/>
      <c r="C1023" s="29" t="s">
        <v>1249</v>
      </c>
      <c r="D1023" s="29" t="s">
        <v>1249</v>
      </c>
      <c r="E1023" s="29" t="s">
        <v>1249</v>
      </c>
      <c r="F1023" s="29">
        <v>3535</v>
      </c>
      <c r="G1023" s="4" t="s">
        <v>1480</v>
      </c>
      <c r="H1023" s="5">
        <v>1122</v>
      </c>
      <c r="I1023" s="4" t="s">
        <v>105</v>
      </c>
      <c r="J1023" s="4" t="s">
        <v>23</v>
      </c>
      <c r="K1023" s="4" t="s">
        <v>1531</v>
      </c>
      <c r="L1023" s="4" t="s">
        <v>74</v>
      </c>
      <c r="M1023" s="39">
        <v>10864.67</v>
      </c>
      <c r="N1023" s="39">
        <v>12790</v>
      </c>
      <c r="O1023" s="38">
        <v>0.5</v>
      </c>
      <c r="P1023" s="39">
        <v>10.89</v>
      </c>
      <c r="Q1023" s="39">
        <v>10.9</v>
      </c>
      <c r="R1023" s="38">
        <v>0.58819999999999995</v>
      </c>
      <c r="S1023" s="40">
        <v>19</v>
      </c>
      <c r="T1023" s="39">
        <v>9.7100000000000009</v>
      </c>
      <c r="U1023" s="39">
        <v>10.01</v>
      </c>
      <c r="V1023" s="39">
        <v>10.46</v>
      </c>
      <c r="W1023" s="38">
        <v>0.89939999999999998</v>
      </c>
      <c r="X1023" s="39">
        <v>74.56</v>
      </c>
      <c r="Y1023" s="41">
        <v>603227.29976968304</v>
      </c>
      <c r="Z1023" s="39">
        <v>13162</v>
      </c>
      <c r="AA1023" s="39">
        <v>6.3104334422327097</v>
      </c>
    </row>
    <row r="1024" spans="1:27" x14ac:dyDescent="0.25">
      <c r="A1024" s="7" t="str">
        <f t="shared" si="15"/>
        <v>3535Providence St Vincent Medical Center422053075910, 53075600 EKG &amp; ECHO</v>
      </c>
      <c r="B1024" s="7"/>
      <c r="C1024" s="29" t="s">
        <v>1249</v>
      </c>
      <c r="D1024" s="29" t="s">
        <v>1249</v>
      </c>
      <c r="E1024" s="29" t="s">
        <v>1249</v>
      </c>
      <c r="F1024" s="29">
        <v>3535</v>
      </c>
      <c r="G1024" s="4" t="s">
        <v>1480</v>
      </c>
      <c r="H1024" s="5">
        <v>4220</v>
      </c>
      <c r="I1024" s="4" t="s">
        <v>98</v>
      </c>
      <c r="J1024" s="4" t="s">
        <v>60</v>
      </c>
      <c r="K1024" s="4" t="s">
        <v>1535</v>
      </c>
      <c r="L1024" s="4" t="s">
        <v>99</v>
      </c>
      <c r="M1024" s="39">
        <v>99420.76</v>
      </c>
      <c r="N1024" s="39">
        <v>200036.27</v>
      </c>
      <c r="O1024" s="38">
        <v>0.94740000000000002</v>
      </c>
      <c r="P1024" s="39">
        <v>0.38</v>
      </c>
      <c r="Q1024" s="39">
        <v>0.19</v>
      </c>
      <c r="R1024" s="38">
        <v>5.2600000000000001E-2</v>
      </c>
      <c r="S1024" s="40">
        <v>20</v>
      </c>
      <c r="T1024" s="39">
        <v>0.22</v>
      </c>
      <c r="U1024" s="39">
        <v>0.26</v>
      </c>
      <c r="V1024" s="39">
        <v>0.28000000000000003</v>
      </c>
      <c r="W1024" s="38">
        <v>0.88429999999999997</v>
      </c>
      <c r="X1024" s="39">
        <v>21.1</v>
      </c>
      <c r="Y1024" s="41">
        <v>-531760.10779723199</v>
      </c>
      <c r="Z1024" s="39">
        <v>-14806</v>
      </c>
      <c r="AA1024" s="39">
        <v>-7.0988001514933599</v>
      </c>
    </row>
    <row r="1025" spans="1:27" x14ac:dyDescent="0.25">
      <c r="A1025" s="7" t="str">
        <f t="shared" si="15"/>
        <v>3535Providence St Vincent Medical Center481253070856, ORENCO REHAB (U)</v>
      </c>
      <c r="B1025" s="7"/>
      <c r="C1025" s="29" t="s">
        <v>1249</v>
      </c>
      <c r="D1025" s="29" t="s">
        <v>1249</v>
      </c>
      <c r="E1025" s="29" t="s">
        <v>1249</v>
      </c>
      <c r="F1025" s="29">
        <v>3535</v>
      </c>
      <c r="G1025" s="4" t="s">
        <v>1480</v>
      </c>
      <c r="H1025" s="5">
        <v>4812</v>
      </c>
      <c r="I1025" s="4" t="s">
        <v>78</v>
      </c>
      <c r="J1025" s="4" t="s">
        <v>41</v>
      </c>
      <c r="K1025" s="4" t="s">
        <v>1536</v>
      </c>
      <c r="L1025" s="4" t="s">
        <v>79</v>
      </c>
      <c r="M1025" s="39">
        <v>268.89999999999998</v>
      </c>
      <c r="N1025" s="39">
        <v>335.78</v>
      </c>
      <c r="O1025" s="38">
        <v>0.3765</v>
      </c>
      <c r="P1025" s="39">
        <v>20.99</v>
      </c>
      <c r="Q1025" s="39">
        <v>16.41</v>
      </c>
      <c r="R1025" s="7"/>
      <c r="S1025" s="40">
        <v>20</v>
      </c>
      <c r="T1025" s="39">
        <v>22.22</v>
      </c>
      <c r="U1025" s="39">
        <v>22.72</v>
      </c>
      <c r="V1025" s="39">
        <v>23.93</v>
      </c>
      <c r="W1025" s="38">
        <v>0.9073</v>
      </c>
      <c r="X1025" s="39">
        <v>2.92</v>
      </c>
      <c r="Y1025" s="41">
        <v>-93396.852768148397</v>
      </c>
      <c r="Z1025" s="39">
        <v>-2318</v>
      </c>
      <c r="AA1025" s="39">
        <v>-1.1114418493467</v>
      </c>
    </row>
    <row r="1026" spans="1:27" x14ac:dyDescent="0.25">
      <c r="A1026" s="7" t="str">
        <f t="shared" si="15"/>
        <v>3535Providence St Vincent Medical Center301253074230, SURGICAL SERVICES - CARDIAC</v>
      </c>
      <c r="B1026" s="7"/>
      <c r="C1026" s="29" t="s">
        <v>1249</v>
      </c>
      <c r="D1026" s="29" t="s">
        <v>1249</v>
      </c>
      <c r="E1026" s="29" t="s">
        <v>1249</v>
      </c>
      <c r="F1026" s="29">
        <v>3535</v>
      </c>
      <c r="G1026" s="4" t="s">
        <v>1480</v>
      </c>
      <c r="H1026" s="5">
        <v>3012</v>
      </c>
      <c r="I1026" s="4" t="s">
        <v>295</v>
      </c>
      <c r="J1026" s="4" t="s">
        <v>47</v>
      </c>
      <c r="K1026" s="4" t="s">
        <v>1534</v>
      </c>
      <c r="L1026" s="4" t="s">
        <v>88</v>
      </c>
      <c r="M1026" s="39">
        <v>2020.44</v>
      </c>
      <c r="N1026" s="39">
        <v>2097.5500000000002</v>
      </c>
      <c r="O1026" s="38">
        <v>0.57889999999999997</v>
      </c>
      <c r="P1026" s="39">
        <v>18.52</v>
      </c>
      <c r="Q1026" s="39">
        <v>16.91</v>
      </c>
      <c r="R1026" s="38">
        <v>0.76470000000000005</v>
      </c>
      <c r="S1026" s="40">
        <v>20</v>
      </c>
      <c r="T1026" s="39">
        <v>13.76</v>
      </c>
      <c r="U1026" s="39">
        <v>15.34</v>
      </c>
      <c r="V1026" s="39">
        <v>16.329999999999998</v>
      </c>
      <c r="W1026" s="38">
        <v>0.89439999999999997</v>
      </c>
      <c r="X1026" s="39">
        <v>19.07</v>
      </c>
      <c r="Y1026" s="41">
        <v>177097.22062899001</v>
      </c>
      <c r="Z1026" s="39">
        <v>3799</v>
      </c>
      <c r="AA1026" s="39">
        <v>1.82139209300095</v>
      </c>
    </row>
    <row r="1027" spans="1:27" x14ac:dyDescent="0.25">
      <c r="A1027" s="7" t="str">
        <f t="shared" ref="A1027:A1090" si="16">F1027&amp;G1027&amp;H1027&amp;K1027</f>
        <v>3535Providence St Vincent Medical Center441053077100, 53077111 PHARMACY &amp; RESIDENTS</v>
      </c>
      <c r="B1027" s="7"/>
      <c r="C1027" s="29" t="s">
        <v>1249</v>
      </c>
      <c r="D1027" s="29" t="s">
        <v>1249</v>
      </c>
      <c r="E1027" s="29" t="s">
        <v>1249</v>
      </c>
      <c r="F1027" s="29">
        <v>3535</v>
      </c>
      <c r="G1027" s="4" t="s">
        <v>1480</v>
      </c>
      <c r="H1027" s="86">
        <v>4410</v>
      </c>
      <c r="I1027" s="79" t="s">
        <v>37</v>
      </c>
      <c r="J1027" s="79" t="s">
        <v>37</v>
      </c>
      <c r="K1027" s="79" t="s">
        <v>1538</v>
      </c>
      <c r="L1027" s="79" t="s">
        <v>100</v>
      </c>
      <c r="M1027" s="80">
        <v>63617.83</v>
      </c>
      <c r="N1027" s="80">
        <v>65381.57</v>
      </c>
      <c r="O1027" s="81">
        <v>0.7</v>
      </c>
      <c r="P1027" s="80">
        <v>1.64</v>
      </c>
      <c r="Q1027" s="80">
        <f>105219.18/N1027</f>
        <v>1.6093094736024234</v>
      </c>
      <c r="R1027" s="81">
        <v>0.21049999999999999</v>
      </c>
      <c r="S1027" s="83">
        <v>21</v>
      </c>
      <c r="T1027" s="80">
        <v>1.61</v>
      </c>
      <c r="U1027" s="80">
        <v>1.72</v>
      </c>
      <c r="V1027" s="80">
        <v>1.95</v>
      </c>
      <c r="W1027" s="81">
        <v>0.88560000000000005</v>
      </c>
      <c r="X1027" s="80">
        <v>57.05</v>
      </c>
      <c r="Y1027" s="78">
        <f>+Z1027*45.21</f>
        <v>-369455.97705962067</v>
      </c>
      <c r="Z1027" s="75">
        <f>((Q1027-U1027)*N1027)/W1027</f>
        <v>-8171.9968383017176</v>
      </c>
      <c r="AA1027" s="75">
        <f>Z1027/2085.7</f>
        <v>-3.9181075122509079</v>
      </c>
    </row>
    <row r="1028" spans="1:27" x14ac:dyDescent="0.25">
      <c r="A1028" s="7" t="str">
        <f t="shared" si="16"/>
        <v>3535Providence St Vincent Medical Center591053084200, SECURITY</v>
      </c>
      <c r="B1028" s="7"/>
      <c r="C1028" s="29" t="s">
        <v>1249</v>
      </c>
      <c r="D1028" s="29" t="s">
        <v>1249</v>
      </c>
      <c r="E1028" s="29" t="s">
        <v>1249</v>
      </c>
      <c r="F1028" s="29">
        <v>3535</v>
      </c>
      <c r="G1028" s="4" t="s">
        <v>1480</v>
      </c>
      <c r="H1028" s="5">
        <v>5910</v>
      </c>
      <c r="I1028" s="4" t="s">
        <v>139</v>
      </c>
      <c r="J1028" s="4" t="s">
        <v>136</v>
      </c>
      <c r="K1028" s="4" t="s">
        <v>1539</v>
      </c>
      <c r="L1028" s="4" t="s">
        <v>140</v>
      </c>
      <c r="M1028" s="39">
        <v>4427.8900000000003</v>
      </c>
      <c r="N1028" s="39">
        <v>4427.8900000000003</v>
      </c>
      <c r="O1028" s="38">
        <v>0.7</v>
      </c>
      <c r="P1028" s="39">
        <v>10.77</v>
      </c>
      <c r="Q1028" s="39">
        <v>10.71</v>
      </c>
      <c r="R1028" s="38">
        <v>0.25</v>
      </c>
      <c r="S1028" s="40">
        <v>21</v>
      </c>
      <c r="T1028" s="39">
        <v>10.71</v>
      </c>
      <c r="U1028" s="39">
        <v>11.52</v>
      </c>
      <c r="V1028" s="39">
        <v>14.29</v>
      </c>
      <c r="W1028" s="38">
        <v>0.90190000000000003</v>
      </c>
      <c r="X1028" s="39">
        <v>25.28</v>
      </c>
      <c r="Y1028" s="41">
        <v>-83569.150550153601</v>
      </c>
      <c r="Z1028" s="39">
        <v>-3831</v>
      </c>
      <c r="AA1028" s="39">
        <v>-1.8368397361867601</v>
      </c>
    </row>
    <row r="1029" spans="1:27" x14ac:dyDescent="0.25">
      <c r="A1029" s="7" t="str">
        <f t="shared" si="16"/>
        <v>3535Providence St Vincent Medical Center344053076390, MAMMOGRAPHY</v>
      </c>
      <c r="B1029" s="7"/>
      <c r="C1029" s="29" t="s">
        <v>1249</v>
      </c>
      <c r="D1029" s="29" t="s">
        <v>1249</v>
      </c>
      <c r="E1029" s="29" t="s">
        <v>1249</v>
      </c>
      <c r="F1029" s="29">
        <v>3535</v>
      </c>
      <c r="G1029" s="4" t="s">
        <v>1480</v>
      </c>
      <c r="H1029" s="5">
        <v>3440</v>
      </c>
      <c r="I1029" s="4" t="s">
        <v>119</v>
      </c>
      <c r="J1029" s="4" t="s">
        <v>57</v>
      </c>
      <c r="K1029" s="4" t="s">
        <v>1537</v>
      </c>
      <c r="L1029" s="4" t="s">
        <v>99</v>
      </c>
      <c r="M1029" s="39">
        <v>29078.16</v>
      </c>
      <c r="N1029" s="39">
        <v>39256.480000000003</v>
      </c>
      <c r="O1029" s="38">
        <v>0.45</v>
      </c>
      <c r="P1029" s="39">
        <v>0.73</v>
      </c>
      <c r="Q1029" s="39">
        <v>0.55000000000000004</v>
      </c>
      <c r="R1029" s="38">
        <v>0.55000000000000004</v>
      </c>
      <c r="S1029" s="40">
        <v>21</v>
      </c>
      <c r="T1029" s="39">
        <v>0.47</v>
      </c>
      <c r="U1029" s="39">
        <v>0.49</v>
      </c>
      <c r="V1029" s="39">
        <v>0.54</v>
      </c>
      <c r="W1029" s="38">
        <v>0.89870000000000005</v>
      </c>
      <c r="X1029" s="39">
        <v>11.63</v>
      </c>
      <c r="Y1029" s="41">
        <v>108610.02942240299</v>
      </c>
      <c r="Z1029" s="39">
        <v>2853</v>
      </c>
      <c r="AA1029" s="39">
        <v>1.3677910661886901</v>
      </c>
    </row>
    <row r="1030" spans="1:27" x14ac:dyDescent="0.25">
      <c r="A1030" s="7" t="str">
        <f t="shared" si="16"/>
        <v>3535Providence St Vincent Medical Center481253070819, SCHOLLS PHYSICAL THERAPY</v>
      </c>
      <c r="B1030" s="7"/>
      <c r="C1030" s="29" t="s">
        <v>1249</v>
      </c>
      <c r="D1030" s="29" t="s">
        <v>1249</v>
      </c>
      <c r="E1030" s="29" t="s">
        <v>1249</v>
      </c>
      <c r="F1030" s="29">
        <v>3535</v>
      </c>
      <c r="G1030" s="4" t="s">
        <v>1480</v>
      </c>
      <c r="H1030" s="5">
        <v>4812</v>
      </c>
      <c r="I1030" s="4" t="s">
        <v>78</v>
      </c>
      <c r="J1030" s="4" t="s">
        <v>41</v>
      </c>
      <c r="K1030" s="4" t="s">
        <v>1540</v>
      </c>
      <c r="L1030" s="4" t="s">
        <v>79</v>
      </c>
      <c r="M1030" s="39">
        <v>424.76</v>
      </c>
      <c r="N1030" s="39">
        <v>526.87</v>
      </c>
      <c r="O1030" s="38">
        <v>0.57140000000000002</v>
      </c>
      <c r="P1030" s="39">
        <v>21.51</v>
      </c>
      <c r="Q1030" s="39">
        <v>19</v>
      </c>
      <c r="R1030" s="38">
        <v>0.1</v>
      </c>
      <c r="S1030" s="40">
        <v>22</v>
      </c>
      <c r="T1030" s="39">
        <v>20.65</v>
      </c>
      <c r="U1030" s="39">
        <v>21.86</v>
      </c>
      <c r="V1030" s="39">
        <v>22.51</v>
      </c>
      <c r="W1030" s="38">
        <v>0.86560000000000004</v>
      </c>
      <c r="X1030" s="39">
        <v>5.56</v>
      </c>
      <c r="Y1030" s="41">
        <v>-66427.369162065705</v>
      </c>
      <c r="Z1030" s="39">
        <v>-1709</v>
      </c>
      <c r="AA1030" s="39">
        <v>-0.81946911532159405</v>
      </c>
    </row>
    <row r="1031" spans="1:27" x14ac:dyDescent="0.25">
      <c r="A1031" s="7" t="str">
        <f t="shared" si="16"/>
        <v>3535Providence St Vincent Medical Center337053075000, 53089009 CLINICAL LAB</v>
      </c>
      <c r="B1031" s="7"/>
      <c r="C1031" s="29" t="s">
        <v>1249</v>
      </c>
      <c r="D1031" s="29" t="s">
        <v>1249</v>
      </c>
      <c r="E1031" s="29" t="s">
        <v>1249</v>
      </c>
      <c r="F1031" s="29">
        <v>3535</v>
      </c>
      <c r="G1031" s="4" t="s">
        <v>1480</v>
      </c>
      <c r="H1031" s="5">
        <v>3370</v>
      </c>
      <c r="I1031" s="4" t="s">
        <v>182</v>
      </c>
      <c r="J1031" s="4" t="s">
        <v>53</v>
      </c>
      <c r="K1031" s="4" t="s">
        <v>1543</v>
      </c>
      <c r="L1031" s="4" t="s">
        <v>94</v>
      </c>
      <c r="M1031" s="39">
        <v>12443.79</v>
      </c>
      <c r="N1031" s="39">
        <v>10780.39</v>
      </c>
      <c r="O1031" s="38">
        <v>0.54549999999999998</v>
      </c>
      <c r="P1031" s="39">
        <v>6.42</v>
      </c>
      <c r="Q1031" s="39">
        <v>7.34</v>
      </c>
      <c r="R1031" s="38">
        <v>0</v>
      </c>
      <c r="S1031" s="40">
        <v>23</v>
      </c>
      <c r="T1031" s="39">
        <v>9.99</v>
      </c>
      <c r="U1031" s="39">
        <v>11.08</v>
      </c>
      <c r="V1031" s="39">
        <v>11.65</v>
      </c>
      <c r="W1031" s="38">
        <v>0.89070000000000005</v>
      </c>
      <c r="X1031" s="39">
        <v>42.74</v>
      </c>
      <c r="Y1031" s="41">
        <v>-1303370.1767456799</v>
      </c>
      <c r="Z1031" s="39">
        <v>-44962</v>
      </c>
      <c r="AA1031" s="39">
        <v>-21.557033988721901</v>
      </c>
    </row>
    <row r="1032" spans="1:27" x14ac:dyDescent="0.25">
      <c r="A1032" s="7" t="str">
        <f t="shared" si="16"/>
        <v>3535Providence St Vincent Medical Center449053004490, PHARMACY SUPPORT SVCS (U,N)</v>
      </c>
      <c r="B1032" s="7"/>
      <c r="C1032" s="29" t="s">
        <v>1249</v>
      </c>
      <c r="D1032" s="29" t="s">
        <v>1249</v>
      </c>
      <c r="E1032" s="29" t="s">
        <v>1249</v>
      </c>
      <c r="F1032" s="29">
        <v>3535</v>
      </c>
      <c r="G1032" s="4" t="s">
        <v>1480</v>
      </c>
      <c r="H1032" s="5">
        <v>4490</v>
      </c>
      <c r="I1032" s="79" t="s">
        <v>36</v>
      </c>
      <c r="J1032" s="79" t="s">
        <v>37</v>
      </c>
      <c r="K1032" s="79" t="s">
        <v>1544</v>
      </c>
      <c r="L1032" s="79" t="s">
        <v>39</v>
      </c>
      <c r="M1032" s="80">
        <v>79964.98</v>
      </c>
      <c r="N1032" s="80">
        <v>85225.89</v>
      </c>
      <c r="O1032" s="81">
        <v>0.70250000000000001</v>
      </c>
      <c r="P1032" s="80">
        <v>0.36</v>
      </c>
      <c r="Q1032" s="80">
        <f>20227.04/N1032</f>
        <v>0.2373344531808351</v>
      </c>
      <c r="R1032" s="81">
        <v>0.69420000000000004</v>
      </c>
      <c r="S1032" s="83">
        <v>23</v>
      </c>
      <c r="T1032" s="80">
        <v>0.27</v>
      </c>
      <c r="U1032" s="80">
        <v>0.3</v>
      </c>
      <c r="V1032" s="80">
        <v>0.4</v>
      </c>
      <c r="W1032" s="81">
        <v>0.90439999999999998</v>
      </c>
      <c r="X1032" s="80">
        <v>19.43</v>
      </c>
      <c r="Y1032" s="78">
        <f>+Z1032*50.32</f>
        <v>-297153.23157894722</v>
      </c>
      <c r="Z1032" s="75">
        <f>((Q1032-U1032)*N1032)/W1032</f>
        <v>-5905.2708978328146</v>
      </c>
      <c r="AA1032" s="75">
        <f>Z1032/2085.7</f>
        <v>-2.8313136586435323</v>
      </c>
    </row>
    <row r="1033" spans="1:27" x14ac:dyDescent="0.25">
      <c r="A1033" s="7" t="str">
        <f t="shared" si="16"/>
        <v>3535Providence St Vincent Medical Center128553074011, 53074003 LABOR &amp; DELIVERY TRIAGE</v>
      </c>
      <c r="B1033" s="7"/>
      <c r="C1033" s="29" t="s">
        <v>1249</v>
      </c>
      <c r="D1033" s="29" t="s">
        <v>1249</v>
      </c>
      <c r="E1033" s="29" t="s">
        <v>1249</v>
      </c>
      <c r="F1033" s="29">
        <v>3535</v>
      </c>
      <c r="G1033" s="4" t="s">
        <v>1480</v>
      </c>
      <c r="H1033" s="5">
        <v>1285</v>
      </c>
      <c r="I1033" s="4" t="s">
        <v>85</v>
      </c>
      <c r="J1033" s="4" t="s">
        <v>23</v>
      </c>
      <c r="K1033" s="4" t="s">
        <v>1542</v>
      </c>
      <c r="L1033" s="4" t="s">
        <v>86</v>
      </c>
      <c r="M1033" s="39">
        <v>4264</v>
      </c>
      <c r="N1033" s="39">
        <v>4204</v>
      </c>
      <c r="O1033" s="38">
        <v>0.54549999999999998</v>
      </c>
      <c r="P1033" s="39">
        <v>37.79</v>
      </c>
      <c r="Q1033" s="39">
        <v>37.380000000000003</v>
      </c>
      <c r="R1033" s="38">
        <v>0.7</v>
      </c>
      <c r="S1033" s="40">
        <v>23</v>
      </c>
      <c r="T1033" s="39">
        <v>33.17</v>
      </c>
      <c r="U1033" s="39">
        <v>33.81</v>
      </c>
      <c r="V1033" s="39">
        <v>34.4</v>
      </c>
      <c r="W1033" s="38">
        <v>0.87229999999999996</v>
      </c>
      <c r="X1033" s="39">
        <v>75.55</v>
      </c>
      <c r="Y1033" s="41">
        <v>-252839.800216317</v>
      </c>
      <c r="Z1033" s="39">
        <v>-5371</v>
      </c>
      <c r="AA1033" s="39">
        <v>-2.5750241328510599</v>
      </c>
    </row>
    <row r="1034" spans="1:27" x14ac:dyDescent="0.25">
      <c r="A1034" s="7" t="str">
        <f t="shared" si="16"/>
        <v>3535Providence St Vincent Medical Center451053077400, HEMODIALYSIS</v>
      </c>
      <c r="B1034" s="7"/>
      <c r="C1034" s="29" t="s">
        <v>1249</v>
      </c>
      <c r="D1034" s="29" t="s">
        <v>1249</v>
      </c>
      <c r="E1034" s="29" t="s">
        <v>1249</v>
      </c>
      <c r="F1034" s="29">
        <v>3535</v>
      </c>
      <c r="G1034" s="4" t="s">
        <v>1480</v>
      </c>
      <c r="H1034" s="5">
        <v>4510</v>
      </c>
      <c r="I1034" s="4" t="s">
        <v>101</v>
      </c>
      <c r="J1034" s="4" t="s">
        <v>102</v>
      </c>
      <c r="K1034" s="4" t="s">
        <v>1545</v>
      </c>
      <c r="L1034" s="4" t="s">
        <v>103</v>
      </c>
      <c r="M1034" s="39">
        <v>2566</v>
      </c>
      <c r="N1034" s="39">
        <v>2384</v>
      </c>
      <c r="O1034" s="38">
        <v>0.54549999999999998</v>
      </c>
      <c r="P1034" s="39">
        <v>5.18</v>
      </c>
      <c r="Q1034" s="39">
        <v>5.77</v>
      </c>
      <c r="R1034" s="38">
        <v>0.76190000000000002</v>
      </c>
      <c r="S1034" s="40">
        <v>23</v>
      </c>
      <c r="T1034" s="39">
        <v>4.5599999999999996</v>
      </c>
      <c r="U1034" s="39">
        <v>4.7</v>
      </c>
      <c r="V1034" s="39">
        <v>4.95</v>
      </c>
      <c r="W1034" s="38">
        <v>0.87470000000000003</v>
      </c>
      <c r="X1034" s="39">
        <v>7.56</v>
      </c>
      <c r="Y1034" s="41">
        <v>159735.11715913899</v>
      </c>
      <c r="Z1034" s="39">
        <v>2958</v>
      </c>
      <c r="AA1034" s="39">
        <v>1.41823576144949</v>
      </c>
    </row>
    <row r="1035" spans="1:27" x14ac:dyDescent="0.25">
      <c r="A1035" s="7" t="str">
        <f t="shared" si="16"/>
        <v>3535Providence St Vincent Medical Center121253061720, SURGICAL UNIT - 8E</v>
      </c>
      <c r="B1035" s="7"/>
      <c r="C1035" s="29" t="s">
        <v>1249</v>
      </c>
      <c r="D1035" s="29" t="s">
        <v>1249</v>
      </c>
      <c r="E1035" s="29" t="s">
        <v>1249</v>
      </c>
      <c r="F1035" s="29">
        <v>3535</v>
      </c>
      <c r="G1035" s="4" t="s">
        <v>1480</v>
      </c>
      <c r="H1035" s="5">
        <v>1212</v>
      </c>
      <c r="I1035" s="4" t="s">
        <v>160</v>
      </c>
      <c r="J1035" s="4" t="s">
        <v>23</v>
      </c>
      <c r="K1035" s="4" t="s">
        <v>1541</v>
      </c>
      <c r="L1035" s="4" t="s">
        <v>74</v>
      </c>
      <c r="M1035" s="39">
        <v>8239.7900000000009</v>
      </c>
      <c r="N1035" s="39">
        <v>8323</v>
      </c>
      <c r="O1035" s="38">
        <v>0.59089999999999998</v>
      </c>
      <c r="P1035" s="39">
        <v>9.7899999999999991</v>
      </c>
      <c r="Q1035" s="39">
        <v>11.47</v>
      </c>
      <c r="R1035" s="38">
        <v>0.54549999999999998</v>
      </c>
      <c r="S1035" s="40">
        <v>23</v>
      </c>
      <c r="T1035" s="39">
        <v>10.1</v>
      </c>
      <c r="U1035" s="39">
        <v>10.89</v>
      </c>
      <c r="V1035" s="39">
        <v>11.41</v>
      </c>
      <c r="W1035" s="38">
        <v>0.89039999999999997</v>
      </c>
      <c r="X1035" s="39">
        <v>51.54</v>
      </c>
      <c r="Y1035" s="41">
        <v>243888.69151100301</v>
      </c>
      <c r="Z1035" s="39">
        <v>5703</v>
      </c>
      <c r="AA1035" s="39">
        <v>2.7342734939900701</v>
      </c>
    </row>
    <row r="1036" spans="1:27" x14ac:dyDescent="0.25">
      <c r="A1036" s="7" t="str">
        <f t="shared" si="16"/>
        <v>3535Providence St Vincent Medical Center342053076800, CTT SCANNER</v>
      </c>
      <c r="B1036" s="7"/>
      <c r="C1036" s="29" t="s">
        <v>1249</v>
      </c>
      <c r="D1036" s="29" t="s">
        <v>1249</v>
      </c>
      <c r="E1036" s="29" t="s">
        <v>1249</v>
      </c>
      <c r="F1036" s="29">
        <v>3535</v>
      </c>
      <c r="G1036" s="4" t="s">
        <v>1480</v>
      </c>
      <c r="H1036" s="5">
        <v>3420</v>
      </c>
      <c r="I1036" s="4" t="s">
        <v>123</v>
      </c>
      <c r="J1036" s="4" t="s">
        <v>57</v>
      </c>
      <c r="K1036" s="4" t="s">
        <v>1546</v>
      </c>
      <c r="L1036" s="4" t="s">
        <v>99</v>
      </c>
      <c r="M1036" s="39">
        <v>114024.71</v>
      </c>
      <c r="N1036" s="39">
        <v>115496.53</v>
      </c>
      <c r="O1036" s="38">
        <v>0.69569999999999999</v>
      </c>
      <c r="P1036" s="39">
        <v>0.28999999999999998</v>
      </c>
      <c r="Q1036" s="39">
        <v>0.28000000000000003</v>
      </c>
      <c r="R1036" s="38">
        <v>0.81820000000000004</v>
      </c>
      <c r="S1036" s="40">
        <v>24</v>
      </c>
      <c r="T1036" s="39">
        <v>0.22</v>
      </c>
      <c r="U1036" s="39">
        <v>0.23</v>
      </c>
      <c r="V1036" s="39">
        <v>0.26</v>
      </c>
      <c r="W1036" s="38">
        <v>0.88229999999999997</v>
      </c>
      <c r="X1036" s="39">
        <v>17.88</v>
      </c>
      <c r="Y1036" s="41">
        <v>306414.42124018498</v>
      </c>
      <c r="Z1036" s="39">
        <v>7184</v>
      </c>
      <c r="AA1036" s="39">
        <v>3.4446056667860598</v>
      </c>
    </row>
    <row r="1037" spans="1:27" x14ac:dyDescent="0.25">
      <c r="A1037" s="7" t="str">
        <f t="shared" si="16"/>
        <v>3535Providence St Vincent Medical Center345053076700, ULTRASOUND</v>
      </c>
      <c r="B1037" s="7"/>
      <c r="C1037" s="29" t="s">
        <v>1249</v>
      </c>
      <c r="D1037" s="29" t="s">
        <v>1249</v>
      </c>
      <c r="E1037" s="29" t="s">
        <v>1249</v>
      </c>
      <c r="F1037" s="29">
        <v>3535</v>
      </c>
      <c r="G1037" s="4" t="s">
        <v>1480</v>
      </c>
      <c r="H1037" s="5">
        <v>3450</v>
      </c>
      <c r="I1037" s="4" t="s">
        <v>122</v>
      </c>
      <c r="J1037" s="4" t="s">
        <v>57</v>
      </c>
      <c r="K1037" s="4" t="s">
        <v>1547</v>
      </c>
      <c r="L1037" s="4" t="s">
        <v>99</v>
      </c>
      <c r="M1037" s="39">
        <v>53213.06</v>
      </c>
      <c r="N1037" s="39">
        <v>52640.76</v>
      </c>
      <c r="O1037" s="38">
        <v>0.70369999999999999</v>
      </c>
      <c r="P1037" s="39">
        <v>0.51</v>
      </c>
      <c r="Q1037" s="39">
        <v>0.52</v>
      </c>
      <c r="R1037" s="38">
        <v>0.96299999999999997</v>
      </c>
      <c r="S1037" s="40">
        <v>28</v>
      </c>
      <c r="T1037" s="39">
        <v>0.39</v>
      </c>
      <c r="U1037" s="39">
        <v>0.41</v>
      </c>
      <c r="V1037" s="39">
        <v>0.44</v>
      </c>
      <c r="W1037" s="38">
        <v>0.92130000000000001</v>
      </c>
      <c r="X1037" s="39">
        <v>14.26</v>
      </c>
      <c r="Y1037" s="41">
        <v>303122.53591380001</v>
      </c>
      <c r="Z1037" s="39">
        <v>6316</v>
      </c>
      <c r="AA1037" s="39">
        <v>3.0281034397025302</v>
      </c>
    </row>
    <row r="1038" spans="1:27" x14ac:dyDescent="0.25">
      <c r="A1038" s="7" t="str">
        <f t="shared" si="16"/>
        <v>3535Providence St Vincent Medical Center121253061722, SPECIALITY SURGERY - 8W</v>
      </c>
      <c r="B1038" s="7"/>
      <c r="C1038" s="29" t="s">
        <v>1249</v>
      </c>
      <c r="D1038" s="29" t="s">
        <v>1249</v>
      </c>
      <c r="E1038" s="29" t="s">
        <v>1249</v>
      </c>
      <c r="F1038" s="29">
        <v>3535</v>
      </c>
      <c r="G1038" s="4" t="s">
        <v>1480</v>
      </c>
      <c r="H1038" s="5">
        <v>1212</v>
      </c>
      <c r="I1038" s="4" t="s">
        <v>160</v>
      </c>
      <c r="J1038" s="4" t="s">
        <v>23</v>
      </c>
      <c r="K1038" s="4" t="s">
        <v>1548</v>
      </c>
      <c r="L1038" s="4" t="s">
        <v>74</v>
      </c>
      <c r="M1038" s="39">
        <v>6349.46</v>
      </c>
      <c r="N1038" s="39">
        <v>5838</v>
      </c>
      <c r="O1038" s="38">
        <v>0.46429999999999999</v>
      </c>
      <c r="P1038" s="39">
        <v>8.7200000000000006</v>
      </c>
      <c r="Q1038" s="39">
        <v>10.69</v>
      </c>
      <c r="R1038" s="38">
        <v>0.16</v>
      </c>
      <c r="S1038" s="40">
        <v>29</v>
      </c>
      <c r="T1038" s="39">
        <v>10.91</v>
      </c>
      <c r="U1038" s="39">
        <v>11</v>
      </c>
      <c r="V1038" s="39">
        <v>11.37</v>
      </c>
      <c r="W1038" s="38">
        <v>0.88819999999999999</v>
      </c>
      <c r="X1038" s="39">
        <v>33.78</v>
      </c>
      <c r="Y1038" s="41">
        <v>-82764.062134768494</v>
      </c>
      <c r="Z1038" s="39">
        <v>-1846</v>
      </c>
      <c r="AA1038" s="39">
        <v>-0.88523636894491597</v>
      </c>
    </row>
    <row r="1039" spans="1:27" x14ac:dyDescent="0.25">
      <c r="A1039" s="7" t="str">
        <f t="shared" si="16"/>
        <v>3535Providence St Vincent Medical Center401053076420, RADIATION ONCOLOGY</v>
      </c>
      <c r="B1039" s="7"/>
      <c r="C1039" s="29" t="s">
        <v>1249</v>
      </c>
      <c r="D1039" s="29" t="s">
        <v>1249</v>
      </c>
      <c r="E1039" s="29" t="s">
        <v>1249</v>
      </c>
      <c r="F1039" s="29">
        <v>3535</v>
      </c>
      <c r="G1039" s="4" t="s">
        <v>1480</v>
      </c>
      <c r="H1039" s="5">
        <v>4010</v>
      </c>
      <c r="I1039" s="4" t="s">
        <v>152</v>
      </c>
      <c r="J1039" s="4" t="s">
        <v>153</v>
      </c>
      <c r="K1039" s="4" t="s">
        <v>1549</v>
      </c>
      <c r="L1039" s="4" t="s">
        <v>99</v>
      </c>
      <c r="M1039" s="39">
        <v>104637.16</v>
      </c>
      <c r="N1039" s="39">
        <v>78503.69</v>
      </c>
      <c r="O1039" s="38">
        <v>0.57140000000000002</v>
      </c>
      <c r="P1039" s="39">
        <v>0.26</v>
      </c>
      <c r="Q1039" s="39">
        <v>0.33</v>
      </c>
      <c r="R1039" s="38">
        <v>0.35709999999999997</v>
      </c>
      <c r="S1039" s="40">
        <v>29</v>
      </c>
      <c r="T1039" s="39">
        <v>0.31</v>
      </c>
      <c r="U1039" s="39">
        <v>0.33</v>
      </c>
      <c r="V1039" s="39">
        <v>0.38</v>
      </c>
      <c r="W1039" s="38">
        <v>0.85719999999999996</v>
      </c>
      <c r="X1039" s="39">
        <v>14.52</v>
      </c>
      <c r="Y1039" s="41">
        <v>3117.1693102140498</v>
      </c>
      <c r="Z1039" s="39">
        <v>62</v>
      </c>
      <c r="AA1039" s="39">
        <v>2.9945890455840299E-2</v>
      </c>
    </row>
    <row r="1040" spans="1:27" x14ac:dyDescent="0.25">
      <c r="A1040" s="7" t="str">
        <f t="shared" si="16"/>
        <v>3535Providence St Vincent Medical Center511253083300,53083304,53083306,53083340,53083400 PT_NON PT FOOD SVC</v>
      </c>
      <c r="B1040" s="7"/>
      <c r="C1040" s="29" t="s">
        <v>1249</v>
      </c>
      <c r="D1040" s="29" t="s">
        <v>1249</v>
      </c>
      <c r="E1040" s="29" t="s">
        <v>1249</v>
      </c>
      <c r="F1040" s="29">
        <v>3535</v>
      </c>
      <c r="G1040" s="4" t="s">
        <v>1480</v>
      </c>
      <c r="H1040" s="5">
        <v>5112</v>
      </c>
      <c r="I1040" s="4" t="s">
        <v>281</v>
      </c>
      <c r="J1040" s="4" t="s">
        <v>65</v>
      </c>
      <c r="K1040" s="4" t="s">
        <v>1550</v>
      </c>
      <c r="L1040" s="4" t="s">
        <v>282</v>
      </c>
      <c r="M1040" s="39">
        <v>1886373.34</v>
      </c>
      <c r="N1040" s="39">
        <v>1977685.05</v>
      </c>
      <c r="O1040" s="38">
        <v>0.75</v>
      </c>
      <c r="P1040" s="39">
        <v>0.12</v>
      </c>
      <c r="Q1040" s="39">
        <v>0.12</v>
      </c>
      <c r="R1040" s="38">
        <v>0.46429999999999999</v>
      </c>
      <c r="S1040" s="40">
        <v>29</v>
      </c>
      <c r="T1040" s="39">
        <v>0.1</v>
      </c>
      <c r="U1040" s="39">
        <v>0.11</v>
      </c>
      <c r="V1040" s="39">
        <v>0.12</v>
      </c>
      <c r="W1040" s="38">
        <v>0.89459999999999995</v>
      </c>
      <c r="X1040" s="39">
        <v>123.62</v>
      </c>
      <c r="Y1040" s="41">
        <v>270032.16082919901</v>
      </c>
      <c r="Z1040" s="39">
        <v>14658</v>
      </c>
      <c r="AA1040" s="39">
        <v>7.0279117912795401</v>
      </c>
    </row>
    <row r="1041" spans="1:27" x14ac:dyDescent="0.25">
      <c r="A1041" s="7" t="str">
        <f t="shared" si="16"/>
        <v>3535Providence St Vincent Medical Center302053074270, PACU</v>
      </c>
      <c r="B1041" s="7"/>
      <c r="C1041" s="29" t="s">
        <v>1249</v>
      </c>
      <c r="D1041" s="29" t="s">
        <v>1249</v>
      </c>
      <c r="E1041" s="29" t="s">
        <v>1249</v>
      </c>
      <c r="F1041" s="29">
        <v>3535</v>
      </c>
      <c r="G1041" s="4" t="s">
        <v>1480</v>
      </c>
      <c r="H1041" s="5">
        <v>3020</v>
      </c>
      <c r="I1041" s="4" t="s">
        <v>89</v>
      </c>
      <c r="J1041" s="4" t="s">
        <v>47</v>
      </c>
      <c r="K1041" s="4" t="s">
        <v>1551</v>
      </c>
      <c r="L1041" s="4" t="s">
        <v>90</v>
      </c>
      <c r="M1041" s="39">
        <v>11310.6</v>
      </c>
      <c r="N1041" s="39">
        <v>11416.2</v>
      </c>
      <c r="O1041" s="38">
        <v>0.62070000000000003</v>
      </c>
      <c r="P1041" s="39">
        <v>3.25</v>
      </c>
      <c r="Q1041" s="39">
        <v>3.46</v>
      </c>
      <c r="R1041" s="38">
        <v>0.46150000000000002</v>
      </c>
      <c r="S1041" s="40">
        <v>30</v>
      </c>
      <c r="T1041" s="39">
        <v>3.17</v>
      </c>
      <c r="U1041" s="39">
        <v>3.28</v>
      </c>
      <c r="V1041" s="39">
        <v>3.55</v>
      </c>
      <c r="W1041" s="38">
        <v>0.87980000000000003</v>
      </c>
      <c r="X1041" s="39">
        <v>21.59</v>
      </c>
      <c r="Y1041" s="41">
        <v>141321.05970620899</v>
      </c>
      <c r="Z1041" s="39">
        <v>2469</v>
      </c>
      <c r="AA1041" s="39">
        <v>1.18391865780232</v>
      </c>
    </row>
    <row r="1042" spans="1:27" x14ac:dyDescent="0.25">
      <c r="A1042" s="7" t="str">
        <f t="shared" si="16"/>
        <v>3535Providence St Vincent Medical Center339953003399, LAB SVCS ADMIN AND SUPPORT (U,N)</v>
      </c>
      <c r="B1042" s="7"/>
      <c r="C1042" s="29" t="s">
        <v>1249</v>
      </c>
      <c r="D1042" s="29" t="s">
        <v>1249</v>
      </c>
      <c r="E1042" s="29" t="s">
        <v>1249</v>
      </c>
      <c r="F1042" s="29">
        <v>3535</v>
      </c>
      <c r="G1042" s="4" t="s">
        <v>1480</v>
      </c>
      <c r="H1042" s="5">
        <v>3399</v>
      </c>
      <c r="I1042" s="4" t="s">
        <v>52</v>
      </c>
      <c r="J1042" s="4" t="s">
        <v>53</v>
      </c>
      <c r="K1042" s="4" t="s">
        <v>1552</v>
      </c>
      <c r="L1042" s="4" t="s">
        <v>55</v>
      </c>
      <c r="M1042" s="39">
        <v>13950.93</v>
      </c>
      <c r="N1042" s="39">
        <v>11521.4</v>
      </c>
      <c r="O1042" s="38">
        <v>0.53269999999999995</v>
      </c>
      <c r="P1042" s="39">
        <v>0.3</v>
      </c>
      <c r="Q1042" s="39">
        <v>0.38</v>
      </c>
      <c r="R1042" s="7"/>
      <c r="S1042" s="40">
        <v>32</v>
      </c>
      <c r="T1042" s="39">
        <v>0.99</v>
      </c>
      <c r="U1042" s="39">
        <v>1.1299999999999999</v>
      </c>
      <c r="V1042" s="39">
        <v>1.36</v>
      </c>
      <c r="W1042" s="38">
        <v>0.91020000000000001</v>
      </c>
      <c r="X1042" s="39">
        <v>2.2999999999999998</v>
      </c>
      <c r="Y1042" s="41">
        <v>-409303.35331953003</v>
      </c>
      <c r="Z1042" s="39">
        <v>-9507</v>
      </c>
      <c r="AA1042" s="39">
        <v>-4.55796123474531</v>
      </c>
    </row>
    <row r="1043" spans="1:27" x14ac:dyDescent="0.25">
      <c r="A1043" s="7" t="str">
        <f t="shared" si="16"/>
        <v>3535Providence St Vincent Medical Center489953004899, REHAB ADMIN AND SUPPORT (U,N)</v>
      </c>
      <c r="B1043" s="7"/>
      <c r="C1043" s="29" t="s">
        <v>1249</v>
      </c>
      <c r="D1043" s="29" t="s">
        <v>1249</v>
      </c>
      <c r="E1043" s="29" t="s">
        <v>1249</v>
      </c>
      <c r="F1043" s="29">
        <v>3535</v>
      </c>
      <c r="G1043" s="4" t="s">
        <v>1480</v>
      </c>
      <c r="H1043" s="5">
        <v>4899</v>
      </c>
      <c r="I1043" s="4" t="s">
        <v>40</v>
      </c>
      <c r="J1043" s="4" t="s">
        <v>41</v>
      </c>
      <c r="K1043" s="4" t="s">
        <v>1553</v>
      </c>
      <c r="L1043" s="4" t="s">
        <v>43</v>
      </c>
      <c r="M1043" s="39">
        <v>8139.81</v>
      </c>
      <c r="N1043" s="39">
        <v>9914.4500000000007</v>
      </c>
      <c r="O1043" s="7"/>
      <c r="P1043" s="39">
        <v>5.83</v>
      </c>
      <c r="Q1043" s="39">
        <v>4.07</v>
      </c>
      <c r="R1043" s="38">
        <v>0.46600000000000003</v>
      </c>
      <c r="S1043" s="40">
        <v>32</v>
      </c>
      <c r="T1043" s="39">
        <v>3.05</v>
      </c>
      <c r="U1043" s="39">
        <v>3.43</v>
      </c>
      <c r="V1043" s="39">
        <v>4.54</v>
      </c>
      <c r="W1043" s="38">
        <v>0.87680000000000002</v>
      </c>
      <c r="X1043" s="39">
        <v>22.15</v>
      </c>
      <c r="Y1043" s="41">
        <v>203056.872831669</v>
      </c>
      <c r="Z1043" s="39">
        <v>7413</v>
      </c>
      <c r="AA1043" s="39">
        <v>3.55439276675127</v>
      </c>
    </row>
    <row r="1044" spans="1:27" x14ac:dyDescent="0.25">
      <c r="A1044" s="7" t="str">
        <f t="shared" si="16"/>
        <v>3535Providence St Vincent Medical Center127753060700, NICU</v>
      </c>
      <c r="B1044" s="7"/>
      <c r="C1044" s="29" t="s">
        <v>1249</v>
      </c>
      <c r="D1044" s="29" t="s">
        <v>1249</v>
      </c>
      <c r="E1044" s="29" t="s">
        <v>1249</v>
      </c>
      <c r="F1044" s="29">
        <v>3535</v>
      </c>
      <c r="G1044" s="4" t="s">
        <v>1480</v>
      </c>
      <c r="H1044" s="5">
        <v>1277</v>
      </c>
      <c r="I1044" s="4" t="s">
        <v>106</v>
      </c>
      <c r="J1044" s="4" t="s">
        <v>23</v>
      </c>
      <c r="K1044" s="4" t="s">
        <v>1554</v>
      </c>
      <c r="L1044" s="4" t="s">
        <v>107</v>
      </c>
      <c r="M1044" s="39">
        <v>13084</v>
      </c>
      <c r="N1044" s="39">
        <v>8895</v>
      </c>
      <c r="O1044" s="38">
        <v>0.62790000000000001</v>
      </c>
      <c r="P1044" s="39">
        <v>11.79</v>
      </c>
      <c r="Q1044" s="39">
        <v>12.9</v>
      </c>
      <c r="R1044" s="38">
        <v>0.39529999999999998</v>
      </c>
      <c r="S1044" s="40">
        <v>44</v>
      </c>
      <c r="T1044" s="39">
        <v>12.46</v>
      </c>
      <c r="U1044" s="39">
        <v>12.8</v>
      </c>
      <c r="V1044" s="39">
        <v>13.22</v>
      </c>
      <c r="W1044" s="38">
        <v>0.86380000000000001</v>
      </c>
      <c r="X1044" s="39">
        <v>63.84</v>
      </c>
      <c r="Y1044" s="41">
        <v>69789.857691716403</v>
      </c>
      <c r="Z1044" s="39">
        <v>1343</v>
      </c>
      <c r="AA1044" s="39">
        <v>0.643812170601329</v>
      </c>
    </row>
    <row r="1045" spans="1:27" x14ac:dyDescent="0.25">
      <c r="A1045" s="7" t="str">
        <f t="shared" si="16"/>
        <v>3535Providence St Vincent Medical Center464053076410, OUTPATIENT TRANSFUSION</v>
      </c>
      <c r="B1045" s="7"/>
      <c r="C1045" s="29" t="s">
        <v>1249</v>
      </c>
      <c r="D1045" s="29" t="s">
        <v>1249</v>
      </c>
      <c r="E1045" s="29" t="s">
        <v>1249</v>
      </c>
      <c r="F1045" s="29">
        <v>3535</v>
      </c>
      <c r="G1045" s="4" t="s">
        <v>1480</v>
      </c>
      <c r="H1045" s="5">
        <v>4640</v>
      </c>
      <c r="I1045" s="4" t="s">
        <v>82</v>
      </c>
      <c r="J1045" s="4" t="s">
        <v>83</v>
      </c>
      <c r="K1045" s="4" t="s">
        <v>1555</v>
      </c>
      <c r="L1045" s="4" t="s">
        <v>84</v>
      </c>
      <c r="M1045" s="39">
        <v>7386</v>
      </c>
      <c r="N1045" s="39">
        <v>7560</v>
      </c>
      <c r="O1045" s="38">
        <v>0.62</v>
      </c>
      <c r="P1045" s="39">
        <v>1.88</v>
      </c>
      <c r="Q1045" s="39">
        <v>1.49</v>
      </c>
      <c r="R1045" s="38">
        <v>0.1739</v>
      </c>
      <c r="S1045" s="40">
        <v>51</v>
      </c>
      <c r="T1045" s="39">
        <v>1.57</v>
      </c>
      <c r="U1045" s="39">
        <v>1.7</v>
      </c>
      <c r="V1045" s="39">
        <v>1.88</v>
      </c>
      <c r="W1045" s="38">
        <v>0.87119999999999997</v>
      </c>
      <c r="X1045" s="39">
        <v>6.12</v>
      </c>
      <c r="Y1045" s="41">
        <v>-83955.661002273002</v>
      </c>
      <c r="Z1045" s="39">
        <v>-1988</v>
      </c>
      <c r="AA1045" s="39">
        <v>-0.95295685654815199</v>
      </c>
    </row>
    <row r="1046" spans="1:27" x14ac:dyDescent="0.25">
      <c r="A1046" s="7" t="str">
        <f t="shared" si="16"/>
        <v>3535Providence St Vincent Medical Center481253070821, WILSONVILLE REHAB</v>
      </c>
      <c r="B1046" s="7"/>
      <c r="C1046" s="29" t="s">
        <v>1249</v>
      </c>
      <c r="D1046" s="29" t="s">
        <v>1249</v>
      </c>
      <c r="E1046" s="29" t="s">
        <v>1249</v>
      </c>
      <c r="F1046" s="29">
        <v>3535</v>
      </c>
      <c r="G1046" s="4" t="s">
        <v>1480</v>
      </c>
      <c r="H1046" s="5">
        <v>4812</v>
      </c>
      <c r="I1046" s="4" t="s">
        <v>78</v>
      </c>
      <c r="J1046" s="4" t="s">
        <v>41</v>
      </c>
      <c r="K1046" s="4" t="s">
        <v>1556</v>
      </c>
      <c r="L1046" s="4" t="s">
        <v>79</v>
      </c>
      <c r="M1046" s="39">
        <v>238.3</v>
      </c>
      <c r="N1046" s="39">
        <v>294.77</v>
      </c>
      <c r="O1046" s="38">
        <v>0.57889999999999997</v>
      </c>
      <c r="P1046" s="39">
        <v>18.62</v>
      </c>
      <c r="Q1046" s="39">
        <v>16.91</v>
      </c>
      <c r="R1046" s="38">
        <v>0</v>
      </c>
      <c r="S1046" s="40">
        <v>58</v>
      </c>
      <c r="T1046" s="39">
        <v>20.25</v>
      </c>
      <c r="U1046" s="39">
        <v>21.98</v>
      </c>
      <c r="V1046" s="39">
        <v>22.97</v>
      </c>
      <c r="W1046" s="38">
        <v>0.89549999999999996</v>
      </c>
      <c r="X1046" s="39">
        <v>2.68</v>
      </c>
      <c r="Y1046" s="41">
        <v>-57441.290516019602</v>
      </c>
      <c r="Z1046" s="39">
        <v>-1645</v>
      </c>
      <c r="AA1046" s="39">
        <v>-0.78891404061803305</v>
      </c>
    </row>
    <row r="1047" spans="1:27" x14ac:dyDescent="0.25">
      <c r="A1047" s="7" t="str">
        <f t="shared" si="16"/>
        <v>4283Providence St. John's Health Center127773560700, SJHC NEONATAL INTENSIVE CARE (U)</v>
      </c>
      <c r="B1047" s="7"/>
      <c r="C1047" s="29" t="s">
        <v>924</v>
      </c>
      <c r="D1047" s="29" t="s">
        <v>924</v>
      </c>
      <c r="E1047" s="29" t="s">
        <v>924</v>
      </c>
      <c r="F1047" s="29">
        <v>4283</v>
      </c>
      <c r="G1047" s="4" t="s">
        <v>1148</v>
      </c>
      <c r="H1047" s="66">
        <v>1277</v>
      </c>
      <c r="I1047" s="4" t="s">
        <v>106</v>
      </c>
      <c r="J1047" s="4" t="s">
        <v>23</v>
      </c>
      <c r="K1047" s="4" t="s">
        <v>1169</v>
      </c>
      <c r="L1047" s="4" t="s">
        <v>107</v>
      </c>
      <c r="M1047" s="7"/>
      <c r="N1047" s="39">
        <v>1965</v>
      </c>
      <c r="O1047" s="38">
        <v>0.3795</v>
      </c>
      <c r="P1047" s="7"/>
      <c r="Q1047" s="39">
        <v>16.260000000000002</v>
      </c>
      <c r="R1047" s="38">
        <v>0.53549999999999998</v>
      </c>
      <c r="S1047" s="40">
        <v>8</v>
      </c>
      <c r="T1047" s="39">
        <v>14.21</v>
      </c>
      <c r="U1047" s="39">
        <v>14.81</v>
      </c>
      <c r="V1047" s="39">
        <v>15.87</v>
      </c>
      <c r="W1047" s="52">
        <v>0.85619999999999996</v>
      </c>
      <c r="X1047" s="39">
        <v>17.940000000000001</v>
      </c>
      <c r="Y1047" s="41">
        <v>205501.07097787599</v>
      </c>
      <c r="Z1047" s="39">
        <v>3428</v>
      </c>
      <c r="AA1047" s="39">
        <v>1.6436423049484401</v>
      </c>
    </row>
    <row r="1048" spans="1:27" x14ac:dyDescent="0.25">
      <c r="A1048" s="7" t="str">
        <f t="shared" si="16"/>
        <v>4283Providence St. John's Health Center307173583810, SJHC CNTRL STERILE PROCESSING</v>
      </c>
      <c r="B1048" s="7"/>
      <c r="C1048" s="29" t="s">
        <v>924</v>
      </c>
      <c r="D1048" s="29" t="s">
        <v>924</v>
      </c>
      <c r="E1048" s="29" t="s">
        <v>924</v>
      </c>
      <c r="F1048" s="29">
        <v>4283</v>
      </c>
      <c r="G1048" s="159" t="s">
        <v>1148</v>
      </c>
      <c r="H1048" s="160">
        <v>3071</v>
      </c>
      <c r="I1048" s="159" t="s">
        <v>290</v>
      </c>
      <c r="J1048" s="159" t="s">
        <v>47</v>
      </c>
      <c r="K1048" s="159" t="s">
        <v>1152</v>
      </c>
      <c r="L1048" s="159" t="s">
        <v>92</v>
      </c>
      <c r="M1048" s="161">
        <v>226.1</v>
      </c>
      <c r="N1048" s="140">
        <v>233.34</v>
      </c>
      <c r="O1048" s="162">
        <v>0.375</v>
      </c>
      <c r="P1048" s="161">
        <v>39.380000000000003</v>
      </c>
      <c r="Q1048" s="140">
        <v>44.03</v>
      </c>
      <c r="R1048" s="162">
        <v>0.875</v>
      </c>
      <c r="S1048" s="141">
        <v>9</v>
      </c>
      <c r="T1048" s="140">
        <v>18.97</v>
      </c>
      <c r="U1048" s="140">
        <v>21.53</v>
      </c>
      <c r="V1048" s="140">
        <v>28.91</v>
      </c>
      <c r="W1048" s="142">
        <v>0.91830000000000001</v>
      </c>
      <c r="X1048" s="140">
        <v>21.52</v>
      </c>
      <c r="Y1048" s="143">
        <v>39505.4691562058</v>
      </c>
      <c r="Z1048" s="140">
        <v>5750.2937033649259</v>
      </c>
      <c r="AA1048" s="140">
        <v>11.028036061494801</v>
      </c>
    </row>
    <row r="1049" spans="1:27" x14ac:dyDescent="0.25">
      <c r="A1049" s="7" t="str">
        <f t="shared" si="16"/>
        <v>4283Providence St. John's Health Center482173577900, SJHC OCCUPATIONAL THERAPY (U)</v>
      </c>
      <c r="B1049" s="7"/>
      <c r="C1049" s="29" t="s">
        <v>924</v>
      </c>
      <c r="D1049" s="29" t="s">
        <v>924</v>
      </c>
      <c r="E1049" s="29" t="s">
        <v>924</v>
      </c>
      <c r="F1049" s="29">
        <v>4283</v>
      </c>
      <c r="G1049" s="4" t="s">
        <v>1148</v>
      </c>
      <c r="H1049" s="66">
        <v>4821</v>
      </c>
      <c r="I1049" s="4" t="s">
        <v>164</v>
      </c>
      <c r="J1049" s="4" t="s">
        <v>41</v>
      </c>
      <c r="K1049" s="4" t="s">
        <v>1174</v>
      </c>
      <c r="L1049" s="4" t="s">
        <v>79</v>
      </c>
      <c r="M1049" s="7"/>
      <c r="N1049" s="39">
        <v>148.69</v>
      </c>
      <c r="O1049" s="38">
        <v>0.60699999999999998</v>
      </c>
      <c r="P1049" s="7"/>
      <c r="Q1049" s="39">
        <v>42.22</v>
      </c>
      <c r="R1049" s="7"/>
      <c r="S1049" s="40">
        <v>10</v>
      </c>
      <c r="T1049" s="39">
        <v>25.11</v>
      </c>
      <c r="U1049" s="39">
        <v>25.3</v>
      </c>
      <c r="V1049" s="39">
        <v>27.91</v>
      </c>
      <c r="W1049" s="52">
        <v>0.9214</v>
      </c>
      <c r="X1049" s="39">
        <v>3.28</v>
      </c>
      <c r="Y1049" s="41">
        <v>115144.175971833</v>
      </c>
      <c r="Z1049" s="39">
        <v>2758</v>
      </c>
      <c r="AA1049" s="39">
        <v>1.3224979138177</v>
      </c>
    </row>
    <row r="1050" spans="1:27" x14ac:dyDescent="0.25">
      <c r="A1050" s="7" t="str">
        <f t="shared" si="16"/>
        <v>4283Providence St. John's Health Center481273577710, SJHC OUTPATIENT REHAB (U)</v>
      </c>
      <c r="B1050" s="7"/>
      <c r="C1050" s="29" t="s">
        <v>924</v>
      </c>
      <c r="D1050" s="29" t="s">
        <v>924</v>
      </c>
      <c r="E1050" s="29" t="s">
        <v>924</v>
      </c>
      <c r="F1050" s="29">
        <v>4283</v>
      </c>
      <c r="G1050" s="159" t="s">
        <v>1148</v>
      </c>
      <c r="H1050" s="160">
        <v>4812</v>
      </c>
      <c r="I1050" s="159" t="s">
        <v>78</v>
      </c>
      <c r="J1050" s="159" t="s">
        <v>41</v>
      </c>
      <c r="K1050" s="159" t="s">
        <v>1192</v>
      </c>
      <c r="L1050" s="159" t="s">
        <v>79</v>
      </c>
      <c r="M1050" s="161">
        <v>272.26</v>
      </c>
      <c r="N1050" s="140">
        <v>297.92</v>
      </c>
      <c r="O1050" s="162">
        <v>0.64880000000000004</v>
      </c>
      <c r="P1050" s="161">
        <v>0</v>
      </c>
      <c r="Q1050" s="140">
        <v>1.51</v>
      </c>
      <c r="R1050" s="162"/>
      <c r="S1050" s="141">
        <v>11</v>
      </c>
      <c r="T1050" s="140">
        <v>21.23</v>
      </c>
      <c r="U1050" s="140">
        <v>23.53</v>
      </c>
      <c r="V1050" s="140">
        <v>24.71</v>
      </c>
      <c r="W1050" s="142">
        <v>0.9486</v>
      </c>
      <c r="X1050" s="140">
        <v>0.91</v>
      </c>
      <c r="Y1050" s="143">
        <v>-40671.511714576802</v>
      </c>
      <c r="Z1050" s="140">
        <v>-6915.401626554929</v>
      </c>
      <c r="AA1050" s="140">
        <v>-13.262504917399299</v>
      </c>
    </row>
    <row r="1051" spans="1:27" x14ac:dyDescent="0.25">
      <c r="A1051" s="7" t="str">
        <f t="shared" si="16"/>
        <v>4283Providence St. John's Health Center463073577600, SJHC GASTROINTESTINAL SERVICES (U)</v>
      </c>
      <c r="B1051" s="7"/>
      <c r="C1051" s="29" t="s">
        <v>924</v>
      </c>
      <c r="D1051" s="29" t="s">
        <v>924</v>
      </c>
      <c r="E1051" s="29" t="s">
        <v>924</v>
      </c>
      <c r="F1051" s="29">
        <v>4283</v>
      </c>
      <c r="G1051" s="4" t="s">
        <v>1148</v>
      </c>
      <c r="H1051" s="66">
        <v>4630</v>
      </c>
      <c r="I1051" s="4" t="s">
        <v>104</v>
      </c>
      <c r="J1051" s="4" t="s">
        <v>83</v>
      </c>
      <c r="K1051" s="4" t="s">
        <v>1185</v>
      </c>
      <c r="L1051" s="4" t="s">
        <v>99</v>
      </c>
      <c r="M1051" s="7"/>
      <c r="N1051" s="39">
        <v>1637.05</v>
      </c>
      <c r="O1051" s="38">
        <v>0.68069999999999997</v>
      </c>
      <c r="P1051" s="7"/>
      <c r="Q1051" s="39">
        <v>7.74</v>
      </c>
      <c r="R1051" s="38">
        <v>0.1431</v>
      </c>
      <c r="S1051" s="40">
        <v>12</v>
      </c>
      <c r="T1051" s="39">
        <v>8.4700000000000006</v>
      </c>
      <c r="U1051" s="39">
        <v>8.7799999999999994</v>
      </c>
      <c r="V1051" s="39">
        <v>9.42</v>
      </c>
      <c r="W1051" s="52">
        <v>0.91769999999999996</v>
      </c>
      <c r="X1051" s="39">
        <v>6.64</v>
      </c>
      <c r="Y1051" s="41">
        <v>-107092.926492795</v>
      </c>
      <c r="Z1051" s="39">
        <v>-1813</v>
      </c>
      <c r="AA1051" s="39">
        <v>-0.86937663810315602</v>
      </c>
    </row>
    <row r="1052" spans="1:27" x14ac:dyDescent="0.25">
      <c r="A1052" s="7" t="str">
        <f t="shared" si="16"/>
        <v>4283Providence St. John's Health Center591073584200, SJHC SECURITY (U)</v>
      </c>
      <c r="B1052" s="7"/>
      <c r="C1052" s="29" t="s">
        <v>924</v>
      </c>
      <c r="D1052" s="29" t="s">
        <v>924</v>
      </c>
      <c r="E1052" s="29" t="s">
        <v>924</v>
      </c>
      <c r="F1052" s="29">
        <v>4283</v>
      </c>
      <c r="G1052" s="4" t="s">
        <v>1148</v>
      </c>
      <c r="H1052" s="66">
        <v>5910</v>
      </c>
      <c r="I1052" s="4" t="s">
        <v>139</v>
      </c>
      <c r="J1052" s="4" t="s">
        <v>136</v>
      </c>
      <c r="K1052" s="4" t="s">
        <v>1162</v>
      </c>
      <c r="L1052" s="4" t="s">
        <v>1163</v>
      </c>
      <c r="M1052" s="7"/>
      <c r="N1052" s="39">
        <v>7527</v>
      </c>
      <c r="O1052" s="38">
        <v>0.54549999999999998</v>
      </c>
      <c r="P1052" s="7"/>
      <c r="Q1052" s="39">
        <v>1.8</v>
      </c>
      <c r="R1052" s="7">
        <v>90.91</v>
      </c>
      <c r="S1052" s="40">
        <v>12</v>
      </c>
      <c r="T1052" s="39">
        <v>0.28999999999999998</v>
      </c>
      <c r="U1052" s="39">
        <v>0.96</v>
      </c>
      <c r="V1052" s="39">
        <v>1.1299999999999999</v>
      </c>
      <c r="W1052" s="52">
        <v>0.72729999999999995</v>
      </c>
      <c r="X1052" s="39">
        <v>28.01</v>
      </c>
      <c r="Y1052" s="41">
        <f>+Z1052*22.99</f>
        <v>199860.32338787295</v>
      </c>
      <c r="Z1052" s="39">
        <f>SUM((Q1052-U1052)*N1052)/W1052</f>
        <v>8693.3589990375367</v>
      </c>
      <c r="AA1052" s="39">
        <f>+Z1052/2085.7</f>
        <v>4.1680773836302141</v>
      </c>
    </row>
    <row r="1053" spans="1:27" x14ac:dyDescent="0.25">
      <c r="A1053" s="7" t="str">
        <f t="shared" si="16"/>
        <v>4283Providence St. John's Health Center4199Respiratory and Pulmonary Care Administration and Support (U,N)</v>
      </c>
      <c r="B1053" s="7"/>
      <c r="C1053" s="29" t="s">
        <v>924</v>
      </c>
      <c r="D1053" s="29" t="s">
        <v>924</v>
      </c>
      <c r="E1053" s="29" t="s">
        <v>924</v>
      </c>
      <c r="F1053" s="29">
        <v>4283</v>
      </c>
      <c r="G1053" s="159" t="s">
        <v>1148</v>
      </c>
      <c r="H1053" s="160">
        <v>4199</v>
      </c>
      <c r="I1053" s="159" t="s">
        <v>1134</v>
      </c>
      <c r="J1053" s="159" t="s">
        <v>44</v>
      </c>
      <c r="K1053" s="159" t="s">
        <v>1181</v>
      </c>
      <c r="L1053" s="159" t="s">
        <v>45</v>
      </c>
      <c r="M1053" s="161">
        <v>4725.66</v>
      </c>
      <c r="N1053" s="140">
        <v>5094.6400000000003</v>
      </c>
      <c r="O1053" s="162"/>
      <c r="P1053" s="161">
        <v>0.08</v>
      </c>
      <c r="Q1053" s="140">
        <v>0.09</v>
      </c>
      <c r="R1053" s="162">
        <v>0.34079999999999999</v>
      </c>
      <c r="S1053" s="141">
        <v>14</v>
      </c>
      <c r="T1053" s="140">
        <v>0.08</v>
      </c>
      <c r="U1053" s="140">
        <v>0.09</v>
      </c>
      <c r="V1053" s="140">
        <v>0.1</v>
      </c>
      <c r="W1053" s="142">
        <v>0.88570000000000004</v>
      </c>
      <c r="X1053" s="140">
        <v>1.01</v>
      </c>
      <c r="Y1053" s="143">
        <v>134.077056016048</v>
      </c>
      <c r="Z1053" s="140">
        <v>8.9497388788528429</v>
      </c>
      <c r="AA1053" s="140">
        <v>1.7164000343007801E-2</v>
      </c>
    </row>
    <row r="1054" spans="1:27" x14ac:dyDescent="0.25">
      <c r="A1054" s="7" t="str">
        <f t="shared" si="16"/>
        <v>4283Providence St. John's Health Center621073587400, SJHC TRAINING AND DEVELOP (U)</v>
      </c>
      <c r="B1054" s="7"/>
      <c r="C1054" s="29" t="s">
        <v>924</v>
      </c>
      <c r="D1054" s="29" t="s">
        <v>924</v>
      </c>
      <c r="E1054" s="29" t="s">
        <v>924</v>
      </c>
      <c r="F1054" s="29">
        <v>4283</v>
      </c>
      <c r="G1054" s="4" t="s">
        <v>1148</v>
      </c>
      <c r="H1054" s="66">
        <v>6210</v>
      </c>
      <c r="I1054" s="4" t="s">
        <v>28</v>
      </c>
      <c r="J1054" s="4" t="s">
        <v>21</v>
      </c>
      <c r="K1054" s="4" t="s">
        <v>1173</v>
      </c>
      <c r="L1054" s="4" t="s">
        <v>18</v>
      </c>
      <c r="M1054" s="7"/>
      <c r="N1054" s="39">
        <v>17316.55</v>
      </c>
      <c r="O1054" s="38">
        <v>0.3891</v>
      </c>
      <c r="P1054" s="7"/>
      <c r="Q1054" s="39">
        <v>0.54</v>
      </c>
      <c r="R1054" s="38">
        <v>0.5847</v>
      </c>
      <c r="S1054" s="40">
        <v>15</v>
      </c>
      <c r="T1054" s="39">
        <v>0.34</v>
      </c>
      <c r="U1054" s="39">
        <v>0.39</v>
      </c>
      <c r="V1054" s="39">
        <v>0.48</v>
      </c>
      <c r="W1054" s="52">
        <v>0.93989999999999996</v>
      </c>
      <c r="X1054" s="39">
        <v>4.79</v>
      </c>
      <c r="Y1054" s="41">
        <v>147777.63705084901</v>
      </c>
      <c r="Z1054" s="39">
        <v>2805</v>
      </c>
      <c r="AA1054" s="39">
        <v>1.34497413030084</v>
      </c>
    </row>
    <row r="1055" spans="1:27" x14ac:dyDescent="0.25">
      <c r="A1055" s="7" t="str">
        <f t="shared" si="16"/>
        <v>4283Providence St. John's Health Center191073587200, SJHC NURSING ADMINISTRATION</v>
      </c>
      <c r="B1055" s="7"/>
      <c r="C1055" s="29" t="s">
        <v>924</v>
      </c>
      <c r="D1055" s="29" t="s">
        <v>924</v>
      </c>
      <c r="E1055" s="29" t="s">
        <v>924</v>
      </c>
      <c r="F1055" s="29">
        <v>4283</v>
      </c>
      <c r="G1055" s="4" t="s">
        <v>1148</v>
      </c>
      <c r="H1055" s="66">
        <v>1910</v>
      </c>
      <c r="I1055" s="4" t="s">
        <v>34</v>
      </c>
      <c r="J1055" s="4" t="s">
        <v>23</v>
      </c>
      <c r="K1055" s="67" t="s">
        <v>1189</v>
      </c>
      <c r="L1055" s="4" t="s">
        <v>35</v>
      </c>
      <c r="M1055" s="7"/>
      <c r="N1055" s="49">
        <v>815</v>
      </c>
      <c r="O1055" s="7"/>
      <c r="P1055" s="7"/>
      <c r="Q1055" s="68">
        <v>33.49</v>
      </c>
      <c r="R1055" s="7"/>
      <c r="S1055" s="40">
        <v>16</v>
      </c>
      <c r="T1055" s="39">
        <v>50.26</v>
      </c>
      <c r="U1055" s="39">
        <v>63.86</v>
      </c>
      <c r="V1055" s="39">
        <v>76.680000000000007</v>
      </c>
      <c r="W1055" s="69">
        <v>0.88539999999999996</v>
      </c>
      <c r="X1055" s="7">
        <v>8.4700000000000006</v>
      </c>
      <c r="Y1055" s="41">
        <f>Z1055*60.31</f>
        <v>-1685979.1964084029</v>
      </c>
      <c r="Z1055" s="40">
        <f>SUM((Q1055-U1055)*N1055)/W1055</f>
        <v>-27955.217980573751</v>
      </c>
      <c r="AA1055" s="39">
        <f>+Z1055/2085.7</f>
        <v>-13.403278506292253</v>
      </c>
    </row>
    <row r="1056" spans="1:27" x14ac:dyDescent="0.25">
      <c r="A1056" s="7" t="str">
        <f t="shared" si="16"/>
        <v>4283Providence St. John's Health Center553073584700, SJHC COMMUNICATIONS PBX (U)</v>
      </c>
      <c r="B1056" s="7"/>
      <c r="C1056" s="29" t="s">
        <v>924</v>
      </c>
      <c r="D1056" s="29" t="s">
        <v>924</v>
      </c>
      <c r="E1056" s="29" t="s">
        <v>924</v>
      </c>
      <c r="F1056" s="29">
        <v>4283</v>
      </c>
      <c r="G1056" s="4" t="s">
        <v>1148</v>
      </c>
      <c r="H1056" s="66">
        <v>5530</v>
      </c>
      <c r="I1056" s="4" t="s">
        <v>144</v>
      </c>
      <c r="J1056" s="4" t="s">
        <v>68</v>
      </c>
      <c r="K1056" s="4" t="s">
        <v>1176</v>
      </c>
      <c r="L1056" s="4" t="s">
        <v>18</v>
      </c>
      <c r="M1056" s="7"/>
      <c r="N1056" s="39">
        <v>17316.55</v>
      </c>
      <c r="O1056" s="38">
        <v>0.49480000000000002</v>
      </c>
      <c r="P1056" s="7"/>
      <c r="Q1056" s="39">
        <v>0.72</v>
      </c>
      <c r="R1056" s="38">
        <v>0.58879999999999999</v>
      </c>
      <c r="S1056" s="40">
        <v>16</v>
      </c>
      <c r="T1056" s="39">
        <v>0.56000000000000005</v>
      </c>
      <c r="U1056" s="39">
        <v>0.6</v>
      </c>
      <c r="V1056" s="39">
        <v>0.64</v>
      </c>
      <c r="W1056" s="52">
        <v>0.87980000000000003</v>
      </c>
      <c r="X1056" s="39">
        <v>6.81</v>
      </c>
      <c r="Y1056" s="41">
        <v>42591.601480060497</v>
      </c>
      <c r="Z1056" s="39">
        <v>2394</v>
      </c>
      <c r="AA1056" s="39">
        <v>1.14790928894637</v>
      </c>
    </row>
    <row r="1057" spans="1:27" x14ac:dyDescent="0.25">
      <c r="A1057" s="7" t="str">
        <f t="shared" si="16"/>
        <v>4283Providence St. John's Health Center583073587510, SJHC UTILIZATION REVIEW</v>
      </c>
      <c r="B1057" s="7"/>
      <c r="C1057" s="29" t="s">
        <v>924</v>
      </c>
      <c r="D1057" s="29" t="s">
        <v>924</v>
      </c>
      <c r="E1057" s="29" t="s">
        <v>924</v>
      </c>
      <c r="F1057" s="29">
        <v>4283</v>
      </c>
      <c r="G1057" s="159" t="s">
        <v>1148</v>
      </c>
      <c r="H1057" s="160">
        <v>5830</v>
      </c>
      <c r="I1057" s="159" t="s">
        <v>32</v>
      </c>
      <c r="J1057" s="159" t="s">
        <v>26</v>
      </c>
      <c r="K1057" s="159" t="s">
        <v>1175</v>
      </c>
      <c r="L1057" s="159" t="s">
        <v>33</v>
      </c>
      <c r="M1057" s="161">
        <v>4943</v>
      </c>
      <c r="N1057" s="140">
        <v>4943</v>
      </c>
      <c r="O1057" s="162">
        <v>0.4667</v>
      </c>
      <c r="P1057" s="161">
        <v>1.29</v>
      </c>
      <c r="Q1057" s="140">
        <v>1.35</v>
      </c>
      <c r="R1057" s="162">
        <v>0.47060000000000002</v>
      </c>
      <c r="S1057" s="141">
        <v>16</v>
      </c>
      <c r="T1057" s="140">
        <v>1</v>
      </c>
      <c r="U1057" s="140">
        <v>1.23</v>
      </c>
      <c r="V1057" s="140">
        <v>1.48</v>
      </c>
      <c r="W1057" s="142">
        <v>0.91220000000000001</v>
      </c>
      <c r="X1057" s="140">
        <v>14.02</v>
      </c>
      <c r="Y1057" s="143">
        <v>8038.1735826395998</v>
      </c>
      <c r="Z1057" s="140">
        <v>645.29408868669088</v>
      </c>
      <c r="AA1057" s="140">
        <v>1.2375587835003901</v>
      </c>
    </row>
    <row r="1058" spans="1:27" x14ac:dyDescent="0.25">
      <c r="A1058" s="7" t="str">
        <f t="shared" si="16"/>
        <v>4283Providence St. John's Health Center124073561770, SJHC ORTHO 5 MAIN (U)</v>
      </c>
      <c r="B1058" s="7"/>
      <c r="C1058" s="29" t="s">
        <v>924</v>
      </c>
      <c r="D1058" s="29" t="s">
        <v>924</v>
      </c>
      <c r="E1058" s="29" t="s">
        <v>924</v>
      </c>
      <c r="F1058" s="29">
        <v>4283</v>
      </c>
      <c r="G1058" s="4" t="s">
        <v>1148</v>
      </c>
      <c r="H1058" s="66">
        <v>1240</v>
      </c>
      <c r="I1058" s="4" t="s">
        <v>110</v>
      </c>
      <c r="J1058" s="4" t="s">
        <v>23</v>
      </c>
      <c r="K1058" s="4" t="s">
        <v>1171</v>
      </c>
      <c r="L1058" s="4" t="s">
        <v>74</v>
      </c>
      <c r="M1058" s="7"/>
      <c r="N1058" s="39">
        <v>10280.25</v>
      </c>
      <c r="O1058" s="38">
        <v>0.5998</v>
      </c>
      <c r="P1058" s="7"/>
      <c r="Q1058" s="39">
        <v>10.76</v>
      </c>
      <c r="R1058" s="38">
        <v>0.55840000000000001</v>
      </c>
      <c r="S1058" s="40">
        <v>16</v>
      </c>
      <c r="T1058" s="39">
        <v>10.42</v>
      </c>
      <c r="U1058" s="39">
        <v>10.5</v>
      </c>
      <c r="V1058" s="39">
        <v>10.7</v>
      </c>
      <c r="W1058" s="52">
        <v>0.88590000000000002</v>
      </c>
      <c r="X1058" s="39">
        <v>60.02</v>
      </c>
      <c r="Y1058" s="41">
        <v>142356.912652628</v>
      </c>
      <c r="Z1058" s="39">
        <v>3339</v>
      </c>
      <c r="AA1058" s="39">
        <v>1.6006887534244001</v>
      </c>
    </row>
    <row r="1059" spans="1:27" x14ac:dyDescent="0.25">
      <c r="A1059" s="7" t="str">
        <f t="shared" si="16"/>
        <v>4283Providence St. John's Health Center121073561700, SJHC MED SURG (U)</v>
      </c>
      <c r="B1059" s="7"/>
      <c r="C1059" s="29" t="s">
        <v>924</v>
      </c>
      <c r="D1059" s="29" t="s">
        <v>924</v>
      </c>
      <c r="E1059" s="29" t="s">
        <v>924</v>
      </c>
      <c r="F1059" s="29">
        <v>4283</v>
      </c>
      <c r="G1059" s="4" t="s">
        <v>1148</v>
      </c>
      <c r="H1059" s="66">
        <v>1210</v>
      </c>
      <c r="I1059" s="4" t="s">
        <v>147</v>
      </c>
      <c r="J1059" s="4" t="s">
        <v>23</v>
      </c>
      <c r="K1059" s="4" t="s">
        <v>1149</v>
      </c>
      <c r="L1059" s="4" t="s">
        <v>74</v>
      </c>
      <c r="M1059" s="7"/>
      <c r="N1059" s="39">
        <v>15278.5</v>
      </c>
      <c r="O1059" s="38">
        <v>0.58730000000000004</v>
      </c>
      <c r="P1059" s="7"/>
      <c r="Q1059" s="39">
        <v>11.34</v>
      </c>
      <c r="R1059" s="38">
        <v>0.82569999999999999</v>
      </c>
      <c r="S1059" s="40">
        <v>16</v>
      </c>
      <c r="T1059" s="39">
        <v>9.09</v>
      </c>
      <c r="U1059" s="39">
        <v>9.6999999999999993</v>
      </c>
      <c r="V1059" s="39">
        <v>9.93</v>
      </c>
      <c r="W1059" s="52">
        <v>0.89449999999999996</v>
      </c>
      <c r="X1059" s="39">
        <v>93.11</v>
      </c>
      <c r="Y1059" s="41">
        <v>1196423.1639803301</v>
      </c>
      <c r="Z1059" s="39">
        <v>28519</v>
      </c>
      <c r="AA1059" s="39">
        <v>13.673469635777201</v>
      </c>
    </row>
    <row r="1060" spans="1:27" x14ac:dyDescent="0.25">
      <c r="A1060" s="7" t="str">
        <f t="shared" si="16"/>
        <v>4283Providence St. John's Health Center592573583700, SJHC CENTRAL TRANSPORTATION (U)</v>
      </c>
      <c r="B1060" s="7"/>
      <c r="C1060" s="29" t="s">
        <v>924</v>
      </c>
      <c r="D1060" s="29" t="s">
        <v>924</v>
      </c>
      <c r="E1060" s="29" t="s">
        <v>924</v>
      </c>
      <c r="F1060" s="29">
        <v>4283</v>
      </c>
      <c r="G1060" s="4" t="s">
        <v>1148</v>
      </c>
      <c r="H1060" s="66">
        <v>5925</v>
      </c>
      <c r="I1060" s="4" t="s">
        <v>135</v>
      </c>
      <c r="J1060" s="4" t="s">
        <v>136</v>
      </c>
      <c r="K1060" s="4" t="s">
        <v>1168</v>
      </c>
      <c r="L1060" s="4" t="s">
        <v>137</v>
      </c>
      <c r="M1060" s="7"/>
      <c r="N1060" s="39">
        <v>373.43</v>
      </c>
      <c r="O1060" s="38">
        <v>0.44650000000000001</v>
      </c>
      <c r="P1060" s="7"/>
      <c r="Q1060" s="39">
        <v>60.79</v>
      </c>
      <c r="R1060" s="38">
        <v>0.65690000000000004</v>
      </c>
      <c r="S1060" s="40">
        <v>18</v>
      </c>
      <c r="T1060" s="39">
        <v>38.01</v>
      </c>
      <c r="U1060" s="39">
        <v>49.39</v>
      </c>
      <c r="V1060" s="39">
        <v>54.4</v>
      </c>
      <c r="W1060" s="52">
        <v>0.95099999999999996</v>
      </c>
      <c r="X1060" s="39">
        <v>11.48</v>
      </c>
      <c r="Y1060" s="41">
        <v>87408.216271828001</v>
      </c>
      <c r="Z1060" s="39">
        <v>4550</v>
      </c>
      <c r="AA1060" s="39">
        <v>2.1814362535894198</v>
      </c>
    </row>
    <row r="1061" spans="1:27" x14ac:dyDescent="0.25">
      <c r="A1061" s="7" t="str">
        <f t="shared" si="16"/>
        <v>4283Providence St. John's Health Center201073570100, SJHC EMERGENCY ROOM (U)</v>
      </c>
      <c r="B1061" s="7"/>
      <c r="C1061" s="29" t="s">
        <v>924</v>
      </c>
      <c r="D1061" s="29" t="s">
        <v>924</v>
      </c>
      <c r="E1061" s="29" t="s">
        <v>924</v>
      </c>
      <c r="F1061" s="29">
        <v>4283</v>
      </c>
      <c r="G1061" s="4" t="s">
        <v>1148</v>
      </c>
      <c r="H1061" s="66">
        <v>2010</v>
      </c>
      <c r="I1061" s="4" t="s">
        <v>75</v>
      </c>
      <c r="J1061" s="4" t="s">
        <v>76</v>
      </c>
      <c r="K1061" s="4" t="s">
        <v>1188</v>
      </c>
      <c r="L1061" s="4" t="s">
        <v>77</v>
      </c>
      <c r="M1061" s="7"/>
      <c r="N1061" s="39">
        <v>38547</v>
      </c>
      <c r="O1061" s="38">
        <v>0.56850000000000001</v>
      </c>
      <c r="P1061" s="7"/>
      <c r="Q1061" s="39">
        <v>2.71</v>
      </c>
      <c r="R1061" s="38">
        <v>0.24759999999999999</v>
      </c>
      <c r="S1061" s="40">
        <v>19</v>
      </c>
      <c r="T1061" s="39">
        <v>2.72</v>
      </c>
      <c r="U1061" s="39">
        <v>2.91</v>
      </c>
      <c r="V1061" s="39">
        <v>3.02</v>
      </c>
      <c r="W1061" s="52">
        <v>0.91800000000000004</v>
      </c>
      <c r="X1061" s="39">
        <v>54.71</v>
      </c>
      <c r="Y1061" s="41">
        <v>-419500.903066281</v>
      </c>
      <c r="Z1061" s="39">
        <v>-8083</v>
      </c>
      <c r="AA1061" s="39">
        <v>-3.8753529214342102</v>
      </c>
    </row>
    <row r="1062" spans="1:27" x14ac:dyDescent="0.25">
      <c r="A1062" s="7" t="str">
        <f t="shared" si="16"/>
        <v>4283Providence St. John's Health Center582573587520, 7540 SJHC QUALITY ASSURANCE - RISK</v>
      </c>
      <c r="B1062" s="7"/>
      <c r="C1062" s="29" t="s">
        <v>924</v>
      </c>
      <c r="D1062" s="29" t="s">
        <v>924</v>
      </c>
      <c r="E1062" s="29" t="s">
        <v>924</v>
      </c>
      <c r="F1062" s="29">
        <v>4283</v>
      </c>
      <c r="G1062" s="159" t="s">
        <v>1148</v>
      </c>
      <c r="H1062" s="160">
        <v>5825</v>
      </c>
      <c r="I1062" s="159" t="s">
        <v>25</v>
      </c>
      <c r="J1062" s="159" t="s">
        <v>26</v>
      </c>
      <c r="K1062" s="159" t="s">
        <v>1167</v>
      </c>
      <c r="L1062" s="159" t="s">
        <v>27</v>
      </c>
      <c r="M1062" s="161"/>
      <c r="N1062" s="140">
        <v>37317</v>
      </c>
      <c r="O1062" s="162">
        <v>0.55559999999999998</v>
      </c>
      <c r="P1062" s="161"/>
      <c r="Q1062" s="140">
        <v>0.12</v>
      </c>
      <c r="R1062" s="162">
        <v>0.70589999999999997</v>
      </c>
      <c r="S1062" s="141">
        <v>19</v>
      </c>
      <c r="T1062" s="140">
        <v>0.08</v>
      </c>
      <c r="U1062" s="140">
        <v>0.09</v>
      </c>
      <c r="V1062" s="140">
        <v>0.1</v>
      </c>
      <c r="W1062" s="142">
        <v>0.85389999999999999</v>
      </c>
      <c r="X1062" s="140">
        <v>9.85</v>
      </c>
      <c r="Y1062" s="143">
        <v>18082.4113775839</v>
      </c>
      <c r="Z1062" s="140">
        <v>1202.87077394894</v>
      </c>
      <c r="AA1062" s="140">
        <v>2.3068912575134299</v>
      </c>
    </row>
    <row r="1063" spans="1:27" x14ac:dyDescent="0.25">
      <c r="A1063" s="7" t="str">
        <f t="shared" si="16"/>
        <v>4283Providence St. John's Health Center123873561730, SJHC ONCOLOGY ACUTE (U)</v>
      </c>
      <c r="B1063" s="7"/>
      <c r="C1063" s="29" t="s">
        <v>924</v>
      </c>
      <c r="D1063" s="29" t="s">
        <v>924</v>
      </c>
      <c r="E1063" s="29" t="s">
        <v>924</v>
      </c>
      <c r="F1063" s="29">
        <v>4283</v>
      </c>
      <c r="G1063" s="4" t="s">
        <v>1148</v>
      </c>
      <c r="H1063" s="66">
        <v>1238</v>
      </c>
      <c r="I1063" s="4" t="s">
        <v>148</v>
      </c>
      <c r="J1063" s="4" t="s">
        <v>23</v>
      </c>
      <c r="K1063" s="4" t="s">
        <v>1155</v>
      </c>
      <c r="L1063" s="4" t="s">
        <v>74</v>
      </c>
      <c r="M1063" s="7"/>
      <c r="N1063" s="39">
        <v>5212.67</v>
      </c>
      <c r="O1063" s="38">
        <v>0.49080000000000001</v>
      </c>
      <c r="P1063" s="7"/>
      <c r="Q1063" s="39">
        <v>13.55</v>
      </c>
      <c r="R1063" s="7"/>
      <c r="S1063" s="40">
        <v>19</v>
      </c>
      <c r="T1063" s="39">
        <v>10.11</v>
      </c>
      <c r="U1063" s="39">
        <v>10.52</v>
      </c>
      <c r="V1063" s="39">
        <v>10.68</v>
      </c>
      <c r="W1063" s="52">
        <v>0.91300000000000003</v>
      </c>
      <c r="X1063" s="39">
        <v>37.19</v>
      </c>
      <c r="Y1063" s="41">
        <v>773508.13212156098</v>
      </c>
      <c r="Z1063" s="39">
        <v>17505</v>
      </c>
      <c r="AA1063" s="39">
        <v>8.3925950874680293</v>
      </c>
    </row>
    <row r="1064" spans="1:27" x14ac:dyDescent="0.25">
      <c r="A1064" s="7" t="str">
        <f t="shared" si="16"/>
        <v>4283Providence St. John's Health Center121073561710, SJHCM MED SURG CSS4 (U)</v>
      </c>
      <c r="B1064" s="7"/>
      <c r="C1064" s="29" t="s">
        <v>924</v>
      </c>
      <c r="D1064" s="29" t="s">
        <v>924</v>
      </c>
      <c r="E1064" s="29" t="s">
        <v>924</v>
      </c>
      <c r="F1064" s="29">
        <v>4283</v>
      </c>
      <c r="G1064" s="4" t="s">
        <v>1148</v>
      </c>
      <c r="H1064" s="66">
        <v>1210</v>
      </c>
      <c r="I1064" s="4" t="s">
        <v>147</v>
      </c>
      <c r="J1064" s="4" t="s">
        <v>23</v>
      </c>
      <c r="K1064" s="4" t="s">
        <v>1159</v>
      </c>
      <c r="L1064" s="4" t="s">
        <v>74</v>
      </c>
      <c r="M1064" s="7"/>
      <c r="N1064" s="39">
        <v>2152.92</v>
      </c>
      <c r="O1064" s="38">
        <v>0.41020000000000001</v>
      </c>
      <c r="P1064" s="7"/>
      <c r="Q1064" s="39">
        <v>15.04</v>
      </c>
      <c r="R1064" s="38">
        <v>0.6875</v>
      </c>
      <c r="S1064" s="40">
        <v>22</v>
      </c>
      <c r="T1064" s="39">
        <v>10.54</v>
      </c>
      <c r="U1064" s="39">
        <v>10.86</v>
      </c>
      <c r="V1064" s="39">
        <v>11.92</v>
      </c>
      <c r="W1064" s="52">
        <v>0.91269999999999996</v>
      </c>
      <c r="X1064" s="39">
        <v>17.05</v>
      </c>
      <c r="Y1064" s="41">
        <v>510792.53871014703</v>
      </c>
      <c r="Z1064" s="39">
        <v>9944</v>
      </c>
      <c r="AA1064" s="39">
        <v>4.7677530313730596</v>
      </c>
    </row>
    <row r="1065" spans="1:27" x14ac:dyDescent="0.25">
      <c r="A1065" s="7" t="str">
        <f t="shared" si="16"/>
        <v>4283Providence St. John's Health Center344073576315, 76305 SJHC MAMMOGRAPHY / BONE DENSITY (U)</v>
      </c>
      <c r="B1065" s="7"/>
      <c r="C1065" s="29" t="s">
        <v>924</v>
      </c>
      <c r="D1065" s="29" t="s">
        <v>924</v>
      </c>
      <c r="E1065" s="29" t="s">
        <v>924</v>
      </c>
      <c r="F1065" s="29">
        <v>4283</v>
      </c>
      <c r="G1065" s="4" t="s">
        <v>1148</v>
      </c>
      <c r="H1065" s="66">
        <v>3440</v>
      </c>
      <c r="I1065" s="4" t="s">
        <v>119</v>
      </c>
      <c r="J1065" s="4" t="s">
        <v>57</v>
      </c>
      <c r="K1065" s="4" t="s">
        <v>1187</v>
      </c>
      <c r="L1065" s="4" t="s">
        <v>99</v>
      </c>
      <c r="M1065" s="7"/>
      <c r="N1065" s="39">
        <v>20603.060000000001</v>
      </c>
      <c r="O1065" s="38">
        <v>0.38619999999999999</v>
      </c>
      <c r="P1065" s="7"/>
      <c r="Q1065" s="39">
        <v>0.42</v>
      </c>
      <c r="R1065" s="38">
        <v>9.9900000000000003E-2</v>
      </c>
      <c r="S1065" s="40">
        <v>23</v>
      </c>
      <c r="T1065" s="39">
        <v>0.53</v>
      </c>
      <c r="U1065" s="39">
        <v>0.56000000000000005</v>
      </c>
      <c r="V1065" s="39">
        <v>0.6</v>
      </c>
      <c r="W1065" s="52">
        <v>0.88280000000000003</v>
      </c>
      <c r="X1065" s="39">
        <v>4.7</v>
      </c>
      <c r="Y1065" s="41">
        <v>-158951.59275938099</v>
      </c>
      <c r="Z1065" s="39">
        <v>-3267</v>
      </c>
      <c r="AA1065" s="39">
        <v>-1.5662192821904</v>
      </c>
    </row>
    <row r="1066" spans="1:27" x14ac:dyDescent="0.25">
      <c r="A1066" s="7" t="str">
        <f t="shared" si="16"/>
        <v>4283Providence St. John's Health Center3380Laboratory Services Anatomic Pathology</v>
      </c>
      <c r="B1066" s="7"/>
      <c r="C1066" s="29" t="s">
        <v>924</v>
      </c>
      <c r="D1066" s="29" t="s">
        <v>924</v>
      </c>
      <c r="E1066" s="29" t="s">
        <v>924</v>
      </c>
      <c r="F1066" s="29">
        <v>4283</v>
      </c>
      <c r="G1066" s="159" t="s">
        <v>1148</v>
      </c>
      <c r="H1066" s="160">
        <v>3380</v>
      </c>
      <c r="I1066" s="159" t="s">
        <v>95</v>
      </c>
      <c r="J1066" s="159" t="s">
        <v>53</v>
      </c>
      <c r="K1066" s="159" t="s">
        <v>458</v>
      </c>
      <c r="L1066" s="159" t="s">
        <v>94</v>
      </c>
      <c r="M1066" s="161"/>
      <c r="N1066" s="140">
        <v>106.51</v>
      </c>
      <c r="O1066" s="162">
        <v>0.36359999999999998</v>
      </c>
      <c r="P1066" s="161"/>
      <c r="Q1066" s="140">
        <v>48.49</v>
      </c>
      <c r="R1066" s="162"/>
      <c r="S1066" s="141">
        <v>23</v>
      </c>
      <c r="T1066" s="140">
        <v>29.25</v>
      </c>
      <c r="U1066" s="140">
        <v>30.58</v>
      </c>
      <c r="V1066" s="140">
        <v>32.26</v>
      </c>
      <c r="W1066" s="142">
        <v>0.86939999999999995</v>
      </c>
      <c r="X1066" s="140">
        <v>11.35</v>
      </c>
      <c r="Y1066" s="143">
        <f>Z1066*40.79</f>
        <v>89499.382722567316</v>
      </c>
      <c r="Z1066" s="140">
        <f>SUM((Q1066-U1066)*N1066)/W1066</f>
        <v>2194.1501035196693</v>
      </c>
      <c r="AA1066" s="140">
        <f>+Z1066/540</f>
        <v>4.0632409324438319</v>
      </c>
    </row>
    <row r="1067" spans="1:27" x14ac:dyDescent="0.25">
      <c r="A1067" s="7" t="str">
        <f t="shared" si="16"/>
        <v>4283Providence St. John's Health Center486173578000, SJHC SPEECH LANGUAGE THERAPY (U)</v>
      </c>
      <c r="B1067" s="7"/>
      <c r="C1067" s="29" t="s">
        <v>924</v>
      </c>
      <c r="D1067" s="29" t="s">
        <v>924</v>
      </c>
      <c r="E1067" s="29" t="s">
        <v>924</v>
      </c>
      <c r="F1067" s="29">
        <v>4283</v>
      </c>
      <c r="G1067" s="159" t="s">
        <v>1148</v>
      </c>
      <c r="H1067" s="160">
        <v>4861</v>
      </c>
      <c r="I1067" s="159" t="s">
        <v>125</v>
      </c>
      <c r="J1067" s="159" t="s">
        <v>41</v>
      </c>
      <c r="K1067" s="159" t="s">
        <v>1182</v>
      </c>
      <c r="L1067" s="159" t="s">
        <v>79</v>
      </c>
      <c r="M1067" s="161">
        <v>12.59</v>
      </c>
      <c r="N1067" s="140">
        <v>12.33</v>
      </c>
      <c r="O1067" s="162">
        <v>0.57969999999999999</v>
      </c>
      <c r="P1067" s="161">
        <v>31.72</v>
      </c>
      <c r="Q1067" s="140">
        <v>32.24</v>
      </c>
      <c r="R1067" s="162">
        <v>0.2465</v>
      </c>
      <c r="S1067" s="141">
        <v>24</v>
      </c>
      <c r="T1067" s="140">
        <v>32.36</v>
      </c>
      <c r="U1067" s="140">
        <v>32.909999999999997</v>
      </c>
      <c r="V1067" s="140">
        <v>39.28</v>
      </c>
      <c r="W1067" s="142">
        <v>0.82469999999999999</v>
      </c>
      <c r="X1067" s="140">
        <v>0.93</v>
      </c>
      <c r="Y1067" s="143">
        <v>-102.21361662766699</v>
      </c>
      <c r="Z1067" s="140">
        <v>-7.1085804838122773</v>
      </c>
      <c r="AA1067" s="140">
        <v>-1.3632987455170499E-2</v>
      </c>
    </row>
    <row r="1068" spans="1:27" x14ac:dyDescent="0.25">
      <c r="A1068" s="7" t="str">
        <f t="shared" si="16"/>
        <v>4283Providence St. John's Health Center481173577700, SJHC PHYSICAL THERAPY (U)</v>
      </c>
      <c r="B1068" s="7"/>
      <c r="C1068" s="29" t="s">
        <v>924</v>
      </c>
      <c r="D1068" s="29" t="s">
        <v>924</v>
      </c>
      <c r="E1068" s="29" t="s">
        <v>924</v>
      </c>
      <c r="F1068" s="29">
        <v>4283</v>
      </c>
      <c r="G1068" s="4" t="s">
        <v>1148</v>
      </c>
      <c r="H1068" s="66">
        <v>4811</v>
      </c>
      <c r="I1068" s="4" t="s">
        <v>124</v>
      </c>
      <c r="J1068" s="4" t="s">
        <v>41</v>
      </c>
      <c r="K1068" s="4" t="s">
        <v>1160</v>
      </c>
      <c r="L1068" s="4" t="s">
        <v>79</v>
      </c>
      <c r="M1068" s="7"/>
      <c r="N1068" s="39">
        <v>846.44</v>
      </c>
      <c r="O1068" s="38">
        <v>0.43909999999999999</v>
      </c>
      <c r="P1068" s="7"/>
      <c r="Q1068" s="39">
        <v>36.96</v>
      </c>
      <c r="R1068" s="38">
        <v>0.96440000000000003</v>
      </c>
      <c r="S1068" s="40">
        <v>26</v>
      </c>
      <c r="T1068" s="39">
        <v>25.74</v>
      </c>
      <c r="U1068" s="39">
        <v>26.53</v>
      </c>
      <c r="V1068" s="39">
        <v>27.65</v>
      </c>
      <c r="W1068" s="52">
        <v>0.93830000000000002</v>
      </c>
      <c r="X1068" s="39">
        <v>16.03</v>
      </c>
      <c r="Y1068" s="41">
        <v>413744.48732049298</v>
      </c>
      <c r="Z1068" s="39">
        <v>9501</v>
      </c>
      <c r="AA1068" s="39">
        <v>4.5553388109755897</v>
      </c>
    </row>
    <row r="1069" spans="1:27" x14ac:dyDescent="0.25">
      <c r="A1069" s="7" t="str">
        <f t="shared" si="16"/>
        <v>4283Providence St. John's Health Center127273563800, 74002 OBSTETRICS ACUTE /ANTEPARTUM (U)</v>
      </c>
      <c r="B1069" s="7"/>
      <c r="C1069" s="29" t="s">
        <v>924</v>
      </c>
      <c r="D1069" s="29" t="s">
        <v>924</v>
      </c>
      <c r="E1069" s="29" t="s">
        <v>924</v>
      </c>
      <c r="F1069" s="29">
        <v>4283</v>
      </c>
      <c r="G1069" s="4" t="s">
        <v>1148</v>
      </c>
      <c r="H1069" s="66">
        <v>1272</v>
      </c>
      <c r="I1069" s="4" t="s">
        <v>112</v>
      </c>
      <c r="J1069" s="4" t="s">
        <v>23</v>
      </c>
      <c r="K1069" s="4" t="s">
        <v>1191</v>
      </c>
      <c r="L1069" s="4" t="s">
        <v>74</v>
      </c>
      <c r="M1069" s="7"/>
      <c r="N1069" s="39">
        <v>11620.63</v>
      </c>
      <c r="O1069" s="38">
        <v>0.51060000000000005</v>
      </c>
      <c r="P1069" s="7"/>
      <c r="Q1069" s="39">
        <v>6.31</v>
      </c>
      <c r="R1069" s="38">
        <v>8.0699999999999994E-2</v>
      </c>
      <c r="S1069" s="40">
        <v>28</v>
      </c>
      <c r="T1069" s="39">
        <v>7.3</v>
      </c>
      <c r="U1069" s="39">
        <v>7.43</v>
      </c>
      <c r="V1069" s="39">
        <v>7.57</v>
      </c>
      <c r="W1069" s="52">
        <v>0.86339999999999995</v>
      </c>
      <c r="X1069" s="39">
        <v>40.85</v>
      </c>
      <c r="Y1069" s="41">
        <v>-781281.41762421001</v>
      </c>
      <c r="Z1069" s="39">
        <v>-14801</v>
      </c>
      <c r="AA1069" s="39">
        <v>-7.0962451711145196</v>
      </c>
    </row>
    <row r="1070" spans="1:27" x14ac:dyDescent="0.25">
      <c r="A1070" s="7" t="str">
        <f t="shared" si="16"/>
        <v>4283Providence St. John's Health Center411073577200, SJHC RESPIRATORY THERAPY (U)</v>
      </c>
      <c r="B1070" s="7"/>
      <c r="C1070" s="29" t="s">
        <v>924</v>
      </c>
      <c r="D1070" s="29" t="s">
        <v>924</v>
      </c>
      <c r="E1070" s="29" t="s">
        <v>924</v>
      </c>
      <c r="F1070" s="29">
        <v>4283</v>
      </c>
      <c r="G1070" s="43" t="s">
        <v>1148</v>
      </c>
      <c r="H1070" s="146">
        <v>4110</v>
      </c>
      <c r="I1070" s="43" t="s">
        <v>145</v>
      </c>
      <c r="J1070" s="43" t="s">
        <v>44</v>
      </c>
      <c r="K1070" s="43" t="s">
        <v>1172</v>
      </c>
      <c r="L1070" s="43" t="s">
        <v>826</v>
      </c>
      <c r="M1070" s="71"/>
      <c r="N1070" s="46">
        <v>5094.6400000000003</v>
      </c>
      <c r="O1070" s="45">
        <v>0.51719999999999999</v>
      </c>
      <c r="P1070" s="71"/>
      <c r="Q1070" s="46">
        <f>11116.28/N1070</f>
        <v>2.1819559380054332</v>
      </c>
      <c r="R1070" s="45">
        <v>0.89290000000000003</v>
      </c>
      <c r="S1070" s="47">
        <v>28</v>
      </c>
      <c r="T1070" s="46">
        <v>2.41</v>
      </c>
      <c r="U1070" s="46">
        <v>2.5299999999999998</v>
      </c>
      <c r="V1070" s="46">
        <v>2.81</v>
      </c>
      <c r="W1070" s="138">
        <v>0.8841</v>
      </c>
      <c r="X1070" s="46">
        <v>23.46</v>
      </c>
      <c r="Y1070" s="48">
        <f>Z1070*41.56</f>
        <v>-83353.123348037509</v>
      </c>
      <c r="Z1070" s="46">
        <f>SUM((Q1070-U1070)*N1070)/W1070</f>
        <v>-2005.6093202126444</v>
      </c>
      <c r="AA1070" s="46">
        <f>+Z1070/540</f>
        <v>-3.7140913337271195</v>
      </c>
    </row>
    <row r="1071" spans="1:27" x14ac:dyDescent="0.25">
      <c r="A1071" s="7" t="str">
        <f t="shared" si="16"/>
        <v>4283Providence St. John's Health Center304073574300, SJHC AMBULATORY SURGERY CENTER</v>
      </c>
      <c r="B1071" s="7"/>
      <c r="C1071" s="29" t="s">
        <v>924</v>
      </c>
      <c r="D1071" s="29" t="s">
        <v>924</v>
      </c>
      <c r="E1071" s="29" t="s">
        <v>924</v>
      </c>
      <c r="F1071" s="29">
        <v>4283</v>
      </c>
      <c r="G1071" s="159" t="s">
        <v>1148</v>
      </c>
      <c r="H1071" s="160">
        <v>3040</v>
      </c>
      <c r="I1071" s="159" t="s">
        <v>277</v>
      </c>
      <c r="J1071" s="159" t="s">
        <v>47</v>
      </c>
      <c r="K1071" s="159" t="s">
        <v>1164</v>
      </c>
      <c r="L1071" s="159" t="s">
        <v>88</v>
      </c>
      <c r="M1071" s="161">
        <v>440.4</v>
      </c>
      <c r="N1071" s="140">
        <v>490.5</v>
      </c>
      <c r="O1071" s="162">
        <v>0.55559999999999998</v>
      </c>
      <c r="P1071" s="161">
        <v>21.74</v>
      </c>
      <c r="Q1071" s="140">
        <v>22.48</v>
      </c>
      <c r="R1071" s="162">
        <v>0.84619999999999995</v>
      </c>
      <c r="S1071" s="141">
        <v>28</v>
      </c>
      <c r="T1071" s="140">
        <v>18.239999999999998</v>
      </c>
      <c r="U1071" s="140">
        <v>18.7</v>
      </c>
      <c r="V1071" s="140">
        <v>19.28</v>
      </c>
      <c r="W1071" s="142">
        <v>0.90769999999999995</v>
      </c>
      <c r="X1071" s="140">
        <v>23.36</v>
      </c>
      <c r="Y1071" s="143">
        <v>25290.471182634599</v>
      </c>
      <c r="Z1071" s="140">
        <v>2075.4422800484731</v>
      </c>
      <c r="AA1071" s="140">
        <v>3.9803275256239599</v>
      </c>
    </row>
    <row r="1072" spans="1:27" x14ac:dyDescent="0.25">
      <c r="A1072" s="7" t="str">
        <f t="shared" si="16"/>
        <v>4283Providence St. John's Health Center651073587100, SJHC MEDICAL STAFF ADMIN</v>
      </c>
      <c r="B1072" s="7"/>
      <c r="C1072" s="29" t="s">
        <v>924</v>
      </c>
      <c r="D1072" s="29" t="s">
        <v>924</v>
      </c>
      <c r="E1072" s="29" t="s">
        <v>924</v>
      </c>
      <c r="F1072" s="29">
        <v>4283</v>
      </c>
      <c r="G1072" s="43" t="s">
        <v>1148</v>
      </c>
      <c r="H1072" s="146">
        <v>6510</v>
      </c>
      <c r="I1072" s="43" t="s">
        <v>19</v>
      </c>
      <c r="J1072" s="43" t="s">
        <v>19</v>
      </c>
      <c r="K1072" s="43" t="s">
        <v>1161</v>
      </c>
      <c r="L1072" s="43" t="s">
        <v>20</v>
      </c>
      <c r="M1072" s="71" t="s">
        <v>1058</v>
      </c>
      <c r="N1072" s="46">
        <v>191</v>
      </c>
      <c r="O1072" s="45">
        <v>0.46429999999999999</v>
      </c>
      <c r="P1072" s="71" t="s">
        <v>1058</v>
      </c>
      <c r="Q1072" s="46">
        <v>17.309999999999999</v>
      </c>
      <c r="R1072" s="45">
        <v>0.82140000000000002</v>
      </c>
      <c r="S1072" s="47">
        <v>29</v>
      </c>
      <c r="T1072" s="46">
        <v>4.2699999999999996</v>
      </c>
      <c r="U1072" s="46">
        <v>6.25</v>
      </c>
      <c r="V1072" s="46">
        <v>7.79</v>
      </c>
      <c r="W1072" s="138">
        <v>0.90849999999999997</v>
      </c>
      <c r="X1072" s="46">
        <v>6.76</v>
      </c>
      <c r="Y1072" s="48">
        <f>Z1072*87.77</f>
        <v>204084.33043478258</v>
      </c>
      <c r="Z1072" s="46">
        <f>SUM(($Q1072-$U1072)*$N1072)/$W1072</f>
        <v>2325.2173913043475</v>
      </c>
      <c r="AA1072" s="46">
        <f>+Z1072/540</f>
        <v>4.3059581320450881</v>
      </c>
    </row>
    <row r="1073" spans="1:27" x14ac:dyDescent="0.25">
      <c r="A1073" s="7" t="str">
        <f t="shared" si="16"/>
        <v>4283Providence St. John's Health Center101373560100, SJHC ICU CCU (U)</v>
      </c>
      <c r="B1073" s="7"/>
      <c r="C1073" s="29" t="s">
        <v>924</v>
      </c>
      <c r="D1073" s="29" t="s">
        <v>924</v>
      </c>
      <c r="E1073" s="29" t="s">
        <v>924</v>
      </c>
      <c r="F1073" s="29">
        <v>4283</v>
      </c>
      <c r="G1073" s="4" t="s">
        <v>1148</v>
      </c>
      <c r="H1073" s="66">
        <v>1013</v>
      </c>
      <c r="I1073" s="4" t="s">
        <v>73</v>
      </c>
      <c r="J1073" s="4" t="s">
        <v>23</v>
      </c>
      <c r="K1073" s="4" t="s">
        <v>1166</v>
      </c>
      <c r="L1073" s="4" t="s">
        <v>74</v>
      </c>
      <c r="M1073" s="7"/>
      <c r="N1073" s="39">
        <v>4931.13</v>
      </c>
      <c r="O1073" s="38">
        <v>0.58040000000000003</v>
      </c>
      <c r="P1073" s="7"/>
      <c r="Q1073" s="39">
        <v>20.49</v>
      </c>
      <c r="R1073" s="38">
        <v>0.44850000000000001</v>
      </c>
      <c r="S1073" s="40">
        <v>30</v>
      </c>
      <c r="T1073" s="39">
        <v>19.010000000000002</v>
      </c>
      <c r="U1073" s="39">
        <v>19.559999999999999</v>
      </c>
      <c r="V1073" s="39">
        <v>21.43</v>
      </c>
      <c r="W1073" s="52">
        <v>0.88649999999999995</v>
      </c>
      <c r="X1073" s="39">
        <v>54.8</v>
      </c>
      <c r="Y1073" s="41">
        <v>327444.03125336498</v>
      </c>
      <c r="Z1073" s="39">
        <v>5494</v>
      </c>
      <c r="AA1073" s="39">
        <v>2.63433820195486</v>
      </c>
    </row>
    <row r="1074" spans="1:27" x14ac:dyDescent="0.25">
      <c r="A1074" s="7" t="str">
        <f t="shared" si="16"/>
        <v>4283Providence St. John's Health Center339973575000, SJHC LAB ADMINISTRATION</v>
      </c>
      <c r="B1074" s="7"/>
      <c r="C1074" s="29" t="s">
        <v>924</v>
      </c>
      <c r="D1074" s="29" t="s">
        <v>924</v>
      </c>
      <c r="E1074" s="29" t="s">
        <v>924</v>
      </c>
      <c r="F1074" s="29">
        <v>4283</v>
      </c>
      <c r="G1074" s="159" t="s">
        <v>1148</v>
      </c>
      <c r="H1074" s="160">
        <v>3399</v>
      </c>
      <c r="I1074" s="159" t="s">
        <v>52</v>
      </c>
      <c r="J1074" s="159" t="s">
        <v>53</v>
      </c>
      <c r="K1074" s="159" t="s">
        <v>1150</v>
      </c>
      <c r="L1074" s="159" t="s">
        <v>55</v>
      </c>
      <c r="M1074" s="161"/>
      <c r="N1074" s="140">
        <v>2291.9299999999998</v>
      </c>
      <c r="O1074" s="162">
        <v>0.58620000000000005</v>
      </c>
      <c r="P1074" s="161"/>
      <c r="Q1074" s="140">
        <v>3.03</v>
      </c>
      <c r="R1074" s="162">
        <v>0.96550000000000002</v>
      </c>
      <c r="S1074" s="141">
        <v>30</v>
      </c>
      <c r="T1074" s="140">
        <v>0.65</v>
      </c>
      <c r="U1074" s="140">
        <v>0.83</v>
      </c>
      <c r="V1074" s="140">
        <v>1.1299999999999999</v>
      </c>
      <c r="W1074" s="142">
        <v>0.84489999999999998</v>
      </c>
      <c r="X1074" s="140">
        <v>15.81</v>
      </c>
      <c r="Y1074" s="143">
        <v>65605.996489522906</v>
      </c>
      <c r="Z1074" s="140">
        <v>5992.2179468871936</v>
      </c>
      <c r="AA1074" s="140">
        <v>11.492003541999701</v>
      </c>
    </row>
    <row r="1075" spans="1:27" x14ac:dyDescent="0.25">
      <c r="A1075" s="7" t="str">
        <f t="shared" si="16"/>
        <v>4283Providence St. John's Health Center4490Pharmacy Administration and Support (U,N)</v>
      </c>
      <c r="B1075" s="7"/>
      <c r="C1075" s="29" t="s">
        <v>924</v>
      </c>
      <c r="D1075" s="29" t="s">
        <v>924</v>
      </c>
      <c r="E1075" s="29" t="s">
        <v>924</v>
      </c>
      <c r="F1075" s="29">
        <v>4283</v>
      </c>
      <c r="G1075" s="4" t="s">
        <v>1148</v>
      </c>
      <c r="H1075" s="66">
        <v>4490</v>
      </c>
      <c r="I1075" s="4" t="s">
        <v>36</v>
      </c>
      <c r="J1075" s="4" t="s">
        <v>37</v>
      </c>
      <c r="K1075" s="4" t="s">
        <v>38</v>
      </c>
      <c r="L1075" s="4" t="s">
        <v>39</v>
      </c>
      <c r="M1075" s="7"/>
      <c r="N1075" s="39">
        <v>27734.62</v>
      </c>
      <c r="O1075" s="38">
        <v>0.54859999999999998</v>
      </c>
      <c r="P1075" s="7"/>
      <c r="Q1075" s="39">
        <v>0.35</v>
      </c>
      <c r="R1075" s="38">
        <v>0.74670000000000003</v>
      </c>
      <c r="S1075" s="40">
        <v>31</v>
      </c>
      <c r="T1075" s="39">
        <v>0.19</v>
      </c>
      <c r="U1075" s="39">
        <v>0.21</v>
      </c>
      <c r="V1075" s="39">
        <v>0.28999999999999998</v>
      </c>
      <c r="W1075" s="52">
        <v>0.8599</v>
      </c>
      <c r="X1075" s="39">
        <v>5.44</v>
      </c>
      <c r="Y1075" s="41">
        <v>301050.313405703</v>
      </c>
      <c r="Z1075" s="39">
        <v>4573</v>
      </c>
      <c r="AA1075" s="39">
        <v>2.1925555975970301</v>
      </c>
    </row>
    <row r="1076" spans="1:27" x14ac:dyDescent="0.25">
      <c r="A1076" s="7" t="str">
        <f t="shared" si="16"/>
        <v>4283Providence St. John's Health Center111173561740, SJHC TELEMETRY (U)</v>
      </c>
      <c r="B1076" s="7"/>
      <c r="C1076" s="29" t="s">
        <v>924</v>
      </c>
      <c r="D1076" s="29" t="s">
        <v>924</v>
      </c>
      <c r="E1076" s="29" t="s">
        <v>924</v>
      </c>
      <c r="F1076" s="29">
        <v>4283</v>
      </c>
      <c r="G1076" s="4" t="s">
        <v>1148</v>
      </c>
      <c r="H1076" s="66">
        <v>1111</v>
      </c>
      <c r="I1076" s="4" t="s">
        <v>146</v>
      </c>
      <c r="J1076" s="4" t="s">
        <v>23</v>
      </c>
      <c r="K1076" s="4" t="s">
        <v>1154</v>
      </c>
      <c r="L1076" s="4" t="s">
        <v>74</v>
      </c>
      <c r="M1076" s="7"/>
      <c r="N1076" s="39">
        <v>7861.71</v>
      </c>
      <c r="O1076" s="38">
        <v>0.48349999999999999</v>
      </c>
      <c r="P1076" s="7"/>
      <c r="Q1076" s="39">
        <v>13.8</v>
      </c>
      <c r="R1076" s="38">
        <v>0.93140000000000001</v>
      </c>
      <c r="S1076" s="40">
        <v>31</v>
      </c>
      <c r="T1076" s="39">
        <v>10.63</v>
      </c>
      <c r="U1076" s="39">
        <v>11.77</v>
      </c>
      <c r="V1076" s="39">
        <v>12.04</v>
      </c>
      <c r="W1076" s="52">
        <v>0.88849999999999996</v>
      </c>
      <c r="X1076" s="39">
        <v>58.69</v>
      </c>
      <c r="Y1076" s="41">
        <v>847444.14715287904</v>
      </c>
      <c r="Z1076" s="39">
        <v>18265</v>
      </c>
      <c r="AA1076" s="39">
        <v>8.7573966889089494</v>
      </c>
    </row>
    <row r="1077" spans="1:27" x14ac:dyDescent="0.25">
      <c r="A1077" s="7" t="str">
        <f t="shared" si="16"/>
        <v>4283Providence St. John's Health Center637073586700, SJHC VOLUNTEERS</v>
      </c>
      <c r="B1077" s="7"/>
      <c r="C1077" s="29" t="s">
        <v>924</v>
      </c>
      <c r="D1077" s="29" t="s">
        <v>924</v>
      </c>
      <c r="E1077" s="29" t="s">
        <v>924</v>
      </c>
      <c r="F1077" s="29">
        <v>4283</v>
      </c>
      <c r="G1077" s="159" t="s">
        <v>1148</v>
      </c>
      <c r="H1077" s="160">
        <v>6370</v>
      </c>
      <c r="I1077" s="159" t="s">
        <v>15</v>
      </c>
      <c r="J1077" s="159" t="s">
        <v>16</v>
      </c>
      <c r="K1077" s="159" t="s">
        <v>1180</v>
      </c>
      <c r="L1077" s="159" t="s">
        <v>17</v>
      </c>
      <c r="M1077" s="161">
        <v>179.22</v>
      </c>
      <c r="N1077" s="140">
        <v>160.88</v>
      </c>
      <c r="O1077" s="162">
        <v>0.46879999999999999</v>
      </c>
      <c r="P1077" s="161">
        <v>4.2</v>
      </c>
      <c r="Q1077" s="140">
        <v>4.41</v>
      </c>
      <c r="R1077" s="162">
        <v>0.38240000000000002</v>
      </c>
      <c r="S1077" s="141">
        <v>33</v>
      </c>
      <c r="T1077" s="140">
        <v>3.43</v>
      </c>
      <c r="U1077" s="140">
        <v>4.2</v>
      </c>
      <c r="V1077" s="140">
        <v>5.22</v>
      </c>
      <c r="W1077" s="142">
        <v>0.80120000000000002</v>
      </c>
      <c r="X1077" s="140">
        <v>1.7</v>
      </c>
      <c r="Y1077" s="143">
        <v>392.90388548784802</v>
      </c>
      <c r="Z1077" s="140">
        <v>43.067532451322947</v>
      </c>
      <c r="AA1077" s="140">
        <v>8.2595833439752506E-2</v>
      </c>
    </row>
    <row r="1078" spans="1:27" x14ac:dyDescent="0.25">
      <c r="A1078" s="7" t="str">
        <f t="shared" si="16"/>
        <v>4283Providence St. John's Health Center401073576410, SJHC RADIATION ONCOLOGY (U)</v>
      </c>
      <c r="B1078" s="7"/>
      <c r="C1078" s="29" t="s">
        <v>924</v>
      </c>
      <c r="D1078" s="29" t="s">
        <v>924</v>
      </c>
      <c r="E1078" s="29" t="s">
        <v>924</v>
      </c>
      <c r="F1078" s="29">
        <v>4283</v>
      </c>
      <c r="G1078" s="4" t="s">
        <v>1148</v>
      </c>
      <c r="H1078" s="66">
        <v>4010</v>
      </c>
      <c r="I1078" s="4" t="s">
        <v>152</v>
      </c>
      <c r="J1078" s="4" t="s">
        <v>153</v>
      </c>
      <c r="K1078" s="4" t="s">
        <v>1178</v>
      </c>
      <c r="L1078" s="4" t="s">
        <v>99</v>
      </c>
      <c r="M1078" s="7"/>
      <c r="N1078" s="39">
        <v>58333.99</v>
      </c>
      <c r="O1078" s="38">
        <v>0.61029999999999995</v>
      </c>
      <c r="P1078" s="7"/>
      <c r="Q1078" s="39">
        <v>0.37</v>
      </c>
      <c r="R1078" s="38">
        <v>0.42399999999999999</v>
      </c>
      <c r="S1078" s="40">
        <v>34</v>
      </c>
      <c r="T1078" s="39">
        <v>0.3</v>
      </c>
      <c r="U1078" s="39">
        <v>0.34</v>
      </c>
      <c r="V1078" s="39">
        <v>0.39</v>
      </c>
      <c r="W1078" s="52">
        <v>0.90659999999999996</v>
      </c>
      <c r="X1078" s="39">
        <v>11.51</v>
      </c>
      <c r="Y1078" s="41">
        <v>127616.993339776</v>
      </c>
      <c r="Z1078" s="39">
        <v>2130</v>
      </c>
      <c r="AA1078" s="39">
        <v>1.0210251511397499</v>
      </c>
    </row>
    <row r="1079" spans="1:27" x14ac:dyDescent="0.25">
      <c r="A1079" s="7" t="str">
        <f t="shared" si="16"/>
        <v>4283Providence St. John's Health Center422073575900, SJHC CARDIOLOGY (U)</v>
      </c>
      <c r="B1079" s="7"/>
      <c r="C1079" s="29" t="s">
        <v>924</v>
      </c>
      <c r="D1079" s="29" t="s">
        <v>924</v>
      </c>
      <c r="E1079" s="29" t="s">
        <v>924</v>
      </c>
      <c r="F1079" s="29">
        <v>4283</v>
      </c>
      <c r="G1079" s="4" t="s">
        <v>1148</v>
      </c>
      <c r="H1079" s="66">
        <v>4220</v>
      </c>
      <c r="I1079" s="4" t="s">
        <v>98</v>
      </c>
      <c r="J1079" s="4" t="s">
        <v>60</v>
      </c>
      <c r="K1079" s="4" t="s">
        <v>1186</v>
      </c>
      <c r="L1079" s="4" t="s">
        <v>99</v>
      </c>
      <c r="M1079" s="7"/>
      <c r="N1079" s="39">
        <v>46738.62</v>
      </c>
      <c r="O1079" s="38">
        <v>0.63200000000000001</v>
      </c>
      <c r="P1079" s="7"/>
      <c r="Q1079" s="39">
        <v>0.28000000000000003</v>
      </c>
      <c r="R1079" s="38">
        <v>0.19209999999999999</v>
      </c>
      <c r="S1079" s="40">
        <v>39</v>
      </c>
      <c r="T1079" s="39">
        <v>0.3</v>
      </c>
      <c r="U1079" s="39">
        <v>0.33</v>
      </c>
      <c r="V1079" s="39">
        <v>0.35</v>
      </c>
      <c r="W1079" s="52">
        <v>0.93010000000000004</v>
      </c>
      <c r="X1079" s="39">
        <v>6.8</v>
      </c>
      <c r="Y1079" s="41">
        <v>-128472.215955441</v>
      </c>
      <c r="Z1079" s="39">
        <v>-2400</v>
      </c>
      <c r="AA1079" s="70">
        <v>-1.1507544261457501</v>
      </c>
    </row>
    <row r="1080" spans="1:27" x14ac:dyDescent="0.25">
      <c r="A1080" s="7" t="str">
        <f t="shared" si="16"/>
        <v>4283Providence St. John's Health Center504073584650, SJHC BIOMEDICAL ENGINEERING (U)</v>
      </c>
      <c r="B1080" s="7"/>
      <c r="C1080" s="29" t="s">
        <v>924</v>
      </c>
      <c r="D1080" s="29" t="s">
        <v>924</v>
      </c>
      <c r="E1080" s="29" t="s">
        <v>924</v>
      </c>
      <c r="F1080" s="29">
        <v>4283</v>
      </c>
      <c r="G1080" s="4" t="s">
        <v>1148</v>
      </c>
      <c r="H1080" s="66">
        <v>5040</v>
      </c>
      <c r="I1080" s="4" t="s">
        <v>142</v>
      </c>
      <c r="J1080" s="4" t="s">
        <v>62</v>
      </c>
      <c r="K1080" s="4" t="s">
        <v>1165</v>
      </c>
      <c r="L1080" s="4" t="s">
        <v>143</v>
      </c>
      <c r="M1080" s="7"/>
      <c r="N1080" s="39">
        <v>35.5</v>
      </c>
      <c r="O1080" s="38">
        <v>0.51819999999999999</v>
      </c>
      <c r="P1080" s="7"/>
      <c r="Q1080" s="39">
        <v>288.95</v>
      </c>
      <c r="R1080" s="38">
        <v>0.9405</v>
      </c>
      <c r="S1080" s="40">
        <v>40</v>
      </c>
      <c r="T1080" s="39">
        <v>126.2</v>
      </c>
      <c r="U1080" s="39">
        <v>132.96</v>
      </c>
      <c r="V1080" s="39">
        <v>158.27000000000001</v>
      </c>
      <c r="W1080" s="52">
        <v>0.95709999999999995</v>
      </c>
      <c r="X1080" s="39">
        <v>5.15</v>
      </c>
      <c r="Y1080" s="41">
        <v>385723.25271818403</v>
      </c>
      <c r="Z1080" s="39">
        <v>5810</v>
      </c>
      <c r="AA1080" s="39">
        <v>2.78549518832178</v>
      </c>
    </row>
    <row r="1081" spans="1:27" x14ac:dyDescent="0.25">
      <c r="A1081" s="7" t="str">
        <f t="shared" si="16"/>
        <v>4283Providence St. John's Health Center3350Clinical Operations and Blood Bank Combined</v>
      </c>
      <c r="B1081" s="7"/>
      <c r="C1081" s="29" t="s">
        <v>924</v>
      </c>
      <c r="D1081" s="29" t="s">
        <v>924</v>
      </c>
      <c r="E1081" s="29" t="s">
        <v>924</v>
      </c>
      <c r="F1081" s="29">
        <v>4283</v>
      </c>
      <c r="G1081" s="159" t="s">
        <v>1148</v>
      </c>
      <c r="H1081" s="160">
        <v>3350</v>
      </c>
      <c r="I1081" s="159" t="s">
        <v>93</v>
      </c>
      <c r="J1081" s="159" t="s">
        <v>53</v>
      </c>
      <c r="K1081" s="159" t="s">
        <v>1153</v>
      </c>
      <c r="L1081" s="159" t="s">
        <v>94</v>
      </c>
      <c r="M1081" s="161"/>
      <c r="N1081" s="140">
        <v>2185.42</v>
      </c>
      <c r="O1081" s="162">
        <v>0.59089999999999998</v>
      </c>
      <c r="P1081" s="161"/>
      <c r="Q1081" s="140">
        <v>13.11</v>
      </c>
      <c r="R1081" s="162">
        <v>0.70450000000000002</v>
      </c>
      <c r="S1081" s="141">
        <v>45</v>
      </c>
      <c r="T1081" s="140">
        <v>10.49</v>
      </c>
      <c r="U1081" s="140">
        <v>11.08</v>
      </c>
      <c r="V1081" s="140">
        <v>12.65</v>
      </c>
      <c r="W1081" s="142">
        <v>0.88039999999999996</v>
      </c>
      <c r="X1081" s="140">
        <v>62.48</v>
      </c>
      <c r="Y1081" s="143">
        <f>Z1081*45.35</f>
        <v>228522.10121535661</v>
      </c>
      <c r="Z1081" s="140">
        <f>SUM((Q1081-U1081)*N1081)/W1081</f>
        <v>5039.0761017719205</v>
      </c>
      <c r="AA1081" s="140">
        <f>+Z1081/520</f>
        <v>9.6905309649460012</v>
      </c>
    </row>
    <row r="1082" spans="1:27" x14ac:dyDescent="0.25">
      <c r="A1082" s="7" t="str">
        <f t="shared" si="16"/>
        <v>4283Providence St. John's Health Center345073576710, SJHC ULTRASONOGRAPHY (U)</v>
      </c>
      <c r="B1082" s="7"/>
      <c r="C1082" s="29" t="s">
        <v>924</v>
      </c>
      <c r="D1082" s="29" t="s">
        <v>924</v>
      </c>
      <c r="E1082" s="29" t="s">
        <v>924</v>
      </c>
      <c r="F1082" s="29">
        <v>4283</v>
      </c>
      <c r="G1082" s="4" t="s">
        <v>1148</v>
      </c>
      <c r="H1082" s="66">
        <v>3450</v>
      </c>
      <c r="I1082" s="4" t="s">
        <v>122</v>
      </c>
      <c r="J1082" s="4" t="s">
        <v>57</v>
      </c>
      <c r="K1082" s="4" t="s">
        <v>1184</v>
      </c>
      <c r="L1082" s="4" t="s">
        <v>99</v>
      </c>
      <c r="M1082" s="7"/>
      <c r="N1082" s="39">
        <v>11029.94</v>
      </c>
      <c r="O1082" s="38">
        <v>0.42270000000000002</v>
      </c>
      <c r="P1082" s="7"/>
      <c r="Q1082" s="39">
        <v>0.4</v>
      </c>
      <c r="R1082" s="38">
        <v>7.5800000000000006E-2</v>
      </c>
      <c r="S1082" s="40">
        <v>46</v>
      </c>
      <c r="T1082" s="39">
        <v>0.46</v>
      </c>
      <c r="U1082" s="39">
        <v>0.5</v>
      </c>
      <c r="V1082" s="39">
        <v>0.54</v>
      </c>
      <c r="W1082" s="52">
        <v>0.86899999999999999</v>
      </c>
      <c r="X1082" s="39">
        <v>2.44</v>
      </c>
      <c r="Y1082" s="41">
        <v>-93545.9271547955</v>
      </c>
      <c r="Z1082" s="39">
        <v>-1257</v>
      </c>
      <c r="AA1082" s="39">
        <v>-0.60278689236415195</v>
      </c>
    </row>
    <row r="1083" spans="1:27" x14ac:dyDescent="0.25">
      <c r="A1083" s="7" t="str">
        <f t="shared" si="16"/>
        <v>4283Providence St. John's Health Center661073586100, SJHC ADMINISTRATION (U)</v>
      </c>
      <c r="B1083" s="7"/>
      <c r="C1083" s="29" t="s">
        <v>924</v>
      </c>
      <c r="D1083" s="29" t="s">
        <v>924</v>
      </c>
      <c r="E1083" s="29" t="s">
        <v>924</v>
      </c>
      <c r="F1083" s="29">
        <v>4283</v>
      </c>
      <c r="G1083" s="43" t="s">
        <v>1148</v>
      </c>
      <c r="H1083" s="146">
        <v>6610</v>
      </c>
      <c r="I1083" s="43" t="s">
        <v>72</v>
      </c>
      <c r="J1083" s="43" t="s">
        <v>72</v>
      </c>
      <c r="K1083" s="43" t="s">
        <v>1170</v>
      </c>
      <c r="L1083" s="43" t="s">
        <v>14</v>
      </c>
      <c r="M1083" s="71"/>
      <c r="N1083" s="46">
        <v>173.17</v>
      </c>
      <c r="O1083" s="45">
        <v>0.52669999999999995</v>
      </c>
      <c r="P1083" s="71">
        <f>20713.96-(2080*3)</f>
        <v>14473.96</v>
      </c>
      <c r="Q1083" s="46">
        <f>14473.96/N1083</f>
        <v>83.582375700179014</v>
      </c>
      <c r="R1083" s="45">
        <v>0.91959999999999997</v>
      </c>
      <c r="S1083" s="47">
        <v>48</v>
      </c>
      <c r="T1083" s="46">
        <v>61.62</v>
      </c>
      <c r="U1083" s="46">
        <v>65.61</v>
      </c>
      <c r="V1083" s="46">
        <v>73.22</v>
      </c>
      <c r="W1083" s="138">
        <v>0.91020000000000001</v>
      </c>
      <c r="X1083" s="46">
        <v>10.94</v>
      </c>
      <c r="Y1083" s="48">
        <f>Z1083*87.77</f>
        <v>300114.79988024605</v>
      </c>
      <c r="Z1083" s="46">
        <f>SUM((Q1083-U1083)*N1083)/W1083</f>
        <v>3419.3323445396609</v>
      </c>
      <c r="AA1083" s="46">
        <f>+Z1083/2085.7</f>
        <v>1.6394171474994779</v>
      </c>
    </row>
    <row r="1084" spans="1:27" x14ac:dyDescent="0.25">
      <c r="A1084" s="7" t="str">
        <f t="shared" si="16"/>
        <v>4283Providence St. John's Health Center128573574000, 65300 SJHC LABOR AND DELIVERY (U)</v>
      </c>
      <c r="B1084" s="7"/>
      <c r="C1084" s="29" t="s">
        <v>924</v>
      </c>
      <c r="D1084" s="29" t="s">
        <v>924</v>
      </c>
      <c r="E1084" s="29" t="s">
        <v>924</v>
      </c>
      <c r="F1084" s="29">
        <v>4283</v>
      </c>
      <c r="G1084" s="159" t="s">
        <v>1148</v>
      </c>
      <c r="H1084" s="160">
        <v>1285</v>
      </c>
      <c r="I1084" s="159" t="s">
        <v>85</v>
      </c>
      <c r="J1084" s="159" t="s">
        <v>23</v>
      </c>
      <c r="K1084" s="159" t="s">
        <v>1158</v>
      </c>
      <c r="L1084" s="159" t="s">
        <v>86</v>
      </c>
      <c r="M1084" s="161">
        <v>524</v>
      </c>
      <c r="N1084" s="141">
        <v>520</v>
      </c>
      <c r="O1084" s="162">
        <v>0.43049999999999999</v>
      </c>
      <c r="P1084" s="161"/>
      <c r="Q1084" s="140">
        <v>44.42</v>
      </c>
      <c r="R1084" s="162">
        <v>0.89949999999999997</v>
      </c>
      <c r="S1084" s="141">
        <v>48</v>
      </c>
      <c r="T1084" s="140">
        <v>36.81</v>
      </c>
      <c r="U1084" s="140">
        <v>38.619999999999997</v>
      </c>
      <c r="V1084" s="140">
        <v>41.27</v>
      </c>
      <c r="W1084" s="142">
        <v>0.88849999999999996</v>
      </c>
      <c r="X1084" s="140">
        <v>49.99</v>
      </c>
      <c r="Y1084" s="143">
        <f>Z1084*70.56</f>
        <v>239514.86775464285</v>
      </c>
      <c r="Z1084" s="140">
        <f>SUM((Q1084-U1084)*N1084)/W1084</f>
        <v>3394.4850872256638</v>
      </c>
      <c r="AA1084" s="140">
        <f>+Z1084/540</f>
        <v>6.2860834948623401</v>
      </c>
    </row>
    <row r="1085" spans="1:27" x14ac:dyDescent="0.25">
      <c r="A1085" s="7" t="str">
        <f t="shared" si="16"/>
        <v>4283Providence St. John's Health Center441073577100, SJHC PHARMACY</v>
      </c>
      <c r="B1085" s="7"/>
      <c r="C1085" s="29" t="s">
        <v>924</v>
      </c>
      <c r="D1085" s="29" t="s">
        <v>924</v>
      </c>
      <c r="E1085" s="29" t="s">
        <v>924</v>
      </c>
      <c r="F1085" s="29">
        <v>4283</v>
      </c>
      <c r="G1085" s="43" t="s">
        <v>1148</v>
      </c>
      <c r="H1085" s="146">
        <v>4410</v>
      </c>
      <c r="I1085" s="43" t="s">
        <v>37</v>
      </c>
      <c r="J1085" s="43" t="s">
        <v>37</v>
      </c>
      <c r="K1085" s="43" t="s">
        <v>1156</v>
      </c>
      <c r="L1085" s="43" t="s">
        <v>100</v>
      </c>
      <c r="M1085" s="71" t="s">
        <v>1058</v>
      </c>
      <c r="N1085" s="46">
        <v>25307.8</v>
      </c>
      <c r="O1085" s="45">
        <v>0.52539999999999998</v>
      </c>
      <c r="P1085" s="71" t="s">
        <v>1058</v>
      </c>
      <c r="Q1085" s="46">
        <f>(66134.17-3331.25)/N1085</f>
        <v>2.4815637866586586</v>
      </c>
      <c r="R1085" s="45">
        <v>0.90700000000000003</v>
      </c>
      <c r="S1085" s="47">
        <v>50</v>
      </c>
      <c r="T1085" s="46">
        <v>1.77</v>
      </c>
      <c r="U1085" s="46">
        <v>1.89</v>
      </c>
      <c r="V1085" s="46">
        <v>2.06</v>
      </c>
      <c r="W1085" s="138">
        <v>0.91600000000000004</v>
      </c>
      <c r="X1085" s="46">
        <v>37.04</v>
      </c>
      <c r="Y1085" s="48">
        <f>Z1085*56.1</f>
        <v>916902.93209607014</v>
      </c>
      <c r="Z1085" s="46">
        <f>SUM((Q1085-U1085)*N1085)/W1085</f>
        <v>16344.080786026205</v>
      </c>
      <c r="AA1085" s="46">
        <f>+Z1085/2085.7</f>
        <v>7.8362567895796165</v>
      </c>
    </row>
    <row r="1086" spans="1:27" x14ac:dyDescent="0.25">
      <c r="A1086" s="7" t="str">
        <f t="shared" si="16"/>
        <v>4283Providence St. John's Health Center346073576500, SJHC NUCLEAR MEDICINE (U)</v>
      </c>
      <c r="B1086" s="7"/>
      <c r="C1086" s="29" t="s">
        <v>924</v>
      </c>
      <c r="D1086" s="29" t="s">
        <v>924</v>
      </c>
      <c r="E1086" s="29" t="s">
        <v>924</v>
      </c>
      <c r="F1086" s="29">
        <v>4283</v>
      </c>
      <c r="G1086" s="4" t="s">
        <v>1148</v>
      </c>
      <c r="H1086" s="66">
        <v>3460</v>
      </c>
      <c r="I1086" s="4" t="s">
        <v>120</v>
      </c>
      <c r="J1086" s="4" t="s">
        <v>57</v>
      </c>
      <c r="K1086" s="4" t="s">
        <v>1179</v>
      </c>
      <c r="L1086" s="4" t="s">
        <v>99</v>
      </c>
      <c r="M1086" s="7"/>
      <c r="N1086" s="39">
        <v>13790.71</v>
      </c>
      <c r="O1086" s="38">
        <v>0.4178</v>
      </c>
      <c r="P1086" s="7"/>
      <c r="Q1086" s="39">
        <v>0.33</v>
      </c>
      <c r="R1086" s="38">
        <v>0.46899999999999997</v>
      </c>
      <c r="S1086" s="40">
        <v>51</v>
      </c>
      <c r="T1086" s="39">
        <v>0.28000000000000003</v>
      </c>
      <c r="U1086" s="39">
        <v>0.28999999999999998</v>
      </c>
      <c r="V1086" s="39">
        <v>0.34</v>
      </c>
      <c r="W1086" s="52">
        <v>0.91669999999999996</v>
      </c>
      <c r="X1086" s="39">
        <v>2.35</v>
      </c>
      <c r="Y1086" s="41">
        <v>34024.6289691579</v>
      </c>
      <c r="Z1086" s="39">
        <v>539</v>
      </c>
      <c r="AA1086" s="39">
        <v>0.25827035563415501</v>
      </c>
    </row>
    <row r="1087" spans="1:27" x14ac:dyDescent="0.25">
      <c r="A1087" s="7" t="str">
        <f t="shared" si="16"/>
        <v>4283Providence St. John's Health Center301173574200, SJHC SURGERY</v>
      </c>
      <c r="B1087" s="7"/>
      <c r="C1087" s="29" t="s">
        <v>924</v>
      </c>
      <c r="D1087" s="29" t="s">
        <v>924</v>
      </c>
      <c r="E1087" s="29" t="s">
        <v>924</v>
      </c>
      <c r="F1087" s="29">
        <v>4283</v>
      </c>
      <c r="G1087" s="159" t="s">
        <v>1148</v>
      </c>
      <c r="H1087" s="160">
        <v>3011</v>
      </c>
      <c r="I1087" s="159" t="s">
        <v>87</v>
      </c>
      <c r="J1087" s="159" t="s">
        <v>47</v>
      </c>
      <c r="K1087" s="159" t="s">
        <v>1190</v>
      </c>
      <c r="L1087" s="159" t="s">
        <v>88</v>
      </c>
      <c r="M1087" s="161">
        <v>3146.85</v>
      </c>
      <c r="N1087" s="140">
        <v>3237.15</v>
      </c>
      <c r="O1087" s="162">
        <v>0.56599999999999995</v>
      </c>
      <c r="P1087" s="161">
        <v>10.16</v>
      </c>
      <c r="Q1087" s="140">
        <v>9.66</v>
      </c>
      <c r="R1087" s="162">
        <v>0.16</v>
      </c>
      <c r="S1087" s="141">
        <v>54</v>
      </c>
      <c r="T1087" s="140">
        <v>10.16</v>
      </c>
      <c r="U1087" s="140">
        <v>10.55</v>
      </c>
      <c r="V1087" s="140">
        <v>11.36</v>
      </c>
      <c r="W1087" s="142">
        <v>0.8901</v>
      </c>
      <c r="X1087" s="140">
        <v>67.53</v>
      </c>
      <c r="Y1087" s="143">
        <v>-36279.611634294903</v>
      </c>
      <c r="Z1087" s="140">
        <v>-3156.816531260537</v>
      </c>
      <c r="AA1087" s="140">
        <v>-6.0542101572815596</v>
      </c>
    </row>
    <row r="1088" spans="1:27" x14ac:dyDescent="0.25">
      <c r="A1088" s="7" t="str">
        <f t="shared" si="16"/>
        <v>4283Providence St. John's Health Center349973576350, SJHC RADIOLOGY ADMIN (U)</v>
      </c>
      <c r="B1088" s="7"/>
      <c r="C1088" s="29" t="s">
        <v>924</v>
      </c>
      <c r="D1088" s="29" t="s">
        <v>924</v>
      </c>
      <c r="E1088" s="29" t="s">
        <v>924</v>
      </c>
      <c r="F1088" s="29">
        <v>4283</v>
      </c>
      <c r="G1088" s="4" t="s">
        <v>1148</v>
      </c>
      <c r="H1088" s="66">
        <v>3499</v>
      </c>
      <c r="I1088" s="4" t="s">
        <v>56</v>
      </c>
      <c r="J1088" s="4" t="s">
        <v>57</v>
      </c>
      <c r="K1088" s="4" t="s">
        <v>1151</v>
      </c>
      <c r="L1088" s="4" t="s">
        <v>58</v>
      </c>
      <c r="M1088" s="7"/>
      <c r="N1088" s="39">
        <v>155211.23000000001</v>
      </c>
      <c r="O1088" s="38">
        <v>0.68230000000000002</v>
      </c>
      <c r="P1088" s="7"/>
      <c r="Q1088" s="39">
        <v>0.19</v>
      </c>
      <c r="R1088" s="38">
        <v>0.99360000000000004</v>
      </c>
      <c r="S1088" s="40">
        <v>55</v>
      </c>
      <c r="T1088" s="39">
        <v>0.06</v>
      </c>
      <c r="U1088" s="39">
        <v>0.06</v>
      </c>
      <c r="V1088" s="39">
        <v>7.0000000000000007E-2</v>
      </c>
      <c r="W1088" s="52">
        <v>0.86990000000000001</v>
      </c>
      <c r="X1088" s="39">
        <v>16.59</v>
      </c>
      <c r="Y1088" s="41">
        <v>784636.21525742696</v>
      </c>
      <c r="Z1088" s="39">
        <v>23896</v>
      </c>
      <c r="AA1088" s="39">
        <v>11.457213275882999</v>
      </c>
    </row>
    <row r="1089" spans="1:27" x14ac:dyDescent="0.25">
      <c r="A1089" s="7" t="str">
        <f t="shared" si="16"/>
        <v>4283Providence St. John's Health Center343073576600, SJHC MAGN RESONANCE IMAGING (U)</v>
      </c>
      <c r="B1089" s="7"/>
      <c r="C1089" s="29" t="s">
        <v>924</v>
      </c>
      <c r="D1089" s="29" t="s">
        <v>924</v>
      </c>
      <c r="E1089" s="29" t="s">
        <v>924</v>
      </c>
      <c r="F1089" s="29">
        <v>4283</v>
      </c>
      <c r="G1089" s="4" t="s">
        <v>1148</v>
      </c>
      <c r="H1089" s="66">
        <v>3430</v>
      </c>
      <c r="I1089" s="4" t="s">
        <v>121</v>
      </c>
      <c r="J1089" s="4" t="s">
        <v>57</v>
      </c>
      <c r="K1089" s="4" t="s">
        <v>1177</v>
      </c>
      <c r="L1089" s="4" t="s">
        <v>99</v>
      </c>
      <c r="M1089" s="7"/>
      <c r="N1089" s="39">
        <v>19471.669999999998</v>
      </c>
      <c r="O1089" s="38">
        <v>0.52849999999999997</v>
      </c>
      <c r="P1089" s="7"/>
      <c r="Q1089" s="39">
        <v>0.39</v>
      </c>
      <c r="R1089" s="38">
        <v>0.75860000000000005</v>
      </c>
      <c r="S1089" s="40">
        <v>56</v>
      </c>
      <c r="T1089" s="39">
        <v>0.28999999999999998</v>
      </c>
      <c r="U1089" s="39">
        <v>0.3</v>
      </c>
      <c r="V1089" s="39">
        <v>0.32</v>
      </c>
      <c r="W1089" s="52">
        <v>0.86899999999999999</v>
      </c>
      <c r="X1089" s="39">
        <v>4.25</v>
      </c>
      <c r="Y1089" s="41">
        <v>117769.250178202</v>
      </c>
      <c r="Z1089" s="39">
        <v>2142</v>
      </c>
      <c r="AA1089" s="39">
        <v>1.02705541924397</v>
      </c>
    </row>
    <row r="1090" spans="1:27" x14ac:dyDescent="0.25">
      <c r="A1090" s="7" t="str">
        <f t="shared" si="16"/>
        <v>4283Providence St. John's Health Center342073576800, SJHC CT SCAN (U)</v>
      </c>
      <c r="B1090" s="7"/>
      <c r="C1090" s="29" t="s">
        <v>924</v>
      </c>
      <c r="D1090" s="29" t="s">
        <v>924</v>
      </c>
      <c r="E1090" s="29" t="s">
        <v>924</v>
      </c>
      <c r="F1090" s="29">
        <v>4283</v>
      </c>
      <c r="G1090" s="4" t="s">
        <v>1148</v>
      </c>
      <c r="H1090" s="66">
        <v>3420</v>
      </c>
      <c r="I1090" s="4" t="s">
        <v>123</v>
      </c>
      <c r="J1090" s="4" t="s">
        <v>57</v>
      </c>
      <c r="K1090" s="4" t="s">
        <v>1183</v>
      </c>
      <c r="L1090" s="4" t="s">
        <v>99</v>
      </c>
      <c r="M1090" s="7"/>
      <c r="N1090" s="39">
        <v>40744.86</v>
      </c>
      <c r="O1090" s="38">
        <v>0.56389999999999996</v>
      </c>
      <c r="P1090" s="7"/>
      <c r="Q1090" s="39">
        <v>0.23</v>
      </c>
      <c r="R1090" s="38">
        <v>0.17580000000000001</v>
      </c>
      <c r="S1090" s="40">
        <v>64</v>
      </c>
      <c r="T1090" s="39">
        <v>0.25</v>
      </c>
      <c r="U1090" s="39">
        <v>0.26</v>
      </c>
      <c r="V1090" s="39">
        <v>0.28000000000000003</v>
      </c>
      <c r="W1090" s="52">
        <v>0.89</v>
      </c>
      <c r="X1090" s="39">
        <v>5.13</v>
      </c>
      <c r="Y1090" s="41">
        <v>-57955.626277814197</v>
      </c>
      <c r="Z1090" s="39">
        <v>-1203</v>
      </c>
      <c r="AA1090" s="39">
        <v>-0.57695344919631997</v>
      </c>
    </row>
    <row r="1091" spans="1:27" x14ac:dyDescent="0.25">
      <c r="A1091" s="7" t="str">
        <f t="shared" ref="A1091:A1154" si="17">F1091&amp;G1091&amp;H1091&amp;K1091</f>
        <v>4283Providence St. John's Health Center341173576300, SJHC DIAGNOSTIC RADIOLOGY (U)</v>
      </c>
      <c r="B1091" s="7"/>
      <c r="C1091" s="29" t="s">
        <v>924</v>
      </c>
      <c r="D1091" s="29" t="s">
        <v>924</v>
      </c>
      <c r="E1091" s="29" t="s">
        <v>924</v>
      </c>
      <c r="F1091" s="29">
        <v>4283</v>
      </c>
      <c r="G1091" s="4" t="s">
        <v>1148</v>
      </c>
      <c r="H1091" s="66">
        <v>3411</v>
      </c>
      <c r="I1091" s="4" t="s">
        <v>117</v>
      </c>
      <c r="J1091" s="4" t="s">
        <v>57</v>
      </c>
      <c r="K1091" s="4" t="s">
        <v>1157</v>
      </c>
      <c r="L1091" s="4" t="s">
        <v>99</v>
      </c>
      <c r="M1091" s="7"/>
      <c r="N1091" s="39">
        <v>49570.98</v>
      </c>
      <c r="O1091" s="38">
        <v>0.4698</v>
      </c>
      <c r="P1091" s="7"/>
      <c r="Q1091" s="39">
        <v>0.89</v>
      </c>
      <c r="R1091" s="38">
        <v>0.86240000000000006</v>
      </c>
      <c r="S1091" s="40">
        <v>81</v>
      </c>
      <c r="T1091" s="39">
        <v>0.57999999999999996</v>
      </c>
      <c r="U1091" s="39">
        <v>0.63</v>
      </c>
      <c r="V1091" s="39">
        <v>0.69</v>
      </c>
      <c r="W1091" s="52">
        <v>0.90590000000000004</v>
      </c>
      <c r="X1091" s="39">
        <v>23.5</v>
      </c>
      <c r="Y1091" s="41">
        <v>734741.72348585504</v>
      </c>
      <c r="Z1091" s="39">
        <v>14540</v>
      </c>
      <c r="AA1091" s="39">
        <v>6.9714044214356203</v>
      </c>
    </row>
    <row r="1092" spans="1:27" x14ac:dyDescent="0.25">
      <c r="A1092" s="7" t="str">
        <f t="shared" si="17"/>
        <v>3755Providence Tarzana Medical Center463072577600, ENDOSCOPY</v>
      </c>
      <c r="B1092" s="7"/>
      <c r="C1092" s="29" t="s">
        <v>924</v>
      </c>
      <c r="D1092" s="29" t="s">
        <v>924</v>
      </c>
      <c r="E1092" s="29" t="s">
        <v>924</v>
      </c>
      <c r="F1092" s="29">
        <v>3755</v>
      </c>
      <c r="G1092" s="4" t="s">
        <v>1193</v>
      </c>
      <c r="H1092" s="5">
        <v>4630</v>
      </c>
      <c r="I1092" s="4" t="s">
        <v>104</v>
      </c>
      <c r="J1092" s="4" t="s">
        <v>83</v>
      </c>
      <c r="K1092" s="4" t="s">
        <v>1196</v>
      </c>
      <c r="L1092" s="4" t="s">
        <v>99</v>
      </c>
      <c r="M1092" s="7"/>
      <c r="N1092" s="39">
        <v>57.68</v>
      </c>
      <c r="O1092" s="38">
        <v>1</v>
      </c>
      <c r="P1092" s="7"/>
      <c r="Q1092" s="39">
        <v>467.14</v>
      </c>
      <c r="R1092" s="38">
        <v>0</v>
      </c>
      <c r="S1092" s="40">
        <v>5</v>
      </c>
      <c r="T1092" s="39">
        <v>791.22</v>
      </c>
      <c r="U1092" s="39">
        <v>864.14</v>
      </c>
      <c r="V1092" s="39">
        <v>973.51</v>
      </c>
      <c r="W1092" s="52">
        <v>0.89170000000000005</v>
      </c>
      <c r="X1092" s="39">
        <v>14.53</v>
      </c>
      <c r="Y1092" s="41">
        <v>-1464287.9510832201</v>
      </c>
      <c r="Z1092" s="39">
        <v>-25592</v>
      </c>
      <c r="AA1092" s="39">
        <v>-12.270244275424499</v>
      </c>
    </row>
    <row r="1093" spans="1:27" x14ac:dyDescent="0.25">
      <c r="A1093" s="7" t="str">
        <f t="shared" si="17"/>
        <v>3755Providence Tarzana Medical Center12801280, Newborn Nursery (U,N)</v>
      </c>
      <c r="B1093" s="7"/>
      <c r="C1093" s="29" t="s">
        <v>924</v>
      </c>
      <c r="D1093" s="29" t="s">
        <v>924</v>
      </c>
      <c r="E1093" s="29" t="s">
        <v>924</v>
      </c>
      <c r="F1093" s="29">
        <v>3755</v>
      </c>
      <c r="G1093" s="4" t="s">
        <v>1193</v>
      </c>
      <c r="H1093" s="5">
        <v>1280</v>
      </c>
      <c r="I1093" s="4" t="s">
        <v>1020</v>
      </c>
      <c r="J1093" s="4" t="s">
        <v>23</v>
      </c>
      <c r="K1093" s="4" t="s">
        <v>1195</v>
      </c>
      <c r="L1093" s="4" t="s">
        <v>107</v>
      </c>
      <c r="M1093" s="7"/>
      <c r="N1093" s="39">
        <v>5244</v>
      </c>
      <c r="O1093" s="38">
        <v>0.74829999999999997</v>
      </c>
      <c r="P1093" s="7"/>
      <c r="Q1093" s="39">
        <v>1.06</v>
      </c>
      <c r="R1093" s="7"/>
      <c r="S1093" s="40">
        <v>8</v>
      </c>
      <c r="T1093" s="39">
        <v>6.67</v>
      </c>
      <c r="U1093" s="39">
        <v>7.31</v>
      </c>
      <c r="V1093" s="39">
        <v>7.4</v>
      </c>
      <c r="W1093" s="52">
        <v>0.88590000000000002</v>
      </c>
      <c r="X1093" s="39">
        <v>3.01</v>
      </c>
      <c r="Y1093" s="41">
        <v>-2012118.73348043</v>
      </c>
      <c r="Z1093" s="39">
        <v>-36993</v>
      </c>
      <c r="AA1093" s="39">
        <v>-17.736436788749401</v>
      </c>
    </row>
    <row r="1094" spans="1:27" x14ac:dyDescent="0.25">
      <c r="A1094" s="7" t="str">
        <f t="shared" si="17"/>
        <v>3755Providence Tarzana Medical Center413072577200 300 Resp Care Pulm Rehab</v>
      </c>
      <c r="B1094" s="7"/>
      <c r="C1094" s="29" t="s">
        <v>924</v>
      </c>
      <c r="D1094" s="29" t="s">
        <v>924</v>
      </c>
      <c r="E1094" s="29" t="s">
        <v>924</v>
      </c>
      <c r="F1094" s="29">
        <v>3755</v>
      </c>
      <c r="G1094" s="4" t="s">
        <v>1193</v>
      </c>
      <c r="H1094" s="5">
        <v>4130</v>
      </c>
      <c r="I1094" s="4" t="s">
        <v>184</v>
      </c>
      <c r="J1094" s="4" t="s">
        <v>44</v>
      </c>
      <c r="K1094" s="4" t="s">
        <v>1244</v>
      </c>
      <c r="L1094" s="4" t="s">
        <v>45</v>
      </c>
      <c r="M1094" s="39">
        <v>17474.68</v>
      </c>
      <c r="N1094" s="39">
        <v>18719.75</v>
      </c>
      <c r="O1094" s="38">
        <v>0.71430000000000005</v>
      </c>
      <c r="P1094" s="39">
        <v>5.09</v>
      </c>
      <c r="Q1094" s="39">
        <v>3.31</v>
      </c>
      <c r="R1094" s="38">
        <v>0.71430000000000005</v>
      </c>
      <c r="S1094" s="40">
        <v>8</v>
      </c>
      <c r="T1094" s="39">
        <v>1.9</v>
      </c>
      <c r="U1094" s="39">
        <v>2.38</v>
      </c>
      <c r="V1094" s="39">
        <v>2.96</v>
      </c>
      <c r="W1094" s="52">
        <v>0.8891</v>
      </c>
      <c r="X1094" s="39">
        <v>33.53</v>
      </c>
      <c r="Y1094" s="41">
        <v>831952.03259047796</v>
      </c>
      <c r="Z1094" s="39">
        <v>19823</v>
      </c>
      <c r="AA1094" s="39">
        <v>9.5043829671061602</v>
      </c>
    </row>
    <row r="1095" spans="1:27" x14ac:dyDescent="0.25">
      <c r="A1095" s="7" t="str">
        <f t="shared" si="17"/>
        <v>3755Providence Tarzana Medical Center123872561730, ONCOLOGY</v>
      </c>
      <c r="B1095" s="7"/>
      <c r="C1095" s="29" t="s">
        <v>924</v>
      </c>
      <c r="D1095" s="29" t="s">
        <v>924</v>
      </c>
      <c r="E1095" s="29" t="s">
        <v>924</v>
      </c>
      <c r="F1095" s="29">
        <v>3755</v>
      </c>
      <c r="G1095" s="4" t="s">
        <v>1193</v>
      </c>
      <c r="H1095" s="5">
        <v>1238</v>
      </c>
      <c r="I1095" s="4" t="s">
        <v>148</v>
      </c>
      <c r="J1095" s="4" t="s">
        <v>23</v>
      </c>
      <c r="K1095" s="4" t="s">
        <v>1203</v>
      </c>
      <c r="L1095" s="4" t="s">
        <v>74</v>
      </c>
      <c r="M1095" s="39">
        <v>2630.58</v>
      </c>
      <c r="N1095" s="39">
        <v>2286</v>
      </c>
      <c r="O1095" s="38">
        <v>0</v>
      </c>
      <c r="P1095" s="39">
        <v>9.5500000000000007</v>
      </c>
      <c r="Q1095" s="39">
        <v>5.88</v>
      </c>
      <c r="R1095" s="38">
        <v>0</v>
      </c>
      <c r="S1095" s="40">
        <v>10</v>
      </c>
      <c r="T1095" s="39">
        <v>8.83</v>
      </c>
      <c r="U1095" s="39">
        <v>9.7899999999999991</v>
      </c>
      <c r="V1095" s="39">
        <v>10.28</v>
      </c>
      <c r="W1095" s="52">
        <v>0.85929999999999995</v>
      </c>
      <c r="X1095" s="39">
        <v>7.53</v>
      </c>
      <c r="Y1095" s="41">
        <v>-463217.87235069298</v>
      </c>
      <c r="Z1095" s="39">
        <v>-10339</v>
      </c>
      <c r="AA1095" s="39">
        <v>-4.9571194153070897</v>
      </c>
    </row>
    <row r="1096" spans="1:27" x14ac:dyDescent="0.25">
      <c r="A1096" s="7" t="str">
        <f t="shared" si="17"/>
        <v>3755Providence Tarzana Medical Center347072576320 70700 OP IMAGING CENTER / WDC</v>
      </c>
      <c r="B1096" s="7"/>
      <c r="C1096" s="29" t="s">
        <v>924</v>
      </c>
      <c r="D1096" s="29" t="s">
        <v>924</v>
      </c>
      <c r="E1096" s="29" t="s">
        <v>924</v>
      </c>
      <c r="F1096" s="29">
        <v>3755</v>
      </c>
      <c r="G1096" s="4" t="s">
        <v>1193</v>
      </c>
      <c r="H1096" s="5">
        <v>3470</v>
      </c>
      <c r="I1096" s="4" t="s">
        <v>195</v>
      </c>
      <c r="J1096" s="4" t="s">
        <v>57</v>
      </c>
      <c r="K1096" s="4" t="s">
        <v>1215</v>
      </c>
      <c r="L1096" s="4" t="s">
        <v>99</v>
      </c>
      <c r="M1096" s="39">
        <v>30409.24</v>
      </c>
      <c r="N1096" s="39">
        <v>39097.42</v>
      </c>
      <c r="O1096" s="38">
        <v>0.55559999999999998</v>
      </c>
      <c r="P1096" s="39">
        <v>0.56999999999999995</v>
      </c>
      <c r="Q1096" s="39">
        <v>0.43</v>
      </c>
      <c r="R1096" s="38">
        <v>0.22220000000000001</v>
      </c>
      <c r="S1096" s="40">
        <v>10</v>
      </c>
      <c r="T1096" s="39">
        <v>0.43</v>
      </c>
      <c r="U1096" s="39">
        <v>0.44</v>
      </c>
      <c r="V1096" s="39">
        <v>0.47</v>
      </c>
      <c r="W1096" s="52">
        <v>0.87790000000000001</v>
      </c>
      <c r="X1096" s="39">
        <v>9.18</v>
      </c>
      <c r="Y1096" s="41">
        <v>-20137.001459651299</v>
      </c>
      <c r="Z1096" s="39">
        <v>-449</v>
      </c>
      <c r="AA1096" s="39">
        <v>-0.215153627861708</v>
      </c>
    </row>
    <row r="1097" spans="1:27" x14ac:dyDescent="0.25">
      <c r="A1097" s="7" t="str">
        <f t="shared" si="17"/>
        <v>3755Providence Tarzana Medical Center661072586100 87570 ADMINISTRATION / MEDICAL OFFICER</v>
      </c>
      <c r="B1097" s="7"/>
      <c r="C1097" s="29" t="s">
        <v>924</v>
      </c>
      <c r="D1097" s="29" t="s">
        <v>924</v>
      </c>
      <c r="E1097" s="29" t="s">
        <v>924</v>
      </c>
      <c r="F1097" s="29">
        <v>3755</v>
      </c>
      <c r="G1097" s="4" t="s">
        <v>1193</v>
      </c>
      <c r="H1097" s="5">
        <v>6610</v>
      </c>
      <c r="I1097" s="4" t="s">
        <v>72</v>
      </c>
      <c r="J1097" s="4" t="s">
        <v>72</v>
      </c>
      <c r="K1097" s="4" t="s">
        <v>1227</v>
      </c>
      <c r="L1097" s="4" t="s">
        <v>14</v>
      </c>
      <c r="M1097" s="39">
        <v>176.18</v>
      </c>
      <c r="N1097" s="39">
        <v>196.18</v>
      </c>
      <c r="O1097" s="38">
        <v>0.55559999999999998</v>
      </c>
      <c r="P1097" s="39">
        <v>66.599999999999994</v>
      </c>
      <c r="Q1097" s="39">
        <v>54.06</v>
      </c>
      <c r="R1097" s="38">
        <v>0.44440000000000002</v>
      </c>
      <c r="S1097" s="40">
        <v>10</v>
      </c>
      <c r="T1097" s="39">
        <v>42.42</v>
      </c>
      <c r="U1097" s="39">
        <v>47.24</v>
      </c>
      <c r="V1097" s="39">
        <v>57.16</v>
      </c>
      <c r="W1097" s="52">
        <v>0.87949999999999995</v>
      </c>
      <c r="X1097" s="39">
        <v>5.8</v>
      </c>
      <c r="Y1097" s="41">
        <v>182907.29788902699</v>
      </c>
      <c r="Z1097" s="39">
        <v>1560</v>
      </c>
      <c r="AA1097" s="39">
        <v>0.74784188266165996</v>
      </c>
    </row>
    <row r="1098" spans="1:27" x14ac:dyDescent="0.25">
      <c r="A1098" s="7" t="str">
        <f t="shared" si="17"/>
        <v>3755Providence Tarzana Medical Center423072575700, CARDIAC CATH LAB</v>
      </c>
      <c r="B1098" s="7"/>
      <c r="C1098" s="29" t="s">
        <v>924</v>
      </c>
      <c r="D1098" s="29" t="s">
        <v>924</v>
      </c>
      <c r="E1098" s="29" t="s">
        <v>924</v>
      </c>
      <c r="F1098" s="29">
        <v>3755</v>
      </c>
      <c r="G1098" s="4" t="s">
        <v>1193</v>
      </c>
      <c r="H1098" s="5">
        <v>4230</v>
      </c>
      <c r="I1098" s="4" t="s">
        <v>96</v>
      </c>
      <c r="J1098" s="4" t="s">
        <v>60</v>
      </c>
      <c r="K1098" s="4" t="s">
        <v>1210</v>
      </c>
      <c r="L1098" s="4" t="s">
        <v>97</v>
      </c>
      <c r="M1098" s="39">
        <v>120151</v>
      </c>
      <c r="N1098" s="39">
        <v>143547</v>
      </c>
      <c r="O1098" s="38">
        <v>0.4</v>
      </c>
      <c r="P1098" s="39">
        <v>0.13</v>
      </c>
      <c r="Q1098" s="39">
        <v>0.13</v>
      </c>
      <c r="R1098" s="38">
        <v>0.1429</v>
      </c>
      <c r="S1098" s="40">
        <v>11</v>
      </c>
      <c r="T1098" s="39">
        <v>0.14000000000000001</v>
      </c>
      <c r="U1098" s="39">
        <v>0.15</v>
      </c>
      <c r="V1098" s="39">
        <v>0.17</v>
      </c>
      <c r="W1098" s="52">
        <v>0.87960000000000005</v>
      </c>
      <c r="X1098" s="39">
        <v>10.06</v>
      </c>
      <c r="Y1098" s="41">
        <v>-217850.48395403399</v>
      </c>
      <c r="Z1098" s="39">
        <v>-3497</v>
      </c>
      <c r="AA1098" s="39">
        <v>-1.67676253571305</v>
      </c>
    </row>
    <row r="1099" spans="1:27" x14ac:dyDescent="0.25">
      <c r="A1099" s="7" t="str">
        <f t="shared" si="17"/>
        <v>3755Providence Tarzana Medical Center581072583600, SOCIAL SERVICES</v>
      </c>
      <c r="B1099" s="7"/>
      <c r="C1099" s="29" t="s">
        <v>924</v>
      </c>
      <c r="D1099" s="29" t="s">
        <v>924</v>
      </c>
      <c r="E1099" s="29" t="s">
        <v>924</v>
      </c>
      <c r="F1099" s="29">
        <v>3755</v>
      </c>
      <c r="G1099" s="4" t="s">
        <v>1193</v>
      </c>
      <c r="H1099" s="5">
        <v>5810</v>
      </c>
      <c r="I1099" s="4" t="s">
        <v>133</v>
      </c>
      <c r="J1099" s="4" t="s">
        <v>26</v>
      </c>
      <c r="K1099" s="4" t="s">
        <v>1225</v>
      </c>
      <c r="L1099" s="4" t="s">
        <v>134</v>
      </c>
      <c r="M1099" s="39">
        <v>10449</v>
      </c>
      <c r="N1099" s="39">
        <v>9699</v>
      </c>
      <c r="O1099" s="38">
        <v>0.5</v>
      </c>
      <c r="P1099" s="39">
        <v>0.9</v>
      </c>
      <c r="Q1099" s="39">
        <v>0.99</v>
      </c>
      <c r="R1099" s="38">
        <v>0.41670000000000001</v>
      </c>
      <c r="S1099" s="40">
        <v>11</v>
      </c>
      <c r="T1099" s="39">
        <v>0.8</v>
      </c>
      <c r="U1099" s="39">
        <v>0.97</v>
      </c>
      <c r="V1099" s="39">
        <v>1.0900000000000001</v>
      </c>
      <c r="W1099" s="52">
        <v>0.89710000000000001</v>
      </c>
      <c r="X1099" s="39">
        <v>5.16</v>
      </c>
      <c r="Y1099" s="41">
        <v>13506.487163824901</v>
      </c>
      <c r="Z1099" s="39">
        <v>275</v>
      </c>
      <c r="AA1099" s="39">
        <v>0.131875810410329</v>
      </c>
    </row>
    <row r="1100" spans="1:27" x14ac:dyDescent="0.25">
      <c r="A1100" s="7" t="str">
        <f t="shared" si="17"/>
        <v>3755Providence Tarzana Medical Center106072560500, PEDS ICU</v>
      </c>
      <c r="B1100" s="7"/>
      <c r="C1100" s="29" t="s">
        <v>924</v>
      </c>
      <c r="D1100" s="29" t="s">
        <v>924</v>
      </c>
      <c r="E1100" s="29" t="s">
        <v>924</v>
      </c>
      <c r="F1100" s="29">
        <v>3755</v>
      </c>
      <c r="G1100" s="4" t="s">
        <v>1193</v>
      </c>
      <c r="H1100" s="5">
        <v>1060</v>
      </c>
      <c r="I1100" s="4" t="s">
        <v>159</v>
      </c>
      <c r="J1100" s="4" t="s">
        <v>23</v>
      </c>
      <c r="K1100" s="4" t="s">
        <v>1222</v>
      </c>
      <c r="L1100" s="4" t="s">
        <v>74</v>
      </c>
      <c r="M1100" s="39">
        <v>1135.3800000000001</v>
      </c>
      <c r="N1100" s="39">
        <v>1025</v>
      </c>
      <c r="O1100" s="38">
        <v>0.41670000000000001</v>
      </c>
      <c r="P1100" s="39">
        <v>21.13</v>
      </c>
      <c r="Q1100" s="39">
        <v>21.11</v>
      </c>
      <c r="R1100" s="38">
        <v>0.33329999999999999</v>
      </c>
      <c r="S1100" s="40">
        <v>13</v>
      </c>
      <c r="T1100" s="39">
        <v>20.350000000000001</v>
      </c>
      <c r="U1100" s="39">
        <v>21.15</v>
      </c>
      <c r="V1100" s="39">
        <v>23.58</v>
      </c>
      <c r="W1100" s="52">
        <v>0.83240000000000003</v>
      </c>
      <c r="X1100" s="39">
        <v>12.5</v>
      </c>
      <c r="Y1100" s="41">
        <v>1593.61677139877</v>
      </c>
      <c r="Z1100" s="39">
        <v>28</v>
      </c>
      <c r="AA1100" s="39">
        <v>1.32239012426112E-2</v>
      </c>
    </row>
    <row r="1101" spans="1:27" x14ac:dyDescent="0.25">
      <c r="A1101" s="7" t="str">
        <f t="shared" si="17"/>
        <v>3755Providence Tarzana Medical Center422072575900, EKG (U)</v>
      </c>
      <c r="B1101" s="7"/>
      <c r="C1101" s="29" t="s">
        <v>924</v>
      </c>
      <c r="D1101" s="29" t="s">
        <v>924</v>
      </c>
      <c r="E1101" s="29" t="s">
        <v>924</v>
      </c>
      <c r="F1101" s="29">
        <v>3755</v>
      </c>
      <c r="G1101" s="4" t="s">
        <v>1193</v>
      </c>
      <c r="H1101" s="5">
        <v>4220</v>
      </c>
      <c r="I1101" s="4" t="s">
        <v>98</v>
      </c>
      <c r="J1101" s="4" t="s">
        <v>60</v>
      </c>
      <c r="K1101" s="4" t="s">
        <v>1208</v>
      </c>
      <c r="L1101" s="4" t="s">
        <v>99</v>
      </c>
      <c r="M1101" s="39">
        <v>33566.28</v>
      </c>
      <c r="N1101" s="39">
        <v>45756.82</v>
      </c>
      <c r="O1101" s="38">
        <v>0.49030000000000001</v>
      </c>
      <c r="P1101" s="39">
        <v>0.37</v>
      </c>
      <c r="Q1101" s="39">
        <v>0.2</v>
      </c>
      <c r="R1101" s="38">
        <v>0.1143</v>
      </c>
      <c r="S1101" s="40">
        <v>14</v>
      </c>
      <c r="T1101" s="39">
        <v>0.25</v>
      </c>
      <c r="U1101" s="39">
        <v>0.28999999999999998</v>
      </c>
      <c r="V1101" s="39">
        <v>0.32</v>
      </c>
      <c r="W1101" s="52">
        <v>0.88780000000000003</v>
      </c>
      <c r="X1101" s="39">
        <v>4.97</v>
      </c>
      <c r="Y1101" s="41">
        <v>-164050.91427515401</v>
      </c>
      <c r="Z1101" s="39">
        <v>-4581</v>
      </c>
      <c r="AA1101" s="39">
        <v>-2.1961657731901001</v>
      </c>
    </row>
    <row r="1102" spans="1:27" x14ac:dyDescent="0.25">
      <c r="A1102" s="7" t="str">
        <f t="shared" si="17"/>
        <v>3755Providence Tarzana Medical Center426072578710, VASCULAR</v>
      </c>
      <c r="B1102" s="7"/>
      <c r="C1102" s="29" t="s">
        <v>924</v>
      </c>
      <c r="D1102" s="29" t="s">
        <v>924</v>
      </c>
      <c r="E1102" s="29" t="s">
        <v>924</v>
      </c>
      <c r="F1102" s="29">
        <v>3755</v>
      </c>
      <c r="G1102" s="4" t="s">
        <v>1193</v>
      </c>
      <c r="H1102" s="5">
        <v>4260</v>
      </c>
      <c r="I1102" s="4" t="s">
        <v>158</v>
      </c>
      <c r="J1102" s="4" t="s">
        <v>60</v>
      </c>
      <c r="K1102" s="4" t="s">
        <v>1211</v>
      </c>
      <c r="L1102" s="4" t="s">
        <v>99</v>
      </c>
      <c r="M1102" s="39">
        <v>9508.48</v>
      </c>
      <c r="N1102" s="39">
        <v>9827.82</v>
      </c>
      <c r="O1102" s="38">
        <v>0.61539999999999995</v>
      </c>
      <c r="P1102" s="39">
        <v>0.57999999999999996</v>
      </c>
      <c r="Q1102" s="39">
        <v>0.42</v>
      </c>
      <c r="R1102" s="38">
        <v>0</v>
      </c>
      <c r="S1102" s="40">
        <v>14</v>
      </c>
      <c r="T1102" s="39">
        <v>0.59</v>
      </c>
      <c r="U1102" s="39">
        <v>0.67</v>
      </c>
      <c r="V1102" s="39">
        <v>0.74</v>
      </c>
      <c r="W1102" s="52">
        <v>0.89990000000000003</v>
      </c>
      <c r="X1102" s="39">
        <v>2.21</v>
      </c>
      <c r="Y1102" s="41">
        <v>-160545.34028918701</v>
      </c>
      <c r="Z1102" s="39">
        <v>-2708</v>
      </c>
      <c r="AA1102" s="39">
        <v>-1.29821259470622</v>
      </c>
    </row>
    <row r="1103" spans="1:27" x14ac:dyDescent="0.25">
      <c r="A1103" s="7" t="str">
        <f t="shared" si="17"/>
        <v>3755Providence Tarzana Medical Center651072587100 86900 MEDICAL STAFF / MEDICAL LIBRARY</v>
      </c>
      <c r="B1103" s="7"/>
      <c r="C1103" s="29" t="s">
        <v>924</v>
      </c>
      <c r="D1103" s="29" t="s">
        <v>924</v>
      </c>
      <c r="E1103" s="29" t="s">
        <v>924</v>
      </c>
      <c r="F1103" s="29">
        <v>3755</v>
      </c>
      <c r="G1103" s="4" t="s">
        <v>1193</v>
      </c>
      <c r="H1103" s="5">
        <v>6510</v>
      </c>
      <c r="I1103" s="4" t="s">
        <v>19</v>
      </c>
      <c r="J1103" s="4" t="s">
        <v>19</v>
      </c>
      <c r="K1103" s="4" t="s">
        <v>1235</v>
      </c>
      <c r="L1103" s="4" t="s">
        <v>20</v>
      </c>
      <c r="M1103" s="39">
        <v>216</v>
      </c>
      <c r="N1103" s="39">
        <v>636</v>
      </c>
      <c r="O1103" s="7"/>
      <c r="P1103" s="39">
        <v>47.37</v>
      </c>
      <c r="Q1103" s="39">
        <v>18.84</v>
      </c>
      <c r="R1103" s="7"/>
      <c r="S1103" s="40">
        <v>14</v>
      </c>
      <c r="T1103" s="39">
        <v>12.66</v>
      </c>
      <c r="U1103" s="39">
        <v>13.13</v>
      </c>
      <c r="V1103" s="39">
        <v>16.84</v>
      </c>
      <c r="W1103" s="52">
        <v>0.87009999999999998</v>
      </c>
      <c r="X1103" s="39">
        <v>6.62</v>
      </c>
      <c r="Y1103" s="41">
        <v>174262.42360818901</v>
      </c>
      <c r="Z1103" s="39">
        <v>4210</v>
      </c>
      <c r="AA1103" s="39">
        <v>2.0184851073793402</v>
      </c>
    </row>
    <row r="1104" spans="1:27" x14ac:dyDescent="0.25">
      <c r="A1104" s="7" t="str">
        <f t="shared" si="17"/>
        <v>3755Providence Tarzana Medical Center62106210 Clinical Staff Eucation Normalization Only (U,N)</v>
      </c>
      <c r="B1104" s="7"/>
      <c r="C1104" s="29" t="s">
        <v>924</v>
      </c>
      <c r="D1104" s="29" t="s">
        <v>924</v>
      </c>
      <c r="E1104" s="29" t="s">
        <v>924</v>
      </c>
      <c r="F1104" s="29">
        <v>3755</v>
      </c>
      <c r="G1104" s="4" t="s">
        <v>1193</v>
      </c>
      <c r="H1104" s="5">
        <v>6210</v>
      </c>
      <c r="I1104" s="4" t="s">
        <v>28</v>
      </c>
      <c r="J1104" s="4" t="s">
        <v>21</v>
      </c>
      <c r="K1104" s="4" t="s">
        <v>1238</v>
      </c>
      <c r="L1104" s="4" t="s">
        <v>18</v>
      </c>
      <c r="M1104" s="39">
        <v>17618.29</v>
      </c>
      <c r="N1104" s="39">
        <v>19617.5</v>
      </c>
      <c r="O1104" s="38">
        <v>0.59219999999999995</v>
      </c>
      <c r="P1104" s="39">
        <v>0.19</v>
      </c>
      <c r="Q1104" s="39">
        <v>0.65</v>
      </c>
      <c r="R1104" s="38">
        <v>0.71020000000000005</v>
      </c>
      <c r="S1104" s="40">
        <v>14</v>
      </c>
      <c r="T1104" s="39">
        <v>0.32</v>
      </c>
      <c r="U1104" s="39">
        <v>0.36</v>
      </c>
      <c r="V1104" s="39">
        <v>0.52</v>
      </c>
      <c r="W1104" s="52">
        <v>0.87419999999999998</v>
      </c>
      <c r="X1104" s="39">
        <v>6.98</v>
      </c>
      <c r="Y1104" s="41">
        <v>346990.92679557903</v>
      </c>
      <c r="Z1104" s="39">
        <v>6480</v>
      </c>
      <c r="AA1104" s="39">
        <v>3.1066787477126701</v>
      </c>
    </row>
    <row r="1105" spans="1:27" x14ac:dyDescent="0.25">
      <c r="A1105" s="7" t="str">
        <f t="shared" si="17"/>
        <v>3755Providence Tarzana Medical Center482172577900, OCCUPATIONAL THERAPY</v>
      </c>
      <c r="B1105" s="7"/>
      <c r="C1105" s="29" t="s">
        <v>924</v>
      </c>
      <c r="D1105" s="29" t="s">
        <v>924</v>
      </c>
      <c r="E1105" s="29" t="s">
        <v>924</v>
      </c>
      <c r="F1105" s="29">
        <v>3755</v>
      </c>
      <c r="G1105" s="4" t="s">
        <v>1193</v>
      </c>
      <c r="H1105" s="5">
        <v>4821</v>
      </c>
      <c r="I1105" s="4" t="s">
        <v>164</v>
      </c>
      <c r="J1105" s="4" t="s">
        <v>41</v>
      </c>
      <c r="K1105" s="4" t="s">
        <v>1212</v>
      </c>
      <c r="L1105" s="4" t="s">
        <v>79</v>
      </c>
      <c r="M1105" s="39">
        <v>314.98</v>
      </c>
      <c r="N1105" s="39">
        <v>330.16</v>
      </c>
      <c r="O1105" s="38">
        <v>0.35709999999999997</v>
      </c>
      <c r="P1105" s="39">
        <v>17.53</v>
      </c>
      <c r="Q1105" s="39">
        <v>16.8</v>
      </c>
      <c r="R1105" s="38">
        <v>0</v>
      </c>
      <c r="S1105" s="40">
        <v>15</v>
      </c>
      <c r="T1105" s="39">
        <v>21.05</v>
      </c>
      <c r="U1105" s="39">
        <v>23.01</v>
      </c>
      <c r="V1105" s="39">
        <v>25.94</v>
      </c>
      <c r="W1105" s="52">
        <v>0.83140000000000003</v>
      </c>
      <c r="X1105" s="39">
        <v>3.21</v>
      </c>
      <c r="Y1105" s="41">
        <v>-128733.150888442</v>
      </c>
      <c r="Z1105" s="39">
        <v>-2442</v>
      </c>
      <c r="AA1105" s="39">
        <v>-1.1710601231574</v>
      </c>
    </row>
    <row r="1106" spans="1:27" x14ac:dyDescent="0.25">
      <c r="A1106" s="7" t="str">
        <f t="shared" si="17"/>
        <v>3755Providence Tarzana Medical Center6110Combined Strategic Planning, Marketing and Community Relations</v>
      </c>
      <c r="B1106" s="7"/>
      <c r="C1106" s="29" t="s">
        <v>924</v>
      </c>
      <c r="D1106" s="29" t="s">
        <v>924</v>
      </c>
      <c r="E1106" s="29" t="s">
        <v>924</v>
      </c>
      <c r="F1106" s="29">
        <v>3755</v>
      </c>
      <c r="G1106" s="4" t="s">
        <v>1193</v>
      </c>
      <c r="H1106" s="5">
        <v>6110</v>
      </c>
      <c r="I1106" s="4" t="s">
        <v>1218</v>
      </c>
      <c r="J1106" s="4" t="s">
        <v>1219</v>
      </c>
      <c r="K1106" s="4" t="s">
        <v>1220</v>
      </c>
      <c r="L1106" s="4" t="s">
        <v>1221</v>
      </c>
      <c r="M1106" s="39">
        <v>884.37</v>
      </c>
      <c r="N1106" s="39">
        <v>791.59</v>
      </c>
      <c r="O1106" s="38">
        <v>0.42859999999999998</v>
      </c>
      <c r="P1106" s="39">
        <v>2.25</v>
      </c>
      <c r="Q1106" s="39">
        <v>7.31</v>
      </c>
      <c r="R1106" s="38">
        <v>0.33329999999999999</v>
      </c>
      <c r="S1106" s="40">
        <v>15</v>
      </c>
      <c r="T1106" s="39">
        <v>7.17</v>
      </c>
      <c r="U1106" s="39">
        <v>7.37</v>
      </c>
      <c r="V1106" s="39">
        <v>8.58</v>
      </c>
      <c r="W1106" s="52">
        <v>0.91469999999999996</v>
      </c>
      <c r="X1106" s="39">
        <v>3.04</v>
      </c>
      <c r="Y1106" s="41">
        <v>-2512.1522454330002</v>
      </c>
      <c r="Z1106" s="39">
        <v>-38</v>
      </c>
      <c r="AA1106" s="39">
        <v>-1.7998491542404502E-2</v>
      </c>
    </row>
    <row r="1107" spans="1:27" x14ac:dyDescent="0.25">
      <c r="A1107" s="7" t="str">
        <f t="shared" si="17"/>
        <v>3755Providence Tarzana Medical Center4199Respiratory and Pulmonary Care Admin and Support (U,N)</v>
      </c>
      <c r="B1107" s="7"/>
      <c r="C1107" s="29" t="s">
        <v>924</v>
      </c>
      <c r="D1107" s="29" t="s">
        <v>924</v>
      </c>
      <c r="E1107" s="29" t="s">
        <v>924</v>
      </c>
      <c r="F1107" s="29">
        <v>3755</v>
      </c>
      <c r="G1107" s="4" t="s">
        <v>1193</v>
      </c>
      <c r="H1107" s="5">
        <v>4199</v>
      </c>
      <c r="I1107" s="4" t="s">
        <v>1134</v>
      </c>
      <c r="J1107" s="4" t="s">
        <v>44</v>
      </c>
      <c r="K1107" s="4" t="s">
        <v>1242</v>
      </c>
      <c r="L1107" s="4" t="s">
        <v>45</v>
      </c>
      <c r="M1107" s="39">
        <v>17474.68</v>
      </c>
      <c r="N1107" s="39">
        <v>18719.75</v>
      </c>
      <c r="O1107" s="38">
        <v>0.63180000000000003</v>
      </c>
      <c r="P1107" s="39">
        <v>0</v>
      </c>
      <c r="Q1107" s="39">
        <v>0.82</v>
      </c>
      <c r="R1107" s="7"/>
      <c r="S1107" s="40">
        <v>15</v>
      </c>
      <c r="T1107" s="39">
        <v>0.12</v>
      </c>
      <c r="U1107" s="39">
        <v>0.14000000000000001</v>
      </c>
      <c r="V1107" s="39">
        <v>0.15</v>
      </c>
      <c r="W1107" s="52">
        <v>0.88</v>
      </c>
      <c r="X1107" s="39">
        <v>8.3699999999999992</v>
      </c>
      <c r="Y1107" s="41">
        <v>684597.20886778994</v>
      </c>
      <c r="Z1107" s="39">
        <v>14479</v>
      </c>
      <c r="AA1107" s="39">
        <v>6.9421138967950604</v>
      </c>
    </row>
    <row r="1108" spans="1:27" x14ac:dyDescent="0.25">
      <c r="A1108" s="7" t="str">
        <f t="shared" si="17"/>
        <v>3755Providence Tarzana Medical Center50995099, Facility Services Administration (U,N)</v>
      </c>
      <c r="B1108" s="7"/>
      <c r="C1108" s="29" t="s">
        <v>924</v>
      </c>
      <c r="D1108" s="29" t="s">
        <v>924</v>
      </c>
      <c r="E1108" s="29" t="s">
        <v>924</v>
      </c>
      <c r="F1108" s="29">
        <v>3755</v>
      </c>
      <c r="G1108" s="4" t="s">
        <v>1193</v>
      </c>
      <c r="H1108" s="5">
        <v>5099</v>
      </c>
      <c r="I1108" s="4" t="s">
        <v>61</v>
      </c>
      <c r="J1108" s="4" t="s">
        <v>62</v>
      </c>
      <c r="K1108" s="4" t="s">
        <v>946</v>
      </c>
      <c r="L1108" s="4" t="s">
        <v>63</v>
      </c>
      <c r="M1108" s="7"/>
      <c r="N1108" s="39">
        <v>646.25</v>
      </c>
      <c r="O1108" s="38">
        <v>0.43359999999999999</v>
      </c>
      <c r="P1108" s="7"/>
      <c r="Q1108" s="39">
        <v>29.62</v>
      </c>
      <c r="R1108" s="7"/>
      <c r="S1108" s="40">
        <v>15</v>
      </c>
      <c r="T1108" s="39">
        <v>2.09</v>
      </c>
      <c r="U1108" s="39">
        <v>2.56</v>
      </c>
      <c r="V1108" s="39">
        <v>2.71</v>
      </c>
      <c r="W1108" s="52">
        <v>0.90090000000000003</v>
      </c>
      <c r="X1108" s="39">
        <v>10.220000000000001</v>
      </c>
      <c r="Y1108" s="41">
        <v>700402.32581617695</v>
      </c>
      <c r="Z1108" s="39">
        <v>19480</v>
      </c>
      <c r="AA1108" s="39">
        <v>9.3395350067671092</v>
      </c>
    </row>
    <row r="1109" spans="1:27" x14ac:dyDescent="0.25">
      <c r="A1109" s="7" t="str">
        <f t="shared" si="17"/>
        <v>3755Providence Tarzana Medical Center504072584650, BIO MED</v>
      </c>
      <c r="B1109" s="7"/>
      <c r="C1109" s="29" t="s">
        <v>924</v>
      </c>
      <c r="D1109" s="29" t="s">
        <v>924</v>
      </c>
      <c r="E1109" s="29" t="s">
        <v>924</v>
      </c>
      <c r="F1109" s="29">
        <v>3755</v>
      </c>
      <c r="G1109" s="4" t="s">
        <v>1193</v>
      </c>
      <c r="H1109" s="5">
        <v>5040</v>
      </c>
      <c r="I1109" s="4" t="s">
        <v>142</v>
      </c>
      <c r="J1109" s="4" t="s">
        <v>62</v>
      </c>
      <c r="K1109" s="4" t="s">
        <v>1216</v>
      </c>
      <c r="L1109" s="4" t="s">
        <v>143</v>
      </c>
      <c r="M1109" s="39">
        <v>36.549999999999997</v>
      </c>
      <c r="N1109" s="39">
        <v>41</v>
      </c>
      <c r="O1109" s="38">
        <v>0.4667</v>
      </c>
      <c r="P1109" s="39">
        <v>157.82</v>
      </c>
      <c r="Q1109" s="39">
        <v>117.68</v>
      </c>
      <c r="R1109" s="38">
        <v>0.25</v>
      </c>
      <c r="S1109" s="40">
        <v>16</v>
      </c>
      <c r="T1109" s="39">
        <v>117.68</v>
      </c>
      <c r="U1109" s="39">
        <v>126.68</v>
      </c>
      <c r="V1109" s="39">
        <v>144</v>
      </c>
      <c r="W1109" s="52">
        <v>0.88319999999999999</v>
      </c>
      <c r="X1109" s="39">
        <v>2.63</v>
      </c>
      <c r="Y1109" s="41">
        <v>-12767.6662280459</v>
      </c>
      <c r="Z1109" s="39">
        <v>-395</v>
      </c>
      <c r="AA1109" s="39">
        <v>-0.18955785184552101</v>
      </c>
    </row>
    <row r="1110" spans="1:27" x14ac:dyDescent="0.25">
      <c r="A1110" s="7" t="str">
        <f t="shared" si="17"/>
        <v>3755Providence Tarzana Medical Center3399Laboratory Services Administration (U,N)</v>
      </c>
      <c r="B1110" s="7"/>
      <c r="C1110" s="29" t="s">
        <v>924</v>
      </c>
      <c r="D1110" s="29" t="s">
        <v>924</v>
      </c>
      <c r="E1110" s="29" t="s">
        <v>924</v>
      </c>
      <c r="F1110" s="29">
        <v>3755</v>
      </c>
      <c r="G1110" s="4" t="s">
        <v>1193</v>
      </c>
      <c r="H1110" s="5">
        <v>3399</v>
      </c>
      <c r="I1110" s="4" t="s">
        <v>52</v>
      </c>
      <c r="J1110" s="4" t="s">
        <v>53</v>
      </c>
      <c r="K1110" s="4" t="s">
        <v>54</v>
      </c>
      <c r="L1110" s="4" t="s">
        <v>55</v>
      </c>
      <c r="M1110" s="39">
        <v>5141.96</v>
      </c>
      <c r="N1110" s="39">
        <v>4941.47</v>
      </c>
      <c r="O1110" s="38">
        <v>0.39300000000000002</v>
      </c>
      <c r="P1110" s="39">
        <v>2.1800000000000002</v>
      </c>
      <c r="Q1110" s="39">
        <v>2.7</v>
      </c>
      <c r="R1110" s="38">
        <v>0.91139999999999999</v>
      </c>
      <c r="S1110" s="40">
        <v>16</v>
      </c>
      <c r="T1110" s="39">
        <v>0.66</v>
      </c>
      <c r="U1110" s="39">
        <v>1.05</v>
      </c>
      <c r="V1110" s="39">
        <v>1.2</v>
      </c>
      <c r="W1110" s="52">
        <v>0.85150000000000003</v>
      </c>
      <c r="X1110" s="39">
        <v>7.54</v>
      </c>
      <c r="Y1110" s="41">
        <v>546614.04664056795</v>
      </c>
      <c r="Z1110" s="39">
        <v>9633</v>
      </c>
      <c r="AA1110" s="39">
        <v>4.6184792937935404</v>
      </c>
    </row>
    <row r="1111" spans="1:27" x14ac:dyDescent="0.25">
      <c r="A1111" s="7" t="str">
        <f t="shared" si="17"/>
        <v>3755Providence Tarzana Medical Center191072587200, NURSING ADMIN</v>
      </c>
      <c r="B1111" s="7"/>
      <c r="C1111" s="29" t="s">
        <v>924</v>
      </c>
      <c r="D1111" s="29" t="s">
        <v>924</v>
      </c>
      <c r="E1111" s="29" t="s">
        <v>924</v>
      </c>
      <c r="F1111" s="29">
        <v>3755</v>
      </c>
      <c r="G1111" s="4" t="s">
        <v>1193</v>
      </c>
      <c r="H1111" s="5">
        <v>1910</v>
      </c>
      <c r="I1111" s="4" t="s">
        <v>34</v>
      </c>
      <c r="J1111" s="4" t="s">
        <v>23</v>
      </c>
      <c r="K1111" s="4" t="s">
        <v>1204</v>
      </c>
      <c r="L1111" s="4" t="s">
        <v>35</v>
      </c>
      <c r="M1111" s="39">
        <v>620</v>
      </c>
      <c r="N1111" s="39">
        <v>647</v>
      </c>
      <c r="O1111" s="38">
        <v>0.6875</v>
      </c>
      <c r="P1111" s="39">
        <v>74.77</v>
      </c>
      <c r="Q1111" s="39">
        <v>44.64</v>
      </c>
      <c r="R1111" s="38">
        <v>0.15379999999999999</v>
      </c>
      <c r="S1111" s="40">
        <v>17</v>
      </c>
      <c r="T1111" s="39">
        <v>49.89</v>
      </c>
      <c r="U1111" s="39">
        <v>55.66</v>
      </c>
      <c r="V1111" s="39">
        <v>62.56</v>
      </c>
      <c r="W1111" s="52">
        <v>0.80779999999999996</v>
      </c>
      <c r="X1111" s="39">
        <v>12.61</v>
      </c>
      <c r="Y1111" s="41">
        <v>-857306.07649176195</v>
      </c>
      <c r="Z1111" s="39">
        <v>-18280</v>
      </c>
      <c r="AA1111" s="39">
        <v>-8.7642946863563793</v>
      </c>
    </row>
    <row r="1112" spans="1:27" x14ac:dyDescent="0.25">
      <c r="A1112" s="7" t="str">
        <f t="shared" si="17"/>
        <v>3755Providence Tarzana Medical Center101372560300 61100 CVICU, ICUBU</v>
      </c>
      <c r="B1112" s="7"/>
      <c r="C1112" s="29" t="s">
        <v>924</v>
      </c>
      <c r="D1112" s="29" t="s">
        <v>924</v>
      </c>
      <c r="E1112" s="29" t="s">
        <v>924</v>
      </c>
      <c r="F1112" s="29">
        <v>3755</v>
      </c>
      <c r="G1112" s="4" t="s">
        <v>1193</v>
      </c>
      <c r="H1112" s="5">
        <v>1013</v>
      </c>
      <c r="I1112" s="4" t="s">
        <v>73</v>
      </c>
      <c r="J1112" s="4" t="s">
        <v>23</v>
      </c>
      <c r="K1112" s="4" t="s">
        <v>1234</v>
      </c>
      <c r="L1112" s="4" t="s">
        <v>74</v>
      </c>
      <c r="M1112" s="39">
        <v>2651.58</v>
      </c>
      <c r="N1112" s="39">
        <v>2420</v>
      </c>
      <c r="O1112" s="38">
        <v>0.55000000000000004</v>
      </c>
      <c r="P1112" s="39">
        <v>21.57</v>
      </c>
      <c r="Q1112" s="39">
        <v>21.18</v>
      </c>
      <c r="R1112" s="38">
        <v>0.72219999999999995</v>
      </c>
      <c r="S1112" s="40">
        <v>21</v>
      </c>
      <c r="T1112" s="39">
        <v>18.78</v>
      </c>
      <c r="U1112" s="39">
        <v>19.79</v>
      </c>
      <c r="V1112" s="39">
        <v>20.64</v>
      </c>
      <c r="W1112" s="52">
        <v>0.84409999999999996</v>
      </c>
      <c r="X1112" s="39">
        <v>29.19</v>
      </c>
      <c r="Y1112" s="41">
        <v>214800.37302826199</v>
      </c>
      <c r="Z1112" s="39">
        <v>4144</v>
      </c>
      <c r="AA1112" s="39">
        <v>1.9870866110196701</v>
      </c>
    </row>
    <row r="1113" spans="1:27" x14ac:dyDescent="0.25">
      <c r="A1113" s="7" t="str">
        <f t="shared" si="17"/>
        <v>3755Providence Tarzana Medical Center44904490, Pharmacy Administration and Support (U,N)</v>
      </c>
      <c r="B1113" s="7"/>
      <c r="C1113" s="29" t="s">
        <v>924</v>
      </c>
      <c r="D1113" s="29" t="s">
        <v>924</v>
      </c>
      <c r="E1113" s="29" t="s">
        <v>924</v>
      </c>
      <c r="F1113" s="29">
        <v>3755</v>
      </c>
      <c r="G1113" s="43" t="s">
        <v>1193</v>
      </c>
      <c r="H1113" s="42">
        <v>4490</v>
      </c>
      <c r="I1113" s="43" t="s">
        <v>36</v>
      </c>
      <c r="J1113" s="43" t="s">
        <v>37</v>
      </c>
      <c r="K1113" s="43" t="s">
        <v>1245</v>
      </c>
      <c r="L1113" s="43" t="s">
        <v>39</v>
      </c>
      <c r="M1113" s="71"/>
      <c r="N1113" s="46">
        <v>26091.279999999999</v>
      </c>
      <c r="O1113" s="45">
        <v>0.43640000000000001</v>
      </c>
      <c r="P1113" s="71"/>
      <c r="Q1113" s="46">
        <f>24149.84/N1113</f>
        <v>0.92559046547352219</v>
      </c>
      <c r="R1113" s="71"/>
      <c r="S1113" s="47">
        <v>22</v>
      </c>
      <c r="T1113" s="46">
        <v>0.21</v>
      </c>
      <c r="U1113" s="46">
        <v>0.23</v>
      </c>
      <c r="V1113" s="46">
        <v>0.33</v>
      </c>
      <c r="W1113" s="138">
        <v>0.88449999999999995</v>
      </c>
      <c r="X1113" s="46">
        <v>13.61</v>
      </c>
      <c r="Y1113" s="48">
        <f>Z1113*51.88</f>
        <v>1064513.4083979651</v>
      </c>
      <c r="Z1113" s="46">
        <f>SUM((Q1113-U1113)*N1113)/W1113</f>
        <v>20518.762690785756</v>
      </c>
      <c r="AA1113" s="46">
        <f>+Z1113/2085.7</f>
        <v>9.8378303163378042</v>
      </c>
    </row>
    <row r="1114" spans="1:27" x14ac:dyDescent="0.25">
      <c r="A1114" s="7" t="str">
        <f t="shared" si="17"/>
        <v>3755Providence Tarzana Medical Center121072561710, MED SURG 2</v>
      </c>
      <c r="B1114" s="7"/>
      <c r="C1114" s="29" t="s">
        <v>924</v>
      </c>
      <c r="D1114" s="29" t="s">
        <v>924</v>
      </c>
      <c r="E1114" s="29" t="s">
        <v>924</v>
      </c>
      <c r="F1114" s="29">
        <v>3755</v>
      </c>
      <c r="G1114" s="4" t="s">
        <v>1193</v>
      </c>
      <c r="H1114" s="5">
        <v>1210</v>
      </c>
      <c r="I1114" s="4" t="s">
        <v>147</v>
      </c>
      <c r="J1114" s="4" t="s">
        <v>23</v>
      </c>
      <c r="K1114" s="4" t="s">
        <v>1224</v>
      </c>
      <c r="L1114" s="4" t="s">
        <v>74</v>
      </c>
      <c r="M1114" s="39">
        <v>6030.12</v>
      </c>
      <c r="N1114" s="39">
        <v>5072</v>
      </c>
      <c r="O1114" s="38">
        <v>0.39129999999999998</v>
      </c>
      <c r="P1114" s="39">
        <v>10.75</v>
      </c>
      <c r="Q1114" s="39">
        <v>10.8</v>
      </c>
      <c r="R1114" s="38">
        <v>0.36359999999999998</v>
      </c>
      <c r="S1114" s="40">
        <v>24</v>
      </c>
      <c r="T1114" s="39">
        <v>10.38</v>
      </c>
      <c r="U1114" s="39">
        <v>10.79</v>
      </c>
      <c r="V1114" s="39">
        <v>11.2</v>
      </c>
      <c r="W1114" s="52">
        <v>0.84730000000000005</v>
      </c>
      <c r="X1114" s="39">
        <v>31.09</v>
      </c>
      <c r="Y1114" s="41">
        <v>10467.759792332899</v>
      </c>
      <c r="Z1114" s="39">
        <v>255</v>
      </c>
      <c r="AA1114" s="39">
        <v>0.12210812189252</v>
      </c>
    </row>
    <row r="1115" spans="1:27" x14ac:dyDescent="0.25">
      <c r="A1115" s="7" t="str">
        <f t="shared" si="17"/>
        <v>3755Providence Tarzana Medical Center121072561790, MED SURG 4</v>
      </c>
      <c r="B1115" s="7"/>
      <c r="C1115" s="29" t="s">
        <v>924</v>
      </c>
      <c r="D1115" s="29" t="s">
        <v>924</v>
      </c>
      <c r="E1115" s="29" t="s">
        <v>924</v>
      </c>
      <c r="F1115" s="29">
        <v>3755</v>
      </c>
      <c r="G1115" s="4" t="s">
        <v>1193</v>
      </c>
      <c r="H1115" s="5">
        <v>1210</v>
      </c>
      <c r="I1115" s="4" t="s">
        <v>147</v>
      </c>
      <c r="J1115" s="4" t="s">
        <v>23</v>
      </c>
      <c r="K1115" s="4" t="s">
        <v>1230</v>
      </c>
      <c r="L1115" s="4" t="s">
        <v>74</v>
      </c>
      <c r="M1115" s="39">
        <v>9812.4599999999991</v>
      </c>
      <c r="N1115" s="39">
        <v>8274</v>
      </c>
      <c r="O1115" s="38">
        <v>0.69569999999999999</v>
      </c>
      <c r="P1115" s="39">
        <v>9.77</v>
      </c>
      <c r="Q1115" s="39">
        <v>10.37</v>
      </c>
      <c r="R1115" s="38">
        <v>0.47620000000000001</v>
      </c>
      <c r="S1115" s="40">
        <v>24</v>
      </c>
      <c r="T1115" s="39">
        <v>9.6999999999999993</v>
      </c>
      <c r="U1115" s="39">
        <v>10.119999999999999</v>
      </c>
      <c r="V1115" s="39">
        <v>10.44</v>
      </c>
      <c r="W1115" s="52">
        <v>0.85980000000000001</v>
      </c>
      <c r="X1115" s="39">
        <v>47.96</v>
      </c>
      <c r="Y1115" s="41">
        <v>101744.614380809</v>
      </c>
      <c r="Z1115" s="39">
        <v>2644</v>
      </c>
      <c r="AA1115" s="39">
        <v>1.2675408889583899</v>
      </c>
    </row>
    <row r="1116" spans="1:27" x14ac:dyDescent="0.25">
      <c r="A1116" s="7" t="str">
        <f t="shared" si="17"/>
        <v>3755Providence Tarzana Medical Center3099Surgical Services Administration (U,N)</v>
      </c>
      <c r="B1116" s="7"/>
      <c r="C1116" s="29" t="s">
        <v>924</v>
      </c>
      <c r="D1116" s="29" t="s">
        <v>924</v>
      </c>
      <c r="E1116" s="29" t="s">
        <v>924</v>
      </c>
      <c r="F1116" s="29">
        <v>3755</v>
      </c>
      <c r="G1116" s="4" t="s">
        <v>1193</v>
      </c>
      <c r="H1116" s="5">
        <v>3099</v>
      </c>
      <c r="I1116" s="4" t="s">
        <v>46</v>
      </c>
      <c r="J1116" s="4" t="s">
        <v>47</v>
      </c>
      <c r="K1116" s="4" t="s">
        <v>48</v>
      </c>
      <c r="L1116" s="4" t="s">
        <v>49</v>
      </c>
      <c r="M1116" s="39">
        <v>6503</v>
      </c>
      <c r="N1116" s="39">
        <v>7011</v>
      </c>
      <c r="O1116" s="38">
        <v>0.62609999999999999</v>
      </c>
      <c r="P1116" s="39">
        <v>0.01</v>
      </c>
      <c r="Q1116" s="39">
        <v>3.24</v>
      </c>
      <c r="R1116" s="7"/>
      <c r="S1116" s="40">
        <v>24</v>
      </c>
      <c r="T1116" s="39">
        <v>1.1200000000000001</v>
      </c>
      <c r="U1116" s="39">
        <v>1.3</v>
      </c>
      <c r="V1116" s="39">
        <v>1.6</v>
      </c>
      <c r="W1116" s="52">
        <v>0.88009999999999999</v>
      </c>
      <c r="X1116" s="39">
        <v>12.42</v>
      </c>
      <c r="Y1116" s="41">
        <v>758544.07274256798</v>
      </c>
      <c r="Z1116" s="39">
        <v>15548</v>
      </c>
      <c r="AA1116" s="39">
        <v>7.4547690105281204</v>
      </c>
    </row>
    <row r="1117" spans="1:27" x14ac:dyDescent="0.25">
      <c r="A1117" s="7" t="str">
        <f t="shared" si="17"/>
        <v>3755Providence Tarzana Medical Center441072577100 77150 Pharmacy - RX</v>
      </c>
      <c r="B1117" s="7"/>
      <c r="C1117" s="29" t="s">
        <v>924</v>
      </c>
      <c r="D1117" s="29" t="s">
        <v>924</v>
      </c>
      <c r="E1117" s="29" t="s">
        <v>924</v>
      </c>
      <c r="F1117" s="29">
        <v>3755</v>
      </c>
      <c r="G1117" s="4" t="s">
        <v>1193</v>
      </c>
      <c r="H1117" s="5">
        <v>4410</v>
      </c>
      <c r="I1117" s="4" t="s">
        <v>37</v>
      </c>
      <c r="J1117" s="4" t="s">
        <v>37</v>
      </c>
      <c r="K1117" s="4" t="s">
        <v>1213</v>
      </c>
      <c r="L1117" s="4" t="s">
        <v>100</v>
      </c>
      <c r="M1117" s="39">
        <v>23690.65</v>
      </c>
      <c r="N1117" s="39">
        <v>26438.84</v>
      </c>
      <c r="O1117" s="38">
        <v>0.36</v>
      </c>
      <c r="P1117" s="39">
        <v>2.96</v>
      </c>
      <c r="Q1117" s="39">
        <v>1.76</v>
      </c>
      <c r="R1117" s="38">
        <v>0.33329999999999999</v>
      </c>
      <c r="S1117" s="40">
        <v>26</v>
      </c>
      <c r="T1117" s="39">
        <v>1.6</v>
      </c>
      <c r="U1117" s="39">
        <v>1.81</v>
      </c>
      <c r="V1117" s="39">
        <v>1.93</v>
      </c>
      <c r="W1117" s="52">
        <v>0.89659999999999995</v>
      </c>
      <c r="X1117" s="39">
        <v>24.96</v>
      </c>
      <c r="Y1117" s="41">
        <v>-54646.734141177702</v>
      </c>
      <c r="Z1117" s="39">
        <v>-1314</v>
      </c>
      <c r="AA1117" s="39">
        <v>-0.630006478048031</v>
      </c>
    </row>
    <row r="1118" spans="1:27" x14ac:dyDescent="0.25">
      <c r="A1118" s="7" t="str">
        <f t="shared" si="17"/>
        <v>3755Providence Tarzana Medical Center112272561500 DOU</v>
      </c>
      <c r="B1118" s="7"/>
      <c r="C1118" s="29" t="s">
        <v>924</v>
      </c>
      <c r="D1118" s="29" t="s">
        <v>924</v>
      </c>
      <c r="E1118" s="29" t="s">
        <v>924</v>
      </c>
      <c r="F1118" s="29">
        <v>3755</v>
      </c>
      <c r="G1118" s="4" t="s">
        <v>1193</v>
      </c>
      <c r="H1118" s="5">
        <v>1122</v>
      </c>
      <c r="I1118" s="4" t="s">
        <v>105</v>
      </c>
      <c r="J1118" s="4" t="s">
        <v>23</v>
      </c>
      <c r="K1118" s="4" t="s">
        <v>1246</v>
      </c>
      <c r="L1118" s="4" t="s">
        <v>74</v>
      </c>
      <c r="M1118" s="39">
        <v>11190.17</v>
      </c>
      <c r="N1118" s="39">
        <v>10797</v>
      </c>
      <c r="O1118" s="38">
        <v>0.5</v>
      </c>
      <c r="P1118" s="39">
        <v>11.75</v>
      </c>
      <c r="Q1118" s="39">
        <v>12.84</v>
      </c>
      <c r="R1118" s="38">
        <v>0.88</v>
      </c>
      <c r="S1118" s="40">
        <v>27</v>
      </c>
      <c r="T1118" s="39">
        <v>10.24</v>
      </c>
      <c r="U1118" s="39">
        <v>10.93</v>
      </c>
      <c r="V1118" s="39">
        <v>11.29</v>
      </c>
      <c r="W1118" s="52">
        <v>0.88939999999999997</v>
      </c>
      <c r="X1118" s="39">
        <v>74.95</v>
      </c>
      <c r="Y1118" s="41">
        <v>941954.80691234197</v>
      </c>
      <c r="Z1118" s="39">
        <v>23637</v>
      </c>
      <c r="AA1118" s="39">
        <v>11.3328371204178</v>
      </c>
    </row>
    <row r="1119" spans="1:27" x14ac:dyDescent="0.25">
      <c r="A1119" s="7" t="str">
        <f t="shared" si="17"/>
        <v>3755Providence Tarzana Medical Center121172561731, MED SURG 3</v>
      </c>
      <c r="B1119" s="7"/>
      <c r="C1119" s="29" t="s">
        <v>924</v>
      </c>
      <c r="D1119" s="29" t="s">
        <v>924</v>
      </c>
      <c r="E1119" s="29" t="s">
        <v>924</v>
      </c>
      <c r="F1119" s="29">
        <v>3755</v>
      </c>
      <c r="G1119" s="4" t="s">
        <v>1193</v>
      </c>
      <c r="H1119" s="5">
        <v>1211</v>
      </c>
      <c r="I1119" s="4" t="s">
        <v>161</v>
      </c>
      <c r="J1119" s="4" t="s">
        <v>23</v>
      </c>
      <c r="K1119" s="4" t="s">
        <v>1223</v>
      </c>
      <c r="L1119" s="4" t="s">
        <v>74</v>
      </c>
      <c r="M1119" s="39">
        <v>3937</v>
      </c>
      <c r="N1119" s="39">
        <v>5622</v>
      </c>
      <c r="O1119" s="38">
        <v>0.40739999999999998</v>
      </c>
      <c r="P1119" s="39">
        <v>12.6</v>
      </c>
      <c r="Q1119" s="39">
        <v>10.23</v>
      </c>
      <c r="R1119" s="38">
        <v>0.34620000000000001</v>
      </c>
      <c r="S1119" s="40">
        <v>28</v>
      </c>
      <c r="T1119" s="39">
        <v>10.09</v>
      </c>
      <c r="U1119" s="39">
        <v>10.25</v>
      </c>
      <c r="V1119" s="39">
        <v>10.58</v>
      </c>
      <c r="W1119" s="52">
        <v>0.86550000000000005</v>
      </c>
      <c r="X1119" s="39">
        <v>31.94</v>
      </c>
      <c r="Y1119" s="41">
        <v>1416.8568125740901</v>
      </c>
      <c r="Z1119" s="39">
        <v>37</v>
      </c>
      <c r="AA1119" s="39">
        <v>1.7581025667144701E-2</v>
      </c>
    </row>
    <row r="1120" spans="1:27" x14ac:dyDescent="0.25">
      <c r="A1120" s="7" t="str">
        <f t="shared" si="17"/>
        <v>3755Providence Tarzana Medical Center553072584700 84705 84725 PBX/Telecom Maint (U)</v>
      </c>
      <c r="B1120" s="7"/>
      <c r="C1120" s="29" t="s">
        <v>924</v>
      </c>
      <c r="D1120" s="29" t="s">
        <v>924</v>
      </c>
      <c r="E1120" s="29" t="s">
        <v>924</v>
      </c>
      <c r="F1120" s="29">
        <v>3755</v>
      </c>
      <c r="G1120" s="4" t="s">
        <v>1193</v>
      </c>
      <c r="H1120" s="5">
        <v>5530</v>
      </c>
      <c r="I1120" s="4" t="s">
        <v>144</v>
      </c>
      <c r="J1120" s="4" t="s">
        <v>68</v>
      </c>
      <c r="K1120" s="4" t="s">
        <v>1226</v>
      </c>
      <c r="L1120" s="4" t="s">
        <v>18</v>
      </c>
      <c r="M1120" s="39">
        <v>17618.29</v>
      </c>
      <c r="N1120" s="39">
        <v>19617.5</v>
      </c>
      <c r="O1120" s="38">
        <v>0.4703</v>
      </c>
      <c r="P1120" s="39">
        <v>0.51</v>
      </c>
      <c r="Q1120" s="39">
        <v>0.49</v>
      </c>
      <c r="R1120" s="38">
        <v>0.40770000000000001</v>
      </c>
      <c r="S1120" s="40">
        <v>28</v>
      </c>
      <c r="T1120" s="39">
        <v>0.42</v>
      </c>
      <c r="U1120" s="39">
        <v>0.47</v>
      </c>
      <c r="V1120" s="39">
        <v>0.6</v>
      </c>
      <c r="W1120" s="52">
        <v>0.90759999999999996</v>
      </c>
      <c r="X1120" s="39">
        <v>5.09</v>
      </c>
      <c r="Y1120" s="41">
        <v>9094.8872414444195</v>
      </c>
      <c r="Z1120" s="39">
        <v>457</v>
      </c>
      <c r="AA1120" s="39">
        <v>0.21925727127618899</v>
      </c>
    </row>
    <row r="1121" spans="1:27" x14ac:dyDescent="0.25">
      <c r="A1121" s="7" t="str">
        <f t="shared" si="17"/>
        <v>3755Providence Tarzana Medical Center424172575930, CARDIAC REHAB</v>
      </c>
      <c r="B1121" s="7"/>
      <c r="C1121" s="29" t="s">
        <v>924</v>
      </c>
      <c r="D1121" s="29" t="s">
        <v>924</v>
      </c>
      <c r="E1121" s="29" t="s">
        <v>924</v>
      </c>
      <c r="F1121" s="29">
        <v>3755</v>
      </c>
      <c r="G1121" s="4" t="s">
        <v>1193</v>
      </c>
      <c r="H1121" s="5">
        <v>4241</v>
      </c>
      <c r="I1121" s="4" t="s">
        <v>178</v>
      </c>
      <c r="J1121" s="4" t="s">
        <v>60</v>
      </c>
      <c r="K1121" s="4" t="s">
        <v>1233</v>
      </c>
      <c r="L1121" s="4" t="s">
        <v>77</v>
      </c>
      <c r="M1121" s="39">
        <v>3088</v>
      </c>
      <c r="N1121" s="39">
        <v>2835</v>
      </c>
      <c r="O1121" s="38">
        <v>0.37040000000000001</v>
      </c>
      <c r="P1121" s="7"/>
      <c r="Q1121" s="39">
        <v>2.42</v>
      </c>
      <c r="R1121" s="38">
        <v>0.90910000000000002</v>
      </c>
      <c r="S1121" s="40">
        <v>28</v>
      </c>
      <c r="T1121" s="39">
        <v>0.98</v>
      </c>
      <c r="U1121" s="39">
        <v>1.19</v>
      </c>
      <c r="V1121" s="39">
        <v>1.3</v>
      </c>
      <c r="W1121" s="52">
        <v>0.873</v>
      </c>
      <c r="X1121" s="39">
        <v>3.77</v>
      </c>
      <c r="Y1121" s="41">
        <v>167440.65809746299</v>
      </c>
      <c r="Z1121" s="39">
        <v>3999</v>
      </c>
      <c r="AA1121" s="39">
        <v>1.91717697190837</v>
      </c>
    </row>
    <row r="1122" spans="1:27" x14ac:dyDescent="0.25">
      <c r="A1122" s="7" t="str">
        <f t="shared" si="17"/>
        <v>3755Providence Tarzana Medical Center500172584600, 84500 Plant Operations - Maintenance - POM</v>
      </c>
      <c r="B1122" s="7"/>
      <c r="C1122" s="29" t="s">
        <v>924</v>
      </c>
      <c r="D1122" s="29" t="s">
        <v>924</v>
      </c>
      <c r="E1122" s="29" t="s">
        <v>924</v>
      </c>
      <c r="F1122" s="29">
        <v>3755</v>
      </c>
      <c r="G1122" s="4" t="s">
        <v>1193</v>
      </c>
      <c r="H1122" s="5">
        <v>5001</v>
      </c>
      <c r="I1122" s="4" t="s">
        <v>141</v>
      </c>
      <c r="J1122" s="4" t="s">
        <v>62</v>
      </c>
      <c r="K1122" s="4" t="s">
        <v>1201</v>
      </c>
      <c r="L1122" s="4" t="s">
        <v>63</v>
      </c>
      <c r="M1122" s="39">
        <v>446.25</v>
      </c>
      <c r="N1122" s="39">
        <v>646.25</v>
      </c>
      <c r="O1122" s="38">
        <v>0.51849999999999996</v>
      </c>
      <c r="P1122" s="39">
        <v>55.59</v>
      </c>
      <c r="Q1122" s="39">
        <v>13.32</v>
      </c>
      <c r="R1122" s="7"/>
      <c r="S1122" s="40">
        <v>28</v>
      </c>
      <c r="T1122" s="39">
        <v>32.06</v>
      </c>
      <c r="U1122" s="39">
        <v>35.51</v>
      </c>
      <c r="V1122" s="39">
        <v>38.68</v>
      </c>
      <c r="W1122" s="52">
        <v>0.87529999999999997</v>
      </c>
      <c r="X1122" s="39">
        <v>4.7300000000000004</v>
      </c>
      <c r="Y1122" s="41">
        <v>-358740.26320951199</v>
      </c>
      <c r="Z1122" s="39">
        <v>-16352</v>
      </c>
      <c r="AA1122" s="39">
        <v>-7.8402078481344901</v>
      </c>
    </row>
    <row r="1123" spans="1:27" x14ac:dyDescent="0.25">
      <c r="A1123" s="7" t="str">
        <f t="shared" si="17"/>
        <v>3755Providence Tarzana Medical Center307072583810, STERILE PROCESSING</v>
      </c>
      <c r="B1123" s="7"/>
      <c r="C1123" s="29" t="s">
        <v>924</v>
      </c>
      <c r="D1123" s="29" t="s">
        <v>924</v>
      </c>
      <c r="E1123" s="29" t="s">
        <v>924</v>
      </c>
      <c r="F1123" s="29">
        <v>3755</v>
      </c>
      <c r="G1123" s="4" t="s">
        <v>1193</v>
      </c>
      <c r="H1123" s="5">
        <v>3070</v>
      </c>
      <c r="I1123" s="4" t="s">
        <v>91</v>
      </c>
      <c r="J1123" s="4" t="s">
        <v>47</v>
      </c>
      <c r="K1123" s="4" t="s">
        <v>1240</v>
      </c>
      <c r="L1123" s="4" t="s">
        <v>92</v>
      </c>
      <c r="M1123" s="39">
        <v>577.85</v>
      </c>
      <c r="N1123" s="39">
        <v>593.64</v>
      </c>
      <c r="O1123" s="38">
        <v>0.60709999999999997</v>
      </c>
      <c r="P1123" s="39">
        <v>22.98</v>
      </c>
      <c r="Q1123" s="39">
        <v>31.85</v>
      </c>
      <c r="R1123" s="38">
        <v>0.71430000000000005</v>
      </c>
      <c r="S1123" s="40">
        <v>29</v>
      </c>
      <c r="T1123" s="39">
        <v>17.989999999999998</v>
      </c>
      <c r="U1123" s="39">
        <v>18.27</v>
      </c>
      <c r="V1123" s="39">
        <v>21.92</v>
      </c>
      <c r="W1123" s="52">
        <v>0.9163</v>
      </c>
      <c r="X1123" s="39">
        <v>9.92</v>
      </c>
      <c r="Y1123" s="41">
        <v>277766.31208130298</v>
      </c>
      <c r="Z1123" s="39">
        <v>8854</v>
      </c>
      <c r="AA1123" s="39">
        <v>4.2449175430217796</v>
      </c>
    </row>
    <row r="1124" spans="1:27" x14ac:dyDescent="0.25">
      <c r="A1124" s="7" t="str">
        <f t="shared" si="17"/>
        <v>3755Providence Tarzana Medical Center101172560100, ICU</v>
      </c>
      <c r="B1124" s="7"/>
      <c r="C1124" s="29" t="s">
        <v>924</v>
      </c>
      <c r="D1124" s="29" t="s">
        <v>924</v>
      </c>
      <c r="E1124" s="29" t="s">
        <v>924</v>
      </c>
      <c r="F1124" s="29">
        <v>3755</v>
      </c>
      <c r="G1124" s="4" t="s">
        <v>1193</v>
      </c>
      <c r="H1124" s="5">
        <v>1011</v>
      </c>
      <c r="I1124" s="4" t="s">
        <v>1205</v>
      </c>
      <c r="J1124" s="4" t="s">
        <v>23</v>
      </c>
      <c r="K1124" s="4" t="s">
        <v>1206</v>
      </c>
      <c r="L1124" s="4" t="s">
        <v>74</v>
      </c>
      <c r="M1124" s="39">
        <v>2852.71</v>
      </c>
      <c r="N1124" s="39">
        <v>2574</v>
      </c>
      <c r="O1124" s="38">
        <v>0.51719999999999999</v>
      </c>
      <c r="P1124" s="39">
        <v>16.7</v>
      </c>
      <c r="Q1124" s="39">
        <v>16.149999999999999</v>
      </c>
      <c r="R1124" s="38">
        <v>3.6999999999999998E-2</v>
      </c>
      <c r="S1124" s="40">
        <v>30</v>
      </c>
      <c r="T1124" s="39">
        <v>17.87</v>
      </c>
      <c r="U1124" s="39">
        <v>18.3</v>
      </c>
      <c r="V1124" s="39">
        <v>19.18</v>
      </c>
      <c r="W1124" s="52">
        <v>0.86329999999999996</v>
      </c>
      <c r="X1124" s="39">
        <v>23.16</v>
      </c>
      <c r="Y1124" s="41">
        <v>-349449.69152058603</v>
      </c>
      <c r="Z1124" s="39">
        <v>-6258</v>
      </c>
      <c r="AA1124" s="39">
        <v>-3.0005005986916098</v>
      </c>
    </row>
    <row r="1125" spans="1:27" x14ac:dyDescent="0.25">
      <c r="A1125" s="7" t="str">
        <f t="shared" si="17"/>
        <v>3755Providence Tarzana Medical Center111172561520 CVU</v>
      </c>
      <c r="B1125" s="7"/>
      <c r="C1125" s="29" t="s">
        <v>924</v>
      </c>
      <c r="D1125" s="29" t="s">
        <v>924</v>
      </c>
      <c r="E1125" s="29" t="s">
        <v>924</v>
      </c>
      <c r="F1125" s="29">
        <v>3755</v>
      </c>
      <c r="G1125" s="4" t="s">
        <v>1193</v>
      </c>
      <c r="H1125" s="5">
        <v>1111</v>
      </c>
      <c r="I1125" s="4" t="s">
        <v>146</v>
      </c>
      <c r="J1125" s="4" t="s">
        <v>23</v>
      </c>
      <c r="K1125" s="4" t="s">
        <v>1217</v>
      </c>
      <c r="L1125" s="4" t="s">
        <v>74</v>
      </c>
      <c r="M1125" s="39">
        <v>4942.79</v>
      </c>
      <c r="N1125" s="39">
        <v>4799</v>
      </c>
      <c r="O1125" s="38">
        <v>0.37930000000000003</v>
      </c>
      <c r="P1125" s="39">
        <v>12.96</v>
      </c>
      <c r="Q1125" s="39">
        <v>12.77</v>
      </c>
      <c r="R1125" s="38">
        <v>0.3448</v>
      </c>
      <c r="S1125" s="40">
        <v>30</v>
      </c>
      <c r="T1125" s="39">
        <v>12.59</v>
      </c>
      <c r="U1125" s="39">
        <v>12.84</v>
      </c>
      <c r="V1125" s="39">
        <v>13.98</v>
      </c>
      <c r="W1125" s="52">
        <v>0.88619999999999999</v>
      </c>
      <c r="X1125" s="39">
        <v>33.26</v>
      </c>
      <c r="Y1125" s="41">
        <v>-7134.2273734087603</v>
      </c>
      <c r="Z1125" s="39">
        <v>-162</v>
      </c>
      <c r="AA1125" s="39">
        <v>-7.7435376188546498E-2</v>
      </c>
    </row>
    <row r="1126" spans="1:27" x14ac:dyDescent="0.25">
      <c r="A1126" s="7" t="str">
        <f t="shared" si="17"/>
        <v>3755Providence Tarzana Medical Center481272577710, OP PHYSICAL THERAPY</v>
      </c>
      <c r="B1126" s="7"/>
      <c r="C1126" s="29" t="s">
        <v>924</v>
      </c>
      <c r="D1126" s="29" t="s">
        <v>924</v>
      </c>
      <c r="E1126" s="29" t="s">
        <v>924</v>
      </c>
      <c r="F1126" s="29">
        <v>3755</v>
      </c>
      <c r="G1126" s="4" t="s">
        <v>1193</v>
      </c>
      <c r="H1126" s="5">
        <v>4812</v>
      </c>
      <c r="I1126" s="4" t="s">
        <v>78</v>
      </c>
      <c r="J1126" s="4" t="s">
        <v>41</v>
      </c>
      <c r="K1126" s="4" t="s">
        <v>1228</v>
      </c>
      <c r="L1126" s="4" t="s">
        <v>79</v>
      </c>
      <c r="M1126" s="39">
        <v>381.82</v>
      </c>
      <c r="N1126" s="39">
        <v>153.34</v>
      </c>
      <c r="O1126" s="38">
        <v>0.55169999999999997</v>
      </c>
      <c r="P1126" s="39">
        <v>31.92</v>
      </c>
      <c r="Q1126" s="39">
        <v>33</v>
      </c>
      <c r="R1126" s="38">
        <v>0.75860000000000005</v>
      </c>
      <c r="S1126" s="40">
        <v>30</v>
      </c>
      <c r="T1126" s="39">
        <v>22.54</v>
      </c>
      <c r="U1126" s="39">
        <v>23.5</v>
      </c>
      <c r="V1126" s="39">
        <v>24.06</v>
      </c>
      <c r="W1126" s="52">
        <v>0.92030000000000001</v>
      </c>
      <c r="X1126" s="39">
        <v>2.64</v>
      </c>
      <c r="Y1126" s="41">
        <v>77292.490632340996</v>
      </c>
      <c r="Z1126" s="39">
        <v>1591</v>
      </c>
      <c r="AA1126" s="39">
        <v>0.76266378509301902</v>
      </c>
    </row>
    <row r="1127" spans="1:27" x14ac:dyDescent="0.25">
      <c r="A1127" s="7" t="str">
        <f t="shared" si="17"/>
        <v>3755Providence Tarzana Medical Center301172574200 74230 CVOR Surg</v>
      </c>
      <c r="B1127" s="7"/>
      <c r="C1127" s="29" t="s">
        <v>924</v>
      </c>
      <c r="D1127" s="29" t="s">
        <v>924</v>
      </c>
      <c r="E1127" s="29" t="s">
        <v>924</v>
      </c>
      <c r="F1127" s="29">
        <v>3755</v>
      </c>
      <c r="G1127" s="4" t="s">
        <v>1193</v>
      </c>
      <c r="H1127" s="5">
        <v>3011</v>
      </c>
      <c r="I1127" s="4" t="s">
        <v>87</v>
      </c>
      <c r="J1127" s="4" t="s">
        <v>47</v>
      </c>
      <c r="K1127" s="4" t="s">
        <v>1200</v>
      </c>
      <c r="L1127" s="4" t="s">
        <v>88</v>
      </c>
      <c r="M1127" s="39">
        <v>8190.3</v>
      </c>
      <c r="N1127" s="39">
        <v>8207.41</v>
      </c>
      <c r="O1127" s="38">
        <v>0.57579999999999998</v>
      </c>
      <c r="P1127" s="39">
        <v>10.02</v>
      </c>
      <c r="Q1127" s="39">
        <v>8.98</v>
      </c>
      <c r="R1127" s="38">
        <v>3.1300000000000001E-2</v>
      </c>
      <c r="S1127" s="40">
        <v>34</v>
      </c>
      <c r="T1127" s="39">
        <v>10.56</v>
      </c>
      <c r="U1127" s="39">
        <v>10.84</v>
      </c>
      <c r="V1127" s="39">
        <v>11.58</v>
      </c>
      <c r="W1127" s="52">
        <v>0.874</v>
      </c>
      <c r="X1127" s="39">
        <v>40.53</v>
      </c>
      <c r="Y1127" s="41">
        <v>-834113.77552571299</v>
      </c>
      <c r="Z1127" s="39">
        <v>-17261</v>
      </c>
      <c r="AA1127" s="39">
        <v>-8.2758788465730806</v>
      </c>
    </row>
    <row r="1128" spans="1:27" x14ac:dyDescent="0.25">
      <c r="A1128" s="7" t="str">
        <f t="shared" si="17"/>
        <v>3755Providence Tarzana Medical Center342072576800, CAT SCAN</v>
      </c>
      <c r="B1128" s="7"/>
      <c r="C1128" s="29" t="s">
        <v>924</v>
      </c>
      <c r="D1128" s="29" t="s">
        <v>924</v>
      </c>
      <c r="E1128" s="29" t="s">
        <v>924</v>
      </c>
      <c r="F1128" s="29">
        <v>3755</v>
      </c>
      <c r="G1128" s="4" t="s">
        <v>1193</v>
      </c>
      <c r="H1128" s="5">
        <v>3420</v>
      </c>
      <c r="I1128" s="4" t="s">
        <v>123</v>
      </c>
      <c r="J1128" s="4" t="s">
        <v>57</v>
      </c>
      <c r="K1128" s="4" t="s">
        <v>1229</v>
      </c>
      <c r="L1128" s="4" t="s">
        <v>99</v>
      </c>
      <c r="M1128" s="39">
        <v>35405.82</v>
      </c>
      <c r="N1128" s="39">
        <v>37664.410000000003</v>
      </c>
      <c r="O1128" s="38">
        <v>0.45450000000000002</v>
      </c>
      <c r="P1128" s="39">
        <v>0.36</v>
      </c>
      <c r="Q1128" s="39">
        <v>0.31</v>
      </c>
      <c r="R1128" s="38">
        <v>0.6452</v>
      </c>
      <c r="S1128" s="40">
        <v>34</v>
      </c>
      <c r="T1128" s="39">
        <v>0.24</v>
      </c>
      <c r="U1128" s="39">
        <v>0.26</v>
      </c>
      <c r="V1128" s="39">
        <v>0.28000000000000003</v>
      </c>
      <c r="W1128" s="52">
        <v>0.9143</v>
      </c>
      <c r="X1128" s="39">
        <v>6.21</v>
      </c>
      <c r="Y1128" s="41">
        <v>119430.158554977</v>
      </c>
      <c r="Z1128" s="39">
        <v>2242</v>
      </c>
      <c r="AA1128" s="39">
        <v>1.07472204063114</v>
      </c>
    </row>
    <row r="1129" spans="1:27" x14ac:dyDescent="0.25">
      <c r="A1129" s="7" t="str">
        <f t="shared" si="17"/>
        <v>3755Providence Tarzana Medical Center335072575000 75100 75400, PTMC Lab Lab Send Out Blood Bank</v>
      </c>
      <c r="B1129" s="7"/>
      <c r="C1129" s="29" t="s">
        <v>924</v>
      </c>
      <c r="D1129" s="29" t="s">
        <v>924</v>
      </c>
      <c r="E1129" s="29" t="s">
        <v>924</v>
      </c>
      <c r="F1129" s="29">
        <v>3755</v>
      </c>
      <c r="G1129" s="4" t="s">
        <v>1193</v>
      </c>
      <c r="H1129" s="5">
        <v>3350</v>
      </c>
      <c r="I1129" s="4" t="s">
        <v>93</v>
      </c>
      <c r="J1129" s="4" t="s">
        <v>53</v>
      </c>
      <c r="K1129" s="4" t="s">
        <v>1232</v>
      </c>
      <c r="L1129" s="4" t="s">
        <v>94</v>
      </c>
      <c r="M1129" s="39">
        <v>5091.41</v>
      </c>
      <c r="N1129" s="39">
        <v>5728.26</v>
      </c>
      <c r="O1129" s="38">
        <v>0.1515</v>
      </c>
      <c r="P1129" s="39">
        <v>15.41</v>
      </c>
      <c r="Q1129" s="39">
        <v>13.23</v>
      </c>
      <c r="R1129" s="38">
        <v>0.60609999999999997</v>
      </c>
      <c r="S1129" s="40">
        <v>34</v>
      </c>
      <c r="T1129" s="39">
        <v>12.38</v>
      </c>
      <c r="U1129" s="39">
        <v>12.69</v>
      </c>
      <c r="V1129" s="39">
        <v>13.96</v>
      </c>
      <c r="W1129" s="52">
        <v>0.90080000000000005</v>
      </c>
      <c r="X1129" s="39">
        <v>40.46</v>
      </c>
      <c r="Y1129" s="41">
        <v>138873.371003437</v>
      </c>
      <c r="Z1129" s="39">
        <v>3691</v>
      </c>
      <c r="AA1129" s="39">
        <v>1.7695193132360001</v>
      </c>
    </row>
    <row r="1130" spans="1:27" x14ac:dyDescent="0.25">
      <c r="A1130" s="7" t="str">
        <f t="shared" si="17"/>
        <v>3755Providence Tarzana Medical Center127772560700, NICU</v>
      </c>
      <c r="B1130" s="7"/>
      <c r="C1130" s="29" t="s">
        <v>924</v>
      </c>
      <c r="D1130" s="29" t="s">
        <v>924</v>
      </c>
      <c r="E1130" s="29" t="s">
        <v>924</v>
      </c>
      <c r="F1130" s="29">
        <v>3755</v>
      </c>
      <c r="G1130" s="4" t="s">
        <v>1193</v>
      </c>
      <c r="H1130" s="5">
        <v>1277</v>
      </c>
      <c r="I1130" s="4" t="s">
        <v>106</v>
      </c>
      <c r="J1130" s="4" t="s">
        <v>23</v>
      </c>
      <c r="K1130" s="4" t="s">
        <v>1241</v>
      </c>
      <c r="L1130" s="4" t="s">
        <v>107</v>
      </c>
      <c r="M1130" s="39">
        <v>3901</v>
      </c>
      <c r="N1130" s="39">
        <v>3868</v>
      </c>
      <c r="O1130" s="38">
        <v>0.42420000000000002</v>
      </c>
      <c r="P1130" s="39">
        <v>15.77</v>
      </c>
      <c r="Q1130" s="39">
        <v>16.18</v>
      </c>
      <c r="R1130" s="38">
        <v>0.54549999999999998</v>
      </c>
      <c r="S1130" s="40">
        <v>34</v>
      </c>
      <c r="T1130" s="39">
        <v>13.15</v>
      </c>
      <c r="U1130" s="39">
        <v>14.06</v>
      </c>
      <c r="V1130" s="39">
        <v>15.12</v>
      </c>
      <c r="W1130" s="52">
        <v>0.87770000000000004</v>
      </c>
      <c r="X1130" s="39">
        <v>34.28</v>
      </c>
      <c r="Y1130" s="41">
        <v>527602.16865088604</v>
      </c>
      <c r="Z1130" s="39">
        <v>9536</v>
      </c>
      <c r="AA1130" s="39">
        <v>4.5719704931046499</v>
      </c>
    </row>
    <row r="1131" spans="1:27" x14ac:dyDescent="0.25">
      <c r="A1131" s="7" t="str">
        <f t="shared" si="17"/>
        <v>3755Providence Tarzana Medical Center128572574000 70190 LD NST Clinic</v>
      </c>
      <c r="B1131" s="7"/>
      <c r="C1131" s="29" t="s">
        <v>924</v>
      </c>
      <c r="D1131" s="29" t="s">
        <v>924</v>
      </c>
      <c r="E1131" s="29" t="s">
        <v>924</v>
      </c>
      <c r="F1131" s="29">
        <v>3755</v>
      </c>
      <c r="G1131" s="4" t="s">
        <v>1193</v>
      </c>
      <c r="H1131" s="5">
        <v>1285</v>
      </c>
      <c r="I1131" s="4" t="s">
        <v>85</v>
      </c>
      <c r="J1131" s="4" t="s">
        <v>23</v>
      </c>
      <c r="K1131" s="4" t="s">
        <v>1202</v>
      </c>
      <c r="L1131" s="4" t="s">
        <v>86</v>
      </c>
      <c r="M1131" s="39">
        <v>2541</v>
      </c>
      <c r="N1131" s="39">
        <v>2451</v>
      </c>
      <c r="O1131" s="38">
        <v>0.57140000000000002</v>
      </c>
      <c r="P1131" s="39">
        <v>37.31</v>
      </c>
      <c r="Q1131" s="39">
        <v>36.29</v>
      </c>
      <c r="R1131" s="38">
        <v>0.4118</v>
      </c>
      <c r="S1131" s="40">
        <v>36</v>
      </c>
      <c r="T1131" s="39">
        <v>34.25</v>
      </c>
      <c r="U1131" s="39">
        <v>35.090000000000003</v>
      </c>
      <c r="V1131" s="39">
        <v>37.21</v>
      </c>
      <c r="W1131" s="52">
        <v>0.85719999999999996</v>
      </c>
      <c r="X1131" s="39">
        <v>42.76</v>
      </c>
      <c r="Y1131" s="41">
        <v>-557014.61487711803</v>
      </c>
      <c r="Z1131" s="39">
        <v>-11149</v>
      </c>
      <c r="AA1131" s="39">
        <v>-5.3452721495222404</v>
      </c>
    </row>
    <row r="1132" spans="1:27" x14ac:dyDescent="0.25">
      <c r="A1132" s="7" t="str">
        <f t="shared" si="17"/>
        <v>3755Providence Tarzana Medical Center343072576600, MRI</v>
      </c>
      <c r="B1132" s="7"/>
      <c r="C1132" s="29" t="s">
        <v>924</v>
      </c>
      <c r="D1132" s="29" t="s">
        <v>924</v>
      </c>
      <c r="E1132" s="29" t="s">
        <v>924</v>
      </c>
      <c r="F1132" s="29">
        <v>3755</v>
      </c>
      <c r="G1132" s="4" t="s">
        <v>1193</v>
      </c>
      <c r="H1132" s="5">
        <v>3430</v>
      </c>
      <c r="I1132" s="4" t="s">
        <v>121</v>
      </c>
      <c r="J1132" s="4" t="s">
        <v>57</v>
      </c>
      <c r="K1132" s="4" t="s">
        <v>1237</v>
      </c>
      <c r="L1132" s="4" t="s">
        <v>99</v>
      </c>
      <c r="M1132" s="39">
        <v>16930.330000000002</v>
      </c>
      <c r="N1132" s="39">
        <v>19214.560000000001</v>
      </c>
      <c r="O1132" s="38">
        <v>0.54290000000000005</v>
      </c>
      <c r="P1132" s="39">
        <v>0.79</v>
      </c>
      <c r="Q1132" s="39">
        <v>0.6</v>
      </c>
      <c r="R1132" s="38">
        <v>1</v>
      </c>
      <c r="S1132" s="40">
        <v>36</v>
      </c>
      <c r="T1132" s="39">
        <v>0.3</v>
      </c>
      <c r="U1132" s="39">
        <v>0.3</v>
      </c>
      <c r="V1132" s="39">
        <v>0.32</v>
      </c>
      <c r="W1132" s="52">
        <v>0.91149999999999998</v>
      </c>
      <c r="X1132" s="39">
        <v>6.12</v>
      </c>
      <c r="Y1132" s="41">
        <v>240156.90243307501</v>
      </c>
      <c r="Z1132" s="39">
        <v>6440</v>
      </c>
      <c r="AA1132" s="39">
        <v>3.08790234554654</v>
      </c>
    </row>
    <row r="1133" spans="1:27" x14ac:dyDescent="0.25">
      <c r="A1133" s="7" t="str">
        <f t="shared" si="17"/>
        <v>3755Providence Tarzana Medical Center345072576700, Ultrasound</v>
      </c>
      <c r="B1133" s="7"/>
      <c r="C1133" s="29" t="s">
        <v>924</v>
      </c>
      <c r="D1133" s="29" t="s">
        <v>924</v>
      </c>
      <c r="E1133" s="29" t="s">
        <v>924</v>
      </c>
      <c r="F1133" s="29">
        <v>3755</v>
      </c>
      <c r="G1133" s="4" t="s">
        <v>1193</v>
      </c>
      <c r="H1133" s="5">
        <v>3450</v>
      </c>
      <c r="I1133" s="4" t="s">
        <v>122</v>
      </c>
      <c r="J1133" s="4" t="s">
        <v>57</v>
      </c>
      <c r="K1133" s="4" t="s">
        <v>1214</v>
      </c>
      <c r="L1133" s="4" t="s">
        <v>99</v>
      </c>
      <c r="M1133" s="39">
        <v>18901.240000000002</v>
      </c>
      <c r="N1133" s="39">
        <v>20817.78</v>
      </c>
      <c r="O1133" s="38">
        <v>0.56759999999999999</v>
      </c>
      <c r="P1133" s="39">
        <v>0.41</v>
      </c>
      <c r="Q1133" s="39">
        <v>0.39</v>
      </c>
      <c r="R1133" s="38">
        <v>0.18920000000000001</v>
      </c>
      <c r="S1133" s="40">
        <v>38</v>
      </c>
      <c r="T1133" s="39">
        <v>0.41</v>
      </c>
      <c r="U1133" s="39">
        <v>0.44</v>
      </c>
      <c r="V1133" s="39">
        <v>0.5</v>
      </c>
      <c r="W1133" s="52">
        <v>0.93410000000000004</v>
      </c>
      <c r="X1133" s="39">
        <v>4.1399999999999997</v>
      </c>
      <c r="Y1133" s="41">
        <v>-72293.950147181095</v>
      </c>
      <c r="Z1133" s="39">
        <v>-1171</v>
      </c>
      <c r="AA1133" s="70">
        <v>-0.56155886426561896</v>
      </c>
    </row>
    <row r="1134" spans="1:27" x14ac:dyDescent="0.25">
      <c r="A1134" s="7" t="str">
        <f t="shared" si="17"/>
        <v>3755Providence Tarzana Medical Center341172576300, RADIOLOGY</v>
      </c>
      <c r="B1134" s="7"/>
      <c r="C1134" s="29" t="s">
        <v>924</v>
      </c>
      <c r="D1134" s="29" t="s">
        <v>924</v>
      </c>
      <c r="E1134" s="29" t="s">
        <v>924</v>
      </c>
      <c r="F1134" s="29">
        <v>3755</v>
      </c>
      <c r="G1134" s="4" t="s">
        <v>1193</v>
      </c>
      <c r="H1134" s="5">
        <v>3411</v>
      </c>
      <c r="I1134" s="4" t="s">
        <v>117</v>
      </c>
      <c r="J1134" s="4" t="s">
        <v>57</v>
      </c>
      <c r="K1134" s="4" t="s">
        <v>1236</v>
      </c>
      <c r="L1134" s="4" t="s">
        <v>99</v>
      </c>
      <c r="M1134" s="39">
        <v>32987.769999999997</v>
      </c>
      <c r="N1134" s="39">
        <v>35217.279999999999</v>
      </c>
      <c r="O1134" s="38">
        <v>0.4103</v>
      </c>
      <c r="P1134" s="39">
        <v>1.02</v>
      </c>
      <c r="Q1134" s="39">
        <v>0.74</v>
      </c>
      <c r="R1134" s="38">
        <v>0.61539999999999995</v>
      </c>
      <c r="S1134" s="40">
        <v>40</v>
      </c>
      <c r="T1134" s="39">
        <v>0.6</v>
      </c>
      <c r="U1134" s="39">
        <v>0.62</v>
      </c>
      <c r="V1134" s="39">
        <v>0.69</v>
      </c>
      <c r="W1134" s="52">
        <v>0.89080000000000004</v>
      </c>
      <c r="X1134" s="39">
        <v>14.03</v>
      </c>
      <c r="Y1134" s="41">
        <v>234063.649850772</v>
      </c>
      <c r="Z1134" s="39">
        <v>4751</v>
      </c>
      <c r="AA1134" s="39">
        <v>2.2779007574382502</v>
      </c>
    </row>
    <row r="1135" spans="1:27" x14ac:dyDescent="0.25">
      <c r="A1135" s="7" t="str">
        <f t="shared" si="17"/>
        <v>3755Providence Tarzana Medical Center127272563800 65320 OB Nursery</v>
      </c>
      <c r="B1135" s="7"/>
      <c r="C1135" s="29" t="s">
        <v>924</v>
      </c>
      <c r="D1135" s="29" t="s">
        <v>924</v>
      </c>
      <c r="E1135" s="29" t="s">
        <v>924</v>
      </c>
      <c r="F1135" s="29">
        <v>3755</v>
      </c>
      <c r="G1135" s="4" t="s">
        <v>1193</v>
      </c>
      <c r="H1135" s="5">
        <v>1272</v>
      </c>
      <c r="I1135" s="4" t="s">
        <v>112</v>
      </c>
      <c r="J1135" s="4" t="s">
        <v>23</v>
      </c>
      <c r="K1135" s="4" t="s">
        <v>1198</v>
      </c>
      <c r="L1135" s="4" t="s">
        <v>74</v>
      </c>
      <c r="M1135" s="39">
        <v>7088.34</v>
      </c>
      <c r="N1135" s="39">
        <v>11731</v>
      </c>
      <c r="O1135" s="38">
        <v>0.6</v>
      </c>
      <c r="P1135" s="39">
        <v>11.34</v>
      </c>
      <c r="Q1135" s="39">
        <v>5.73</v>
      </c>
      <c r="R1135" s="38">
        <v>5.1299999999999998E-2</v>
      </c>
      <c r="S1135" s="40">
        <v>41</v>
      </c>
      <c r="T1135" s="39">
        <v>6.85</v>
      </c>
      <c r="U1135" s="39">
        <v>7.35</v>
      </c>
      <c r="V1135" s="39">
        <v>7.55</v>
      </c>
      <c r="W1135" s="52">
        <v>0.86209999999999998</v>
      </c>
      <c r="X1135" s="39">
        <v>37.479999999999997</v>
      </c>
      <c r="Y1135" s="41">
        <v>-1038593.59315699</v>
      </c>
      <c r="Z1135" s="39">
        <v>-21843</v>
      </c>
      <c r="AA1135" s="39">
        <v>-10.4726803775247</v>
      </c>
    </row>
    <row r="1136" spans="1:27" x14ac:dyDescent="0.25">
      <c r="A1136" s="7" t="str">
        <f t="shared" si="17"/>
        <v>3755Providence Tarzana Medical Center346072576500, NUCLEAR MEDICINE</v>
      </c>
      <c r="B1136" s="7"/>
      <c r="C1136" s="29" t="s">
        <v>924</v>
      </c>
      <c r="D1136" s="29" t="s">
        <v>924</v>
      </c>
      <c r="E1136" s="29" t="s">
        <v>924</v>
      </c>
      <c r="F1136" s="29">
        <v>3755</v>
      </c>
      <c r="G1136" s="4" t="s">
        <v>1193</v>
      </c>
      <c r="H1136" s="5">
        <v>3460</v>
      </c>
      <c r="I1136" s="4" t="s">
        <v>120</v>
      </c>
      <c r="J1136" s="4" t="s">
        <v>57</v>
      </c>
      <c r="K1136" s="4" t="s">
        <v>1231</v>
      </c>
      <c r="L1136" s="4" t="s">
        <v>99</v>
      </c>
      <c r="M1136" s="39">
        <v>15342.33</v>
      </c>
      <c r="N1136" s="39">
        <v>16591.240000000002</v>
      </c>
      <c r="O1136" s="38">
        <v>0.56100000000000005</v>
      </c>
      <c r="P1136" s="39">
        <v>0.39</v>
      </c>
      <c r="Q1136" s="39">
        <v>0.43</v>
      </c>
      <c r="R1136" s="38">
        <v>0.77500000000000002</v>
      </c>
      <c r="S1136" s="40">
        <v>42</v>
      </c>
      <c r="T1136" s="39">
        <v>0.24</v>
      </c>
      <c r="U1136" s="39">
        <v>0.28000000000000003</v>
      </c>
      <c r="V1136" s="39">
        <v>0.31</v>
      </c>
      <c r="W1136" s="52">
        <v>0.92059999999999997</v>
      </c>
      <c r="X1136" s="39">
        <v>3.72</v>
      </c>
      <c r="Y1136" s="41">
        <v>174895.16775595001</v>
      </c>
      <c r="Z1136" s="39">
        <v>2713</v>
      </c>
      <c r="AA1136" s="39">
        <v>1.3005644075751199</v>
      </c>
    </row>
    <row r="1137" spans="1:27" x14ac:dyDescent="0.25">
      <c r="A1137" s="7" t="str">
        <f t="shared" si="17"/>
        <v>3755Providence Tarzana Medical Center201072570100, Emergency Room - ER</v>
      </c>
      <c r="B1137" s="7"/>
      <c r="C1137" s="29" t="s">
        <v>924</v>
      </c>
      <c r="D1137" s="29" t="s">
        <v>924</v>
      </c>
      <c r="E1137" s="29" t="s">
        <v>924</v>
      </c>
      <c r="F1137" s="29">
        <v>3755</v>
      </c>
      <c r="G1137" s="4" t="s">
        <v>1193</v>
      </c>
      <c r="H1137" s="5">
        <v>2010</v>
      </c>
      <c r="I1137" s="4" t="s">
        <v>75</v>
      </c>
      <c r="J1137" s="4" t="s">
        <v>76</v>
      </c>
      <c r="K1137" s="4" t="s">
        <v>1197</v>
      </c>
      <c r="L1137" s="4" t="s">
        <v>77</v>
      </c>
      <c r="M1137" s="39">
        <v>49573</v>
      </c>
      <c r="N1137" s="39">
        <v>45010</v>
      </c>
      <c r="O1137" s="38">
        <v>0.61899999999999999</v>
      </c>
      <c r="P1137" s="39">
        <v>2.02</v>
      </c>
      <c r="Q1137" s="39">
        <v>2.11</v>
      </c>
      <c r="R1137" s="38">
        <v>9.7600000000000006E-2</v>
      </c>
      <c r="S1137" s="40">
        <v>43</v>
      </c>
      <c r="T1137" s="39">
        <v>2.42</v>
      </c>
      <c r="U1137" s="39">
        <v>2.61</v>
      </c>
      <c r="V1137" s="39">
        <v>2.79</v>
      </c>
      <c r="W1137" s="52">
        <v>0.89749999999999996</v>
      </c>
      <c r="X1137" s="39">
        <v>50.93</v>
      </c>
      <c r="Y1137" s="41">
        <v>-1210198.3185846501</v>
      </c>
      <c r="Z1137" s="39">
        <v>-24668</v>
      </c>
      <c r="AA1137" s="39">
        <v>-11.827151330128</v>
      </c>
    </row>
    <row r="1138" spans="1:27" x14ac:dyDescent="0.25">
      <c r="A1138" s="7" t="str">
        <f t="shared" si="17"/>
        <v>3755Providence Tarzana Medical Center582572587520 87540 QUALITY ASSURANCE / RISK MGMT</v>
      </c>
      <c r="B1138" s="7"/>
      <c r="C1138" s="29" t="s">
        <v>924</v>
      </c>
      <c r="D1138" s="29" t="s">
        <v>924</v>
      </c>
      <c r="E1138" s="29" t="s">
        <v>924</v>
      </c>
      <c r="F1138" s="29">
        <v>3755</v>
      </c>
      <c r="G1138" s="4" t="s">
        <v>1193</v>
      </c>
      <c r="H1138" s="5">
        <v>5825</v>
      </c>
      <c r="I1138" s="4" t="s">
        <v>25</v>
      </c>
      <c r="J1138" s="4" t="s">
        <v>26</v>
      </c>
      <c r="K1138" s="4" t="s">
        <v>1243</v>
      </c>
      <c r="L1138" s="4" t="s">
        <v>27</v>
      </c>
      <c r="M1138" s="39">
        <v>104907</v>
      </c>
      <c r="N1138" s="39">
        <v>97344</v>
      </c>
      <c r="O1138" s="38">
        <v>0.40479999999999999</v>
      </c>
      <c r="P1138" s="39">
        <v>0.21</v>
      </c>
      <c r="Q1138" s="39">
        <v>0.21</v>
      </c>
      <c r="R1138" s="38">
        <v>0.97560000000000002</v>
      </c>
      <c r="S1138" s="40">
        <v>43</v>
      </c>
      <c r="T1138" s="39">
        <v>0.06</v>
      </c>
      <c r="U1138" s="39">
        <v>7.0000000000000007E-2</v>
      </c>
      <c r="V1138" s="39">
        <v>0.09</v>
      </c>
      <c r="W1138" s="52">
        <v>0.87670000000000003</v>
      </c>
      <c r="X1138" s="39">
        <v>11.2</v>
      </c>
      <c r="Y1138" s="41">
        <v>733832.48724096303</v>
      </c>
      <c r="Z1138" s="39">
        <v>15587</v>
      </c>
      <c r="AA1138" s="39">
        <v>7.4734720718960501</v>
      </c>
    </row>
    <row r="1139" spans="1:27" x14ac:dyDescent="0.25">
      <c r="A1139" s="7" t="str">
        <f t="shared" si="17"/>
        <v>3755Providence Tarzana Medical Center3499Imaging Services Administration (U,N)</v>
      </c>
      <c r="B1139" s="7"/>
      <c r="C1139" s="29" t="s">
        <v>924</v>
      </c>
      <c r="D1139" s="29" t="s">
        <v>924</v>
      </c>
      <c r="E1139" s="29" t="s">
        <v>924</v>
      </c>
      <c r="F1139" s="29">
        <v>3755</v>
      </c>
      <c r="G1139" s="4" t="s">
        <v>1193</v>
      </c>
      <c r="H1139" s="5">
        <v>3499</v>
      </c>
      <c r="I1139" s="4" t="s">
        <v>56</v>
      </c>
      <c r="J1139" s="4" t="s">
        <v>57</v>
      </c>
      <c r="K1139" s="4" t="s">
        <v>954</v>
      </c>
      <c r="L1139" s="4" t="s">
        <v>58</v>
      </c>
      <c r="M1139" s="39">
        <v>180433.67</v>
      </c>
      <c r="N1139" s="39">
        <v>192000</v>
      </c>
      <c r="O1139" s="38">
        <v>0.56840000000000002</v>
      </c>
      <c r="P1139" s="39">
        <v>0</v>
      </c>
      <c r="Q1139" s="39">
        <v>0.03</v>
      </c>
      <c r="R1139" s="38">
        <v>1.6199999999999999E-2</v>
      </c>
      <c r="S1139" s="40">
        <v>45</v>
      </c>
      <c r="T1139" s="39">
        <v>0.06</v>
      </c>
      <c r="U1139" s="39">
        <v>0.06</v>
      </c>
      <c r="V1139" s="39">
        <v>7.0000000000000007E-2</v>
      </c>
      <c r="W1139" s="52">
        <v>0.88500000000000001</v>
      </c>
      <c r="X1139" s="39">
        <v>2.96</v>
      </c>
      <c r="Y1139" s="41">
        <v>-206296.14045039401</v>
      </c>
      <c r="Z1139" s="39">
        <v>-6843</v>
      </c>
      <c r="AA1139" s="70">
        <v>-3.2810457652310401</v>
      </c>
    </row>
    <row r="1140" spans="1:27" x14ac:dyDescent="0.25">
      <c r="A1140" s="7" t="str">
        <f t="shared" si="17"/>
        <v>3755Providence Tarzana Medical Center303072574300, DAY CARE AMBULATORY SURG (SDS)</v>
      </c>
      <c r="B1140" s="7"/>
      <c r="C1140" s="29" t="s">
        <v>924</v>
      </c>
      <c r="D1140" s="29" t="s">
        <v>924</v>
      </c>
      <c r="E1140" s="29" t="s">
        <v>924</v>
      </c>
      <c r="F1140" s="29">
        <v>3755</v>
      </c>
      <c r="G1140" s="4" t="s">
        <v>1193</v>
      </c>
      <c r="H1140" s="5">
        <v>3030</v>
      </c>
      <c r="I1140" s="4" t="s">
        <v>80</v>
      </c>
      <c r="J1140" s="4" t="s">
        <v>47</v>
      </c>
      <c r="K1140" s="4" t="s">
        <v>1199</v>
      </c>
      <c r="L1140" s="4" t="s">
        <v>81</v>
      </c>
      <c r="M1140" s="39">
        <v>1928.55</v>
      </c>
      <c r="N1140" s="39">
        <f>909701/100</f>
        <v>9097.01</v>
      </c>
      <c r="O1140" s="38">
        <v>0.5333</v>
      </c>
      <c r="P1140" s="39">
        <v>27.21</v>
      </c>
      <c r="Q1140" s="39">
        <f>7630.56/N1140</f>
        <v>0.8387986822043727</v>
      </c>
      <c r="R1140" s="38">
        <v>0</v>
      </c>
      <c r="S1140" s="40">
        <v>46</v>
      </c>
      <c r="T1140" s="39">
        <v>2.4700000000000002</v>
      </c>
      <c r="U1140" s="39">
        <v>2.9</v>
      </c>
      <c r="V1140" s="39">
        <v>3.25</v>
      </c>
      <c r="W1140" s="52">
        <v>0.89439999999999997</v>
      </c>
      <c r="X1140" s="39">
        <v>4.0999999999999996</v>
      </c>
      <c r="Y1140" s="41">
        <f>Z1140*38.36</f>
        <v>-804203.37526833639</v>
      </c>
      <c r="Z1140" s="40">
        <f>SUM((Q1140-U1140)*N1140)/W1140</f>
        <v>-20964.634391771022</v>
      </c>
      <c r="AA1140" s="39">
        <f>+Z1140/2085.7</f>
        <v>-10.051605883766133</v>
      </c>
    </row>
    <row r="1141" spans="1:27" x14ac:dyDescent="0.25">
      <c r="A1141" s="7" t="str">
        <f t="shared" si="17"/>
        <v>3755Providence Tarzana Medical Center302072574270, RECOVERY PACU</v>
      </c>
      <c r="B1141" s="7"/>
      <c r="C1141" s="29" t="s">
        <v>924</v>
      </c>
      <c r="D1141" s="29" t="s">
        <v>924</v>
      </c>
      <c r="E1141" s="29" t="s">
        <v>924</v>
      </c>
      <c r="F1141" s="29">
        <v>3755</v>
      </c>
      <c r="G1141" s="4" t="s">
        <v>1193</v>
      </c>
      <c r="H1141" s="5">
        <v>3020</v>
      </c>
      <c r="I1141" s="4" t="s">
        <v>89</v>
      </c>
      <c r="J1141" s="4" t="s">
        <v>47</v>
      </c>
      <c r="K1141" s="4" t="s">
        <v>1239</v>
      </c>
      <c r="L1141" s="4" t="s">
        <v>90</v>
      </c>
      <c r="M1141" s="39">
        <v>4985.34</v>
      </c>
      <c r="N1141" s="39">
        <v>6904.93</v>
      </c>
      <c r="O1141" s="38">
        <v>0.57779999999999998</v>
      </c>
      <c r="P1141" s="39">
        <v>2.4900000000000002</v>
      </c>
      <c r="Q1141" s="39">
        <v>4.05</v>
      </c>
      <c r="R1141" s="38">
        <v>0.71109999999999995</v>
      </c>
      <c r="S1141" s="40">
        <v>46</v>
      </c>
      <c r="T1141" s="39">
        <v>2.8</v>
      </c>
      <c r="U1141" s="39">
        <v>3.08</v>
      </c>
      <c r="V1141" s="39">
        <v>3.45</v>
      </c>
      <c r="W1141" s="52">
        <v>0.89670000000000005</v>
      </c>
      <c r="X1141" s="39">
        <v>15</v>
      </c>
      <c r="Y1141" s="41">
        <v>485994.69895811297</v>
      </c>
      <c r="Z1141" s="39">
        <v>7568</v>
      </c>
      <c r="AA1141" s="39">
        <v>3.6286772605711</v>
      </c>
    </row>
    <row r="1142" spans="1:27" x14ac:dyDescent="0.25">
      <c r="A1142" s="7" t="str">
        <f t="shared" si="17"/>
        <v>3755Providence Tarzana Medical Center481172577700, PHYSICAL THERAPY</v>
      </c>
      <c r="B1142" s="7"/>
      <c r="C1142" s="29" t="s">
        <v>924</v>
      </c>
      <c r="D1142" s="29" t="s">
        <v>924</v>
      </c>
      <c r="E1142" s="29" t="s">
        <v>924</v>
      </c>
      <c r="F1142" s="29">
        <v>3755</v>
      </c>
      <c r="G1142" s="4" t="s">
        <v>1193</v>
      </c>
      <c r="H1142" s="5">
        <v>4811</v>
      </c>
      <c r="I1142" s="4" t="s">
        <v>124</v>
      </c>
      <c r="J1142" s="4" t="s">
        <v>41</v>
      </c>
      <c r="K1142" s="4" t="s">
        <v>1207</v>
      </c>
      <c r="L1142" s="4" t="s">
        <v>79</v>
      </c>
      <c r="M1142" s="39">
        <v>1501.63</v>
      </c>
      <c r="N1142" s="39">
        <v>1072.78</v>
      </c>
      <c r="O1142" s="38">
        <v>0.69569999999999999</v>
      </c>
      <c r="P1142" s="39">
        <v>17.11</v>
      </c>
      <c r="Q1142" s="39">
        <v>22</v>
      </c>
      <c r="R1142" s="38">
        <v>2.2200000000000001E-2</v>
      </c>
      <c r="S1142" s="40">
        <v>47</v>
      </c>
      <c r="T1142" s="39">
        <v>25.92</v>
      </c>
      <c r="U1142" s="39">
        <v>26.54</v>
      </c>
      <c r="V1142" s="39">
        <v>27.55</v>
      </c>
      <c r="W1142" s="52">
        <v>0.85199999999999998</v>
      </c>
      <c r="X1142" s="39">
        <v>13.32</v>
      </c>
      <c r="Y1142" s="41">
        <v>-244118.73603784799</v>
      </c>
      <c r="Z1142" s="39">
        <v>-5636</v>
      </c>
      <c r="AA1142" s="39">
        <v>-2.7021263011416199</v>
      </c>
    </row>
    <row r="1143" spans="1:27" x14ac:dyDescent="0.25">
      <c r="A1143" s="7" t="str">
        <f t="shared" si="17"/>
        <v>3755Providence Tarzana Medical Center623072587400, INSERVICE EDUCATION</v>
      </c>
      <c r="B1143" s="7"/>
      <c r="C1143" s="29" t="s">
        <v>924</v>
      </c>
      <c r="D1143" s="29" t="s">
        <v>924</v>
      </c>
      <c r="E1143" s="29" t="s">
        <v>924</v>
      </c>
      <c r="F1143" s="29">
        <v>3755</v>
      </c>
      <c r="G1143" s="4" t="s">
        <v>1193</v>
      </c>
      <c r="H1143" s="5">
        <v>6230</v>
      </c>
      <c r="I1143" s="4" t="s">
        <v>284</v>
      </c>
      <c r="J1143" s="4" t="s">
        <v>21</v>
      </c>
      <c r="K1143" s="4" t="s">
        <v>1209</v>
      </c>
      <c r="L1143" s="4" t="s">
        <v>18</v>
      </c>
      <c r="M1143" s="39">
        <v>17618.29</v>
      </c>
      <c r="N1143" s="39">
        <v>19617.5</v>
      </c>
      <c r="O1143" s="38">
        <v>0.67920000000000003</v>
      </c>
      <c r="P1143" s="39">
        <v>0.45</v>
      </c>
      <c r="Q1143" s="39">
        <v>0.21</v>
      </c>
      <c r="R1143" s="38">
        <v>0.04</v>
      </c>
      <c r="S1143" s="40">
        <v>54</v>
      </c>
      <c r="T1143" s="39">
        <v>0.33</v>
      </c>
      <c r="U1143" s="39">
        <v>0.37</v>
      </c>
      <c r="V1143" s="39">
        <v>0.41</v>
      </c>
      <c r="W1143" s="52">
        <v>0.89510000000000001</v>
      </c>
      <c r="X1143" s="39">
        <v>2.21</v>
      </c>
      <c r="Y1143" s="41">
        <v>-131559.11285438499</v>
      </c>
      <c r="Z1143" s="39">
        <v>-3500</v>
      </c>
      <c r="AA1143" s="39">
        <v>-1.67796178061218</v>
      </c>
    </row>
    <row r="1144" spans="1:27" x14ac:dyDescent="0.25">
      <c r="A1144" s="7" t="str">
        <f t="shared" si="17"/>
        <v>3755Providence Tarzana Medical Center511272583300, 83400 CAFETERIA / DIETARY</v>
      </c>
      <c r="B1144" s="7"/>
      <c r="C1144" s="29" t="s">
        <v>924</v>
      </c>
      <c r="D1144" s="29" t="s">
        <v>924</v>
      </c>
      <c r="E1144" s="29" t="s">
        <v>924</v>
      </c>
      <c r="F1144" s="29">
        <v>3755</v>
      </c>
      <c r="G1144" s="4" t="s">
        <v>1193</v>
      </c>
      <c r="H1144" s="5">
        <v>5112</v>
      </c>
      <c r="I1144" s="4" t="s">
        <v>281</v>
      </c>
      <c r="J1144" s="4" t="s">
        <v>65</v>
      </c>
      <c r="K1144" s="4" t="s">
        <v>1194</v>
      </c>
      <c r="L1144" s="4" t="s">
        <v>282</v>
      </c>
      <c r="M1144" s="39">
        <v>1221806.04</v>
      </c>
      <c r="N1144" s="39">
        <v>1038130.19</v>
      </c>
      <c r="O1144" s="7"/>
      <c r="P1144" s="39">
        <v>0.06</v>
      </c>
      <c r="Q1144" s="39">
        <v>1.48</v>
      </c>
      <c r="R1144" s="7"/>
      <c r="S1144" s="40">
        <v>178</v>
      </c>
      <c r="T1144" s="39">
        <v>0.13</v>
      </c>
      <c r="U1144" s="39">
        <v>0.13</v>
      </c>
      <c r="V1144" s="39">
        <v>0.15</v>
      </c>
      <c r="W1144" s="52">
        <v>0.91359999999999997</v>
      </c>
      <c r="X1144" s="39">
        <v>37.26</v>
      </c>
      <c r="Y1144" s="41">
        <v>-1387243.5343179901</v>
      </c>
      <c r="Z1144" s="39">
        <v>-70007</v>
      </c>
      <c r="AA1144" s="39">
        <v>-33.5651073190663</v>
      </c>
    </row>
    <row r="1145" spans="1:27" x14ac:dyDescent="0.25">
      <c r="A1145" s="7" t="str">
        <f t="shared" si="17"/>
        <v>3849Providence Willamette Falls Medical Center191053587200, NURSING SERVICE ADMIN</v>
      </c>
      <c r="B1145" s="7"/>
      <c r="C1145" s="105" t="s">
        <v>1249</v>
      </c>
      <c r="D1145" s="105" t="s">
        <v>1249</v>
      </c>
      <c r="E1145" s="105" t="s">
        <v>1249</v>
      </c>
      <c r="F1145" s="105" t="s">
        <v>1738</v>
      </c>
      <c r="G1145" s="99" t="s">
        <v>1557</v>
      </c>
      <c r="H1145" s="100">
        <v>1910</v>
      </c>
      <c r="I1145" s="99" t="s">
        <v>34</v>
      </c>
      <c r="J1145" s="99" t="s">
        <v>23</v>
      </c>
      <c r="K1145" s="99" t="s">
        <v>1739</v>
      </c>
      <c r="L1145" s="99" t="s">
        <v>35</v>
      </c>
      <c r="M1145" s="101">
        <v>268</v>
      </c>
      <c r="N1145" s="101">
        <v>254</v>
      </c>
      <c r="O1145" s="102">
        <v>0.8</v>
      </c>
      <c r="P1145" s="101">
        <v>59.69</v>
      </c>
      <c r="Q1145" s="101">
        <v>55.54</v>
      </c>
      <c r="R1145" s="102">
        <v>5.8799999999999998E-2</v>
      </c>
      <c r="S1145" s="103">
        <v>6</v>
      </c>
      <c r="T1145" s="101">
        <v>81.349999999999994</v>
      </c>
      <c r="U1145" s="101">
        <v>87.7</v>
      </c>
      <c r="V1145" s="101">
        <v>93.48</v>
      </c>
      <c r="W1145" s="102">
        <v>0.89970000000000006</v>
      </c>
      <c r="X1145" s="101">
        <v>5.69</v>
      </c>
      <c r="Y1145" s="104">
        <v>-675251.48458104802</v>
      </c>
      <c r="Z1145" s="101">
        <v>-12892</v>
      </c>
      <c r="AA1145" s="101">
        <v>-6.1809027838140498</v>
      </c>
    </row>
    <row r="1146" spans="1:27" x14ac:dyDescent="0.25">
      <c r="A1146" s="7" t="str">
        <f t="shared" si="17"/>
        <v>3849Providence Willamette Falls Medical Center335053575000 53575400 53589009, CLIN AND BLOOD COMBO</v>
      </c>
      <c r="B1146" s="7"/>
      <c r="C1146" s="29" t="s">
        <v>1249</v>
      </c>
      <c r="D1146" s="29" t="s">
        <v>1249</v>
      </c>
      <c r="E1146" s="29" t="s">
        <v>1249</v>
      </c>
      <c r="F1146" s="29">
        <v>3849</v>
      </c>
      <c r="G1146" s="4" t="s">
        <v>1557</v>
      </c>
      <c r="H1146" s="5">
        <v>3350</v>
      </c>
      <c r="I1146" s="4" t="s">
        <v>93</v>
      </c>
      <c r="J1146" s="4" t="s">
        <v>53</v>
      </c>
      <c r="K1146" s="4" t="s">
        <v>1560</v>
      </c>
      <c r="L1146" s="4" t="s">
        <v>94</v>
      </c>
      <c r="M1146" s="39">
        <v>2205.38</v>
      </c>
      <c r="N1146" s="39">
        <v>2004.06</v>
      </c>
      <c r="O1146" s="38">
        <v>0.71430000000000005</v>
      </c>
      <c r="P1146" s="39">
        <v>11.7</v>
      </c>
      <c r="Q1146" s="39">
        <v>12.98</v>
      </c>
      <c r="R1146" s="38">
        <v>0</v>
      </c>
      <c r="S1146" s="40">
        <v>8</v>
      </c>
      <c r="T1146" s="39">
        <v>14.23</v>
      </c>
      <c r="U1146" s="39">
        <v>14.66</v>
      </c>
      <c r="V1146" s="39">
        <v>16.510000000000002</v>
      </c>
      <c r="W1146" s="38">
        <v>0.9073</v>
      </c>
      <c r="X1146" s="39">
        <v>13.79</v>
      </c>
      <c r="Y1146" s="41">
        <v>-110029.693042193</v>
      </c>
      <c r="Z1146" s="39">
        <v>-3619</v>
      </c>
      <c r="AA1146" s="39">
        <v>-1.7353692512899299</v>
      </c>
    </row>
    <row r="1147" spans="1:27" x14ac:dyDescent="0.25">
      <c r="A1147" s="7" t="str">
        <f t="shared" si="17"/>
        <v>3849Providence Willamette Falls Medical Center413053577200, RESPIRATORY THERAPY</v>
      </c>
      <c r="B1147" s="7"/>
      <c r="C1147" s="29" t="s">
        <v>1249</v>
      </c>
      <c r="D1147" s="29" t="s">
        <v>1249</v>
      </c>
      <c r="E1147" s="29" t="s">
        <v>1249</v>
      </c>
      <c r="F1147" s="29">
        <v>3849</v>
      </c>
      <c r="G1147" s="4" t="s">
        <v>1557</v>
      </c>
      <c r="H1147" s="5">
        <v>4130</v>
      </c>
      <c r="I1147" s="4" t="s">
        <v>184</v>
      </c>
      <c r="J1147" s="4" t="s">
        <v>44</v>
      </c>
      <c r="K1147" s="4" t="s">
        <v>1559</v>
      </c>
      <c r="L1147" s="4" t="s">
        <v>45</v>
      </c>
      <c r="M1147" s="39">
        <v>6435.59</v>
      </c>
      <c r="N1147" s="39">
        <v>6779.45</v>
      </c>
      <c r="O1147" s="38">
        <v>0.42859999999999998</v>
      </c>
      <c r="P1147" s="39">
        <v>2.42</v>
      </c>
      <c r="Q1147" s="39">
        <v>2.61</v>
      </c>
      <c r="R1147" s="38">
        <v>0</v>
      </c>
      <c r="S1147" s="40">
        <v>8</v>
      </c>
      <c r="T1147" s="39">
        <v>2.91</v>
      </c>
      <c r="U1147" s="39">
        <v>2.93</v>
      </c>
      <c r="V1147" s="39">
        <v>3.01</v>
      </c>
      <c r="W1147" s="38">
        <v>0.91620000000000001</v>
      </c>
      <c r="X1147" s="39">
        <v>9.3000000000000007</v>
      </c>
      <c r="Y1147" s="41">
        <v>-78514.026810404801</v>
      </c>
      <c r="Z1147" s="39">
        <v>-2284</v>
      </c>
      <c r="AA1147" s="39">
        <v>-1.0948913379522001</v>
      </c>
    </row>
    <row r="1148" spans="1:27" x14ac:dyDescent="0.25">
      <c r="A1148" s="7" t="str">
        <f t="shared" si="17"/>
        <v>3849Providence Willamette Falls Medical Center135053563600, MENTAL HEALTH_ADOLESCENT_CHILD</v>
      </c>
      <c r="B1148" s="7"/>
      <c r="C1148" s="29" t="s">
        <v>1249</v>
      </c>
      <c r="D1148" s="29" t="s">
        <v>1249</v>
      </c>
      <c r="E1148" s="29" t="s">
        <v>1249</v>
      </c>
      <c r="F1148" s="29">
        <v>3849</v>
      </c>
      <c r="G1148" s="4" t="s">
        <v>1557</v>
      </c>
      <c r="H1148" s="5">
        <v>1350</v>
      </c>
      <c r="I1148" s="4" t="s">
        <v>893</v>
      </c>
      <c r="J1148" s="4" t="s">
        <v>23</v>
      </c>
      <c r="K1148" s="4" t="s">
        <v>1558</v>
      </c>
      <c r="L1148" s="4" t="s">
        <v>114</v>
      </c>
      <c r="M1148" s="39">
        <v>4673</v>
      </c>
      <c r="N1148" s="39">
        <v>5162</v>
      </c>
      <c r="O1148" s="38">
        <v>0.57140000000000002</v>
      </c>
      <c r="P1148" s="39">
        <v>15.96</v>
      </c>
      <c r="Q1148" s="39">
        <v>16.260000000000002</v>
      </c>
      <c r="R1148" s="7"/>
      <c r="S1148" s="40">
        <v>8</v>
      </c>
      <c r="T1148" s="39">
        <v>9.32</v>
      </c>
      <c r="U1148" s="39">
        <v>9.56</v>
      </c>
      <c r="V1148" s="39">
        <v>9.6</v>
      </c>
      <c r="W1148" s="38">
        <v>0.91300000000000003</v>
      </c>
      <c r="X1148" s="39">
        <v>44.2</v>
      </c>
      <c r="Y1148" s="41">
        <v>1608592.72183484</v>
      </c>
      <c r="Z1148" s="39">
        <v>38137</v>
      </c>
      <c r="AA1148" s="39">
        <v>18.284877038610801</v>
      </c>
    </row>
    <row r="1149" spans="1:27" x14ac:dyDescent="0.25">
      <c r="A1149" s="7" t="str">
        <f t="shared" si="17"/>
        <v>3849Providence Willamette Falls Medical Center422053575600, 53575910 EKG &amp; ECHO</v>
      </c>
      <c r="B1149" s="7"/>
      <c r="C1149" s="29" t="s">
        <v>1249</v>
      </c>
      <c r="D1149" s="29" t="s">
        <v>1249</v>
      </c>
      <c r="E1149" s="29" t="s">
        <v>1249</v>
      </c>
      <c r="F1149" s="29">
        <v>3849</v>
      </c>
      <c r="G1149" s="4" t="s">
        <v>1557</v>
      </c>
      <c r="H1149" s="5">
        <v>4220</v>
      </c>
      <c r="I1149" s="4" t="s">
        <v>98</v>
      </c>
      <c r="J1149" s="4" t="s">
        <v>60</v>
      </c>
      <c r="K1149" s="4" t="s">
        <v>1562</v>
      </c>
      <c r="L1149" s="4" t="s">
        <v>99</v>
      </c>
      <c r="M1149" s="39">
        <v>15667.42</v>
      </c>
      <c r="N1149" s="39">
        <v>33423</v>
      </c>
      <c r="O1149" s="38">
        <v>0.59050000000000002</v>
      </c>
      <c r="P1149" s="39">
        <v>0.35</v>
      </c>
      <c r="Q1149" s="39">
        <v>0.21</v>
      </c>
      <c r="R1149" s="7"/>
      <c r="S1149" s="40">
        <v>9</v>
      </c>
      <c r="T1149" s="39">
        <v>0.31</v>
      </c>
      <c r="U1149" s="39">
        <v>0.41</v>
      </c>
      <c r="V1149" s="39">
        <v>0.44</v>
      </c>
      <c r="W1149" s="38">
        <v>0.91839999999999999</v>
      </c>
      <c r="X1149" s="39">
        <v>3.72</v>
      </c>
      <c r="Y1149" s="41">
        <v>-235606.34165990801</v>
      </c>
      <c r="Z1149" s="39">
        <v>-7162</v>
      </c>
      <c r="AA1149" s="39">
        <v>-3.4339445475653898</v>
      </c>
    </row>
    <row r="1150" spans="1:27" x14ac:dyDescent="0.25">
      <c r="A1150" s="7" t="str">
        <f t="shared" si="17"/>
        <v>3849Providence Willamette Falls Medical Center101153560100, ICU</v>
      </c>
      <c r="B1150" s="7"/>
      <c r="C1150" s="29" t="s">
        <v>1249</v>
      </c>
      <c r="D1150" s="29" t="s">
        <v>1249</v>
      </c>
      <c r="E1150" s="29" t="s">
        <v>1249</v>
      </c>
      <c r="F1150" s="29">
        <v>3849</v>
      </c>
      <c r="G1150" s="4" t="s">
        <v>1557</v>
      </c>
      <c r="H1150" s="5">
        <v>1011</v>
      </c>
      <c r="I1150" s="4" t="s">
        <v>1205</v>
      </c>
      <c r="J1150" s="4" t="s">
        <v>23</v>
      </c>
      <c r="K1150" s="4" t="s">
        <v>1561</v>
      </c>
      <c r="L1150" s="4" t="s">
        <v>74</v>
      </c>
      <c r="M1150" s="39">
        <v>1095.1199999999999</v>
      </c>
      <c r="N1150" s="39">
        <v>1024.08</v>
      </c>
      <c r="O1150" s="38">
        <v>0.625</v>
      </c>
      <c r="P1150" s="39">
        <v>24.08</v>
      </c>
      <c r="Q1150" s="39">
        <v>24.64</v>
      </c>
      <c r="R1150" s="38">
        <v>0.625</v>
      </c>
      <c r="S1150" s="40">
        <v>9</v>
      </c>
      <c r="T1150" s="39">
        <v>20.149999999999999</v>
      </c>
      <c r="U1150" s="39">
        <v>20.39</v>
      </c>
      <c r="V1150" s="39">
        <v>24.18</v>
      </c>
      <c r="W1150" s="38">
        <v>0.83989999999999998</v>
      </c>
      <c r="X1150" s="39">
        <v>14.45</v>
      </c>
      <c r="Y1150" s="41">
        <v>286051.94267386798</v>
      </c>
      <c r="Z1150" s="39">
        <v>5277</v>
      </c>
      <c r="AA1150" s="39">
        <v>2.53012536144462</v>
      </c>
    </row>
    <row r="1151" spans="1:27" x14ac:dyDescent="0.25">
      <c r="A1151" s="7" t="str">
        <f t="shared" si="17"/>
        <v>3849Providence Willamette Falls Medical Center127053574000, MATERNITY SERVICES</v>
      </c>
      <c r="B1151" s="7"/>
      <c r="C1151" s="29" t="s">
        <v>1249</v>
      </c>
      <c r="D1151" s="29" t="s">
        <v>1249</v>
      </c>
      <c r="E1151" s="29" t="s">
        <v>1249</v>
      </c>
      <c r="F1151" s="29">
        <v>3849</v>
      </c>
      <c r="G1151" s="4" t="s">
        <v>1557</v>
      </c>
      <c r="H1151" s="5">
        <v>1270</v>
      </c>
      <c r="I1151" s="4" t="s">
        <v>199</v>
      </c>
      <c r="J1151" s="4" t="s">
        <v>23</v>
      </c>
      <c r="K1151" s="4" t="s">
        <v>1564</v>
      </c>
      <c r="L1151" s="4" t="s">
        <v>86</v>
      </c>
      <c r="M1151" s="39">
        <v>1180</v>
      </c>
      <c r="N1151" s="39">
        <v>1055</v>
      </c>
      <c r="O1151" s="38">
        <v>0.66669999999999996</v>
      </c>
      <c r="P1151" s="39">
        <v>58.43</v>
      </c>
      <c r="Q1151" s="39">
        <v>62.36</v>
      </c>
      <c r="R1151" s="38">
        <v>0.1111</v>
      </c>
      <c r="S1151" s="40">
        <v>10</v>
      </c>
      <c r="T1151" s="39">
        <v>67.11</v>
      </c>
      <c r="U1151" s="39">
        <v>72.41</v>
      </c>
      <c r="V1151" s="39">
        <v>73.53</v>
      </c>
      <c r="W1151" s="38">
        <v>0.85289999999999999</v>
      </c>
      <c r="X1151" s="39">
        <v>37.08</v>
      </c>
      <c r="Y1151" s="41">
        <v>-609938.37705439294</v>
      </c>
      <c r="Z1151" s="39">
        <v>-12230</v>
      </c>
      <c r="AA1151" s="39">
        <v>-5.8638573538462397</v>
      </c>
    </row>
    <row r="1152" spans="1:27" x14ac:dyDescent="0.25">
      <c r="A1152" s="7" t="str">
        <f t="shared" si="17"/>
        <v>3849Providence Willamette Falls Medical Center500153584600 FACILITY SERVICES</v>
      </c>
      <c r="B1152" s="7"/>
      <c r="C1152" s="29" t="s">
        <v>1249</v>
      </c>
      <c r="D1152" s="29" t="s">
        <v>1249</v>
      </c>
      <c r="E1152" s="29" t="s">
        <v>1249</v>
      </c>
      <c r="F1152" s="29">
        <v>3849</v>
      </c>
      <c r="G1152" s="4" t="s">
        <v>1557</v>
      </c>
      <c r="H1152" s="5">
        <v>5001</v>
      </c>
      <c r="I1152" s="4" t="s">
        <v>141</v>
      </c>
      <c r="J1152" s="4" t="s">
        <v>62</v>
      </c>
      <c r="K1152" s="4" t="s">
        <v>1563</v>
      </c>
      <c r="L1152" s="4" t="s">
        <v>63</v>
      </c>
      <c r="M1152" s="39">
        <v>369.33</v>
      </c>
      <c r="N1152" s="39">
        <v>369.33</v>
      </c>
      <c r="O1152" s="38">
        <v>0.77780000000000005</v>
      </c>
      <c r="P1152" s="39">
        <v>23.16</v>
      </c>
      <c r="Q1152" s="39">
        <v>23.56</v>
      </c>
      <c r="R1152" s="38">
        <v>0.1</v>
      </c>
      <c r="S1152" s="40">
        <v>10</v>
      </c>
      <c r="T1152" s="39">
        <v>37.43</v>
      </c>
      <c r="U1152" s="39">
        <v>45.44</v>
      </c>
      <c r="V1152" s="39">
        <v>50.4</v>
      </c>
      <c r="W1152" s="38">
        <v>0.8538</v>
      </c>
      <c r="X1152" s="39">
        <v>4.9000000000000004</v>
      </c>
      <c r="Y1152" s="41">
        <v>-321069.14656388998</v>
      </c>
      <c r="Z1152" s="39">
        <v>-9436</v>
      </c>
      <c r="AA1152" s="39">
        <v>-4.5242091791876202</v>
      </c>
    </row>
    <row r="1153" spans="1:27" x14ac:dyDescent="0.25">
      <c r="A1153" s="7" t="str">
        <f t="shared" si="17"/>
        <v>3849Providence Willamette Falls Medical Center560853505608, CENTRALIZED SCHEDULING (U,N)</v>
      </c>
      <c r="B1153" s="7"/>
      <c r="C1153" s="29" t="s">
        <v>1249</v>
      </c>
      <c r="D1153" s="29" t="s">
        <v>1249</v>
      </c>
      <c r="E1153" s="29" t="s">
        <v>1249</v>
      </c>
      <c r="F1153" s="29">
        <v>3849</v>
      </c>
      <c r="G1153" s="4" t="s">
        <v>1557</v>
      </c>
      <c r="H1153" s="5">
        <v>5608</v>
      </c>
      <c r="I1153" s="4" t="s">
        <v>257</v>
      </c>
      <c r="J1153" s="4" t="s">
        <v>12</v>
      </c>
      <c r="K1153" s="4" t="s">
        <v>1568</v>
      </c>
      <c r="L1153" s="4" t="s">
        <v>18</v>
      </c>
      <c r="M1153" s="39">
        <v>11107.16</v>
      </c>
      <c r="N1153" s="39">
        <v>11776.13</v>
      </c>
      <c r="O1153" s="38">
        <v>0.51600000000000001</v>
      </c>
      <c r="P1153" s="39">
        <v>0.79</v>
      </c>
      <c r="Q1153" s="39">
        <v>0.77</v>
      </c>
      <c r="R1153" s="38">
        <v>0.28660000000000002</v>
      </c>
      <c r="S1153" s="40">
        <v>11</v>
      </c>
      <c r="T1153" s="39">
        <v>0.65</v>
      </c>
      <c r="U1153" s="39">
        <v>1</v>
      </c>
      <c r="V1153" s="39">
        <v>1.21</v>
      </c>
      <c r="W1153" s="38">
        <v>0.90039999999999998</v>
      </c>
      <c r="X1153" s="39">
        <v>4.8499999999999996</v>
      </c>
      <c r="Y1153" s="41">
        <v>-57402.026128673198</v>
      </c>
      <c r="Z1153" s="39">
        <v>-2963</v>
      </c>
      <c r="AA1153" s="39">
        <v>-1.420689025033</v>
      </c>
    </row>
    <row r="1154" spans="1:27" x14ac:dyDescent="0.25">
      <c r="A1154" s="7" t="str">
        <f t="shared" si="17"/>
        <v>3849Providence Willamette Falls Medical Center482553577900, OCCUPATIONAL THERAPY</v>
      </c>
      <c r="B1154" s="7"/>
      <c r="C1154" s="29" t="s">
        <v>1249</v>
      </c>
      <c r="D1154" s="29" t="s">
        <v>1249</v>
      </c>
      <c r="E1154" s="29" t="s">
        <v>1249</v>
      </c>
      <c r="F1154" s="29">
        <v>3849</v>
      </c>
      <c r="G1154" s="4" t="s">
        <v>1557</v>
      </c>
      <c r="H1154" s="5">
        <v>4825</v>
      </c>
      <c r="I1154" s="4" t="s">
        <v>128</v>
      </c>
      <c r="J1154" s="4" t="s">
        <v>41</v>
      </c>
      <c r="K1154" s="4" t="s">
        <v>1567</v>
      </c>
      <c r="L1154" s="4" t="s">
        <v>79</v>
      </c>
      <c r="M1154" s="39">
        <v>193.34</v>
      </c>
      <c r="N1154" s="39">
        <v>306.18</v>
      </c>
      <c r="O1154" s="38">
        <v>0.5</v>
      </c>
      <c r="P1154" s="39">
        <v>25</v>
      </c>
      <c r="Q1154" s="39">
        <v>20.88</v>
      </c>
      <c r="R1154" s="38">
        <v>0.2</v>
      </c>
      <c r="S1154" s="40">
        <v>11</v>
      </c>
      <c r="T1154" s="39">
        <v>22.45</v>
      </c>
      <c r="U1154" s="39">
        <v>24.04</v>
      </c>
      <c r="V1154" s="39">
        <v>25.31</v>
      </c>
      <c r="W1154" s="38">
        <v>0.92330000000000001</v>
      </c>
      <c r="X1154" s="39">
        <v>3.33</v>
      </c>
      <c r="Y1154" s="41">
        <v>-39622.919495972201</v>
      </c>
      <c r="Z1154" s="39">
        <v>-1027</v>
      </c>
      <c r="AA1154" s="39">
        <v>-0.49222813837233698</v>
      </c>
    </row>
    <row r="1155" spans="1:27" x14ac:dyDescent="0.25">
      <c r="A1155" s="7" t="str">
        <f t="shared" ref="A1155:A1218" si="18">F1155&amp;G1155&amp;H1155&amp;K1155</f>
        <v>3849Providence Willamette Falls Medical Center342053576800, CTT SCANNER</v>
      </c>
      <c r="B1155" s="7"/>
      <c r="C1155" s="29" t="s">
        <v>1249</v>
      </c>
      <c r="D1155" s="29" t="s">
        <v>1249</v>
      </c>
      <c r="E1155" s="29" t="s">
        <v>1249</v>
      </c>
      <c r="F1155" s="29">
        <v>3849</v>
      </c>
      <c r="G1155" s="4" t="s">
        <v>1557</v>
      </c>
      <c r="H1155" s="5">
        <v>3420</v>
      </c>
      <c r="I1155" s="4" t="s">
        <v>123</v>
      </c>
      <c r="J1155" s="4" t="s">
        <v>57</v>
      </c>
      <c r="K1155" s="4" t="s">
        <v>1566</v>
      </c>
      <c r="L1155" s="4" t="s">
        <v>99</v>
      </c>
      <c r="M1155" s="39">
        <v>33440.89</v>
      </c>
      <c r="N1155" s="39">
        <v>33248.19</v>
      </c>
      <c r="O1155" s="38">
        <v>1</v>
      </c>
      <c r="P1155" s="39">
        <v>0.25</v>
      </c>
      <c r="Q1155" s="39">
        <v>0.27</v>
      </c>
      <c r="R1155" s="38">
        <v>0.33329999999999999</v>
      </c>
      <c r="S1155" s="40">
        <v>11</v>
      </c>
      <c r="T1155" s="39">
        <v>0.27</v>
      </c>
      <c r="U1155" s="39">
        <v>0.28000000000000003</v>
      </c>
      <c r="V1155" s="39">
        <v>0.33</v>
      </c>
      <c r="W1155" s="38">
        <v>0.91739999999999999</v>
      </c>
      <c r="X1155" s="39">
        <v>4.78</v>
      </c>
      <c r="Y1155" s="41">
        <v>-7082.4978967303196</v>
      </c>
      <c r="Z1155" s="39">
        <v>-178</v>
      </c>
      <c r="AA1155" s="39">
        <v>-8.5365397491837094E-2</v>
      </c>
    </row>
    <row r="1156" spans="1:27" x14ac:dyDescent="0.25">
      <c r="A1156" s="7" t="str">
        <f t="shared" si="18"/>
        <v>3849Providence Willamette Falls Medical Center307053583800, STERILE PROCESSING</v>
      </c>
      <c r="B1156" s="7"/>
      <c r="C1156" s="29" t="s">
        <v>1249</v>
      </c>
      <c r="D1156" s="29" t="s">
        <v>1249</v>
      </c>
      <c r="E1156" s="29" t="s">
        <v>1249</v>
      </c>
      <c r="F1156" s="29">
        <v>3849</v>
      </c>
      <c r="G1156" s="4" t="s">
        <v>1557</v>
      </c>
      <c r="H1156" s="5">
        <v>3070</v>
      </c>
      <c r="I1156" s="4" t="s">
        <v>91</v>
      </c>
      <c r="J1156" s="4" t="s">
        <v>47</v>
      </c>
      <c r="K1156" s="4" t="s">
        <v>1565</v>
      </c>
      <c r="L1156" s="4" t="s">
        <v>92</v>
      </c>
      <c r="M1156" s="39">
        <v>835.47</v>
      </c>
      <c r="N1156" s="39">
        <v>869.01</v>
      </c>
      <c r="O1156" s="38">
        <v>0.6</v>
      </c>
      <c r="P1156" s="39">
        <v>18.489999999999998</v>
      </c>
      <c r="Q1156" s="39">
        <v>18.34</v>
      </c>
      <c r="R1156" s="38">
        <v>0.4</v>
      </c>
      <c r="S1156" s="40">
        <v>11</v>
      </c>
      <c r="T1156" s="39">
        <v>15.67</v>
      </c>
      <c r="U1156" s="39">
        <v>17.350000000000001</v>
      </c>
      <c r="V1156" s="39">
        <v>19.87</v>
      </c>
      <c r="W1156" s="38">
        <v>0.89810000000000001</v>
      </c>
      <c r="X1156" s="39">
        <v>8.5299999999999994</v>
      </c>
      <c r="Y1156" s="41">
        <v>21342.497662706301</v>
      </c>
      <c r="Z1156" s="39">
        <v>1003</v>
      </c>
      <c r="AA1156" s="39">
        <v>0.48089272251125198</v>
      </c>
    </row>
    <row r="1157" spans="1:27" x14ac:dyDescent="0.25">
      <c r="A1157" s="7" t="str">
        <f t="shared" si="18"/>
        <v>3849Providence Willamette Falls Medical Center303053574300, SHORT STAY SURGICAL UNIT</v>
      </c>
      <c r="B1157" s="7"/>
      <c r="C1157" s="29" t="s">
        <v>1249</v>
      </c>
      <c r="D1157" s="29" t="s">
        <v>1249</v>
      </c>
      <c r="E1157" s="29" t="s">
        <v>1249</v>
      </c>
      <c r="F1157" s="29">
        <v>3849</v>
      </c>
      <c r="G1157" s="4" t="s">
        <v>1557</v>
      </c>
      <c r="H1157" s="5">
        <v>3030</v>
      </c>
      <c r="I1157" s="4" t="s">
        <v>80</v>
      </c>
      <c r="J1157" s="4" t="s">
        <v>47</v>
      </c>
      <c r="K1157" s="4" t="s">
        <v>1569</v>
      </c>
      <c r="L1157" s="4" t="s">
        <v>81</v>
      </c>
      <c r="M1157" s="39">
        <v>7712.7</v>
      </c>
      <c r="N1157" s="39">
        <f>706730/100</f>
        <v>7067.3</v>
      </c>
      <c r="O1157" s="38">
        <v>0.63639999999999997</v>
      </c>
      <c r="P1157" s="39">
        <v>3.25</v>
      </c>
      <c r="Q1157" s="39">
        <v>4.03</v>
      </c>
      <c r="R1157" s="38">
        <v>0.4</v>
      </c>
      <c r="S1157" s="40">
        <v>12</v>
      </c>
      <c r="T1157" s="39">
        <v>3.52</v>
      </c>
      <c r="U1157" s="39">
        <v>3.83</v>
      </c>
      <c r="V1157" s="39">
        <v>4.0599999999999996</v>
      </c>
      <c r="W1157" s="38">
        <v>0.85389999999999999</v>
      </c>
      <c r="X1157" s="39">
        <v>12.84</v>
      </c>
      <c r="Y1157" s="41">
        <v>74071.725870416994</v>
      </c>
      <c r="Z1157" s="39">
        <v>1393</v>
      </c>
      <c r="AA1157" s="39">
        <v>0.66766214516718303</v>
      </c>
    </row>
    <row r="1158" spans="1:27" x14ac:dyDescent="0.25">
      <c r="A1158" s="7" t="str">
        <f t="shared" si="18"/>
        <v>3849Providence Willamette Falls Medical Center341153576300, DIAGNOSTIC IMAGING</v>
      </c>
      <c r="B1158" s="7"/>
      <c r="C1158" s="29" t="s">
        <v>1249</v>
      </c>
      <c r="D1158" s="29" t="s">
        <v>1249</v>
      </c>
      <c r="E1158" s="29" t="s">
        <v>1249</v>
      </c>
      <c r="F1158" s="29">
        <v>3849</v>
      </c>
      <c r="G1158" s="4" t="s">
        <v>1557</v>
      </c>
      <c r="H1158" s="5">
        <v>3411</v>
      </c>
      <c r="I1158" s="4" t="s">
        <v>117</v>
      </c>
      <c r="J1158" s="4" t="s">
        <v>57</v>
      </c>
      <c r="K1158" s="4" t="s">
        <v>1571</v>
      </c>
      <c r="L1158" s="4" t="s">
        <v>99</v>
      </c>
      <c r="M1158" s="39">
        <v>24398.83</v>
      </c>
      <c r="N1158" s="39">
        <v>24910.36</v>
      </c>
      <c r="O1158" s="38">
        <v>0.53849999999999998</v>
      </c>
      <c r="P1158" s="39">
        <v>0.61</v>
      </c>
      <c r="Q1158" s="39">
        <v>0.68</v>
      </c>
      <c r="R1158" s="38">
        <v>0.36359999999999998</v>
      </c>
      <c r="S1158" s="40">
        <v>14</v>
      </c>
      <c r="T1158" s="39">
        <v>0.64</v>
      </c>
      <c r="U1158" s="39">
        <v>0.68</v>
      </c>
      <c r="V1158" s="39">
        <v>0.76</v>
      </c>
      <c r="W1158" s="38">
        <v>0.90090000000000003</v>
      </c>
      <c r="X1158" s="39">
        <v>9.08</v>
      </c>
      <c r="Y1158" s="41">
        <v>4696.9587229757499</v>
      </c>
      <c r="Z1158" s="39">
        <v>136</v>
      </c>
      <c r="AA1158" s="39">
        <v>6.510882180633E-2</v>
      </c>
    </row>
    <row r="1159" spans="1:27" x14ac:dyDescent="0.25">
      <c r="A1159" s="7" t="str">
        <f t="shared" si="18"/>
        <v>3849Providence Willamette Falls Medical Center623053506230, COMBO ALL STAFF EDUC (U,N)</v>
      </c>
      <c r="B1159" s="7"/>
      <c r="C1159" s="29" t="s">
        <v>1249</v>
      </c>
      <c r="D1159" s="29" t="s">
        <v>1249</v>
      </c>
      <c r="E1159" s="29" t="s">
        <v>1249</v>
      </c>
      <c r="F1159" s="29">
        <v>3849</v>
      </c>
      <c r="G1159" s="4" t="s">
        <v>1557</v>
      </c>
      <c r="H1159" s="5">
        <v>6230</v>
      </c>
      <c r="I1159" s="4" t="s">
        <v>284</v>
      </c>
      <c r="J1159" s="4" t="s">
        <v>21</v>
      </c>
      <c r="K1159" s="4" t="s">
        <v>1570</v>
      </c>
      <c r="L1159" s="4" t="s">
        <v>18</v>
      </c>
      <c r="M1159" s="39">
        <v>11107.16</v>
      </c>
      <c r="N1159" s="39">
        <v>11776.13</v>
      </c>
      <c r="O1159" s="38">
        <v>0.55959999999999999</v>
      </c>
      <c r="P1159" s="39">
        <v>0.51</v>
      </c>
      <c r="Q1159" s="39">
        <v>0.57999999999999996</v>
      </c>
      <c r="R1159" s="38">
        <v>0.55640000000000001</v>
      </c>
      <c r="S1159" s="40">
        <v>14</v>
      </c>
      <c r="T1159" s="39">
        <v>0.41</v>
      </c>
      <c r="U1159" s="39">
        <v>0.41</v>
      </c>
      <c r="V1159" s="39">
        <v>0.51</v>
      </c>
      <c r="W1159" s="38">
        <v>0.89649999999999996</v>
      </c>
      <c r="X1159" s="39">
        <v>3.68</v>
      </c>
      <c r="Y1159" s="41">
        <v>108526.402546443</v>
      </c>
      <c r="Z1159" s="39">
        <v>2290</v>
      </c>
      <c r="AA1159" s="39">
        <v>1.09783308060537</v>
      </c>
    </row>
    <row r="1160" spans="1:27" x14ac:dyDescent="0.25">
      <c r="A1160" s="7" t="str">
        <f t="shared" si="18"/>
        <v>3849Providence Willamette Falls Medical Center345053576700, ULTRASOUND</v>
      </c>
      <c r="B1160" s="7"/>
      <c r="C1160" s="29" t="s">
        <v>1249</v>
      </c>
      <c r="D1160" s="29" t="s">
        <v>1249</v>
      </c>
      <c r="E1160" s="29" t="s">
        <v>1249</v>
      </c>
      <c r="F1160" s="29">
        <v>3849</v>
      </c>
      <c r="G1160" s="4" t="s">
        <v>1557</v>
      </c>
      <c r="H1160" s="5">
        <v>3450</v>
      </c>
      <c r="I1160" s="4" t="s">
        <v>122</v>
      </c>
      <c r="J1160" s="4" t="s">
        <v>57</v>
      </c>
      <c r="K1160" s="4" t="s">
        <v>1573</v>
      </c>
      <c r="L1160" s="4" t="s">
        <v>99</v>
      </c>
      <c r="M1160" s="39">
        <v>16305.09</v>
      </c>
      <c r="N1160" s="39">
        <v>17090.89</v>
      </c>
      <c r="O1160" s="38">
        <v>0.64290000000000003</v>
      </c>
      <c r="P1160" s="39">
        <v>0.42</v>
      </c>
      <c r="Q1160" s="39">
        <v>0.44</v>
      </c>
      <c r="R1160" s="38">
        <v>0.1429</v>
      </c>
      <c r="S1160" s="40">
        <v>15</v>
      </c>
      <c r="T1160" s="39">
        <v>0.44</v>
      </c>
      <c r="U1160" s="39">
        <v>0.47</v>
      </c>
      <c r="V1160" s="39">
        <v>0.49</v>
      </c>
      <c r="W1160" s="38">
        <v>0.8972</v>
      </c>
      <c r="X1160" s="39">
        <v>3.99</v>
      </c>
      <c r="Y1160" s="41">
        <v>-31975.697568015301</v>
      </c>
      <c r="Z1160" s="39">
        <v>-631</v>
      </c>
      <c r="AA1160" s="39">
        <v>-0.30260997937016798</v>
      </c>
    </row>
    <row r="1161" spans="1:27" x14ac:dyDescent="0.25">
      <c r="A1161" s="7" t="str">
        <f t="shared" si="18"/>
        <v>3849Providence Willamette Falls Medical Center581053505810, SOCIAL WORK SVCS (U,N)</v>
      </c>
      <c r="B1161" s="7"/>
      <c r="C1161" s="29" t="s">
        <v>1249</v>
      </c>
      <c r="D1161" s="29" t="s">
        <v>1249</v>
      </c>
      <c r="E1161" s="29" t="s">
        <v>1249</v>
      </c>
      <c r="F1161" s="29">
        <v>3849</v>
      </c>
      <c r="G1161" s="4" t="s">
        <v>1557</v>
      </c>
      <c r="H1161" s="5">
        <v>5810</v>
      </c>
      <c r="I1161" s="4" t="s">
        <v>133</v>
      </c>
      <c r="J1161" s="4" t="s">
        <v>26</v>
      </c>
      <c r="K1161" s="4" t="s">
        <v>1572</v>
      </c>
      <c r="L1161" s="4" t="s">
        <v>134</v>
      </c>
      <c r="M1161" s="7"/>
      <c r="N1161" s="39">
        <v>2766</v>
      </c>
      <c r="O1161" s="38">
        <v>0.49790000000000001</v>
      </c>
      <c r="P1161" s="7"/>
      <c r="Q1161" s="39">
        <v>5.19</v>
      </c>
      <c r="R1161" s="38">
        <v>0.90410000000000001</v>
      </c>
      <c r="S1161" s="40">
        <v>15</v>
      </c>
      <c r="T1161" s="39">
        <v>2.09</v>
      </c>
      <c r="U1161" s="39">
        <v>2.19</v>
      </c>
      <c r="V1161" s="39">
        <v>2.4700000000000002</v>
      </c>
      <c r="W1161" s="38">
        <v>0.91349999999999998</v>
      </c>
      <c r="X1161" s="39">
        <v>7.55</v>
      </c>
      <c r="Y1161" s="41">
        <v>314594.56656791997</v>
      </c>
      <c r="Z1161" s="39">
        <v>9116</v>
      </c>
      <c r="AA1161" s="39">
        <v>4.3706678789250102</v>
      </c>
    </row>
    <row r="1162" spans="1:27" x14ac:dyDescent="0.25">
      <c r="A1162" s="7" t="str">
        <f t="shared" si="18"/>
        <v>3849Providence Willamette Falls Medical Center511253583400 PT_NON PT FOOD SVC</v>
      </c>
      <c r="B1162" s="7"/>
      <c r="C1162" s="29" t="s">
        <v>1249</v>
      </c>
      <c r="D1162" s="29" t="s">
        <v>1249</v>
      </c>
      <c r="E1162" s="29" t="s">
        <v>1249</v>
      </c>
      <c r="F1162" s="29">
        <v>3849</v>
      </c>
      <c r="G1162" s="4" t="s">
        <v>1557</v>
      </c>
      <c r="H1162" s="5">
        <v>5112</v>
      </c>
      <c r="I1162" s="4" t="s">
        <v>281</v>
      </c>
      <c r="J1162" s="4" t="s">
        <v>65</v>
      </c>
      <c r="K1162" s="4" t="s">
        <v>1574</v>
      </c>
      <c r="L1162" s="4" t="s">
        <v>282</v>
      </c>
      <c r="M1162" s="39">
        <v>319330.64</v>
      </c>
      <c r="N1162" s="39">
        <v>329667.56</v>
      </c>
      <c r="O1162" s="38">
        <v>0.64290000000000003</v>
      </c>
      <c r="P1162" s="39">
        <v>0.11</v>
      </c>
      <c r="Q1162" s="39">
        <v>0.12</v>
      </c>
      <c r="R1162" s="7"/>
      <c r="S1162" s="40">
        <v>15</v>
      </c>
      <c r="T1162" s="39">
        <v>0.16</v>
      </c>
      <c r="U1162" s="39">
        <v>0.17</v>
      </c>
      <c r="V1162" s="39">
        <v>0.17</v>
      </c>
      <c r="W1162" s="38">
        <v>0.92290000000000005</v>
      </c>
      <c r="X1162" s="39">
        <v>20.47</v>
      </c>
      <c r="Y1162" s="41">
        <v>-315070.89063141699</v>
      </c>
      <c r="Z1162" s="39">
        <v>-18031</v>
      </c>
      <c r="AA1162" s="39">
        <v>-8.6451242609892596</v>
      </c>
    </row>
    <row r="1163" spans="1:27" x14ac:dyDescent="0.25">
      <c r="A1163" s="7" t="str">
        <f t="shared" si="18"/>
        <v>3849Providence Willamette Falls Medical Center591053584200, SECURITY</v>
      </c>
      <c r="B1163" s="7"/>
      <c r="C1163" s="29" t="s">
        <v>1249</v>
      </c>
      <c r="D1163" s="29" t="s">
        <v>1249</v>
      </c>
      <c r="E1163" s="29" t="s">
        <v>1249</v>
      </c>
      <c r="F1163" s="29">
        <v>3849</v>
      </c>
      <c r="G1163" s="4" t="s">
        <v>1557</v>
      </c>
      <c r="H1163" s="5">
        <v>5910</v>
      </c>
      <c r="I1163" s="4" t="s">
        <v>139</v>
      </c>
      <c r="J1163" s="4" t="s">
        <v>136</v>
      </c>
      <c r="K1163" s="4" t="s">
        <v>1575</v>
      </c>
      <c r="L1163" s="4" t="s">
        <v>140</v>
      </c>
      <c r="M1163" s="39">
        <v>1202.8499999999999</v>
      </c>
      <c r="N1163" s="39">
        <v>1202.8499999999999</v>
      </c>
      <c r="O1163" s="38">
        <v>0.26669999999999999</v>
      </c>
      <c r="P1163" s="39">
        <v>14.82</v>
      </c>
      <c r="Q1163" s="39">
        <v>14.76</v>
      </c>
      <c r="R1163" s="38">
        <v>0.1875</v>
      </c>
      <c r="S1163" s="40">
        <v>16</v>
      </c>
      <c r="T1163" s="39">
        <v>15.47</v>
      </c>
      <c r="U1163" s="39">
        <v>16.54</v>
      </c>
      <c r="V1163" s="39">
        <v>19.239999999999998</v>
      </c>
      <c r="W1163" s="38">
        <v>0.92430000000000001</v>
      </c>
      <c r="X1163" s="39">
        <v>9.23</v>
      </c>
      <c r="Y1163" s="41">
        <v>-49376.439253102901</v>
      </c>
      <c r="Z1163" s="39">
        <v>-2274</v>
      </c>
      <c r="AA1163" s="39">
        <v>-1.0900590808491</v>
      </c>
    </row>
    <row r="1164" spans="1:27" x14ac:dyDescent="0.25">
      <c r="A1164" s="7" t="str">
        <f t="shared" si="18"/>
        <v>3849Providence Willamette Falls Medical Center521153584400, ENVIRONMENTAL SERVICES</v>
      </c>
      <c r="B1164" s="7"/>
      <c r="C1164" s="29" t="s">
        <v>1249</v>
      </c>
      <c r="D1164" s="29" t="s">
        <v>1249</v>
      </c>
      <c r="E1164" s="29" t="s">
        <v>1249</v>
      </c>
      <c r="F1164" s="29">
        <v>3849</v>
      </c>
      <c r="G1164" s="4" t="s">
        <v>1557</v>
      </c>
      <c r="H1164" s="5">
        <v>5211</v>
      </c>
      <c r="I1164" s="4" t="s">
        <v>50</v>
      </c>
      <c r="J1164" s="4" t="s">
        <v>50</v>
      </c>
      <c r="K1164" s="4" t="s">
        <v>1576</v>
      </c>
      <c r="L1164" s="4" t="s">
        <v>51</v>
      </c>
      <c r="M1164" s="39">
        <v>307.81</v>
      </c>
      <c r="N1164" s="39">
        <v>307.81</v>
      </c>
      <c r="O1164" s="38">
        <v>0.5333</v>
      </c>
      <c r="P1164" s="39">
        <v>109.21</v>
      </c>
      <c r="Q1164" s="39">
        <v>109.92</v>
      </c>
      <c r="R1164" s="38">
        <v>0</v>
      </c>
      <c r="S1164" s="40">
        <v>16</v>
      </c>
      <c r="T1164" s="39">
        <v>147.80000000000001</v>
      </c>
      <c r="U1164" s="39">
        <v>163.27000000000001</v>
      </c>
      <c r="V1164" s="39">
        <v>173.81</v>
      </c>
      <c r="W1164" s="38">
        <v>0.87270000000000003</v>
      </c>
      <c r="X1164" s="39">
        <v>18.64</v>
      </c>
      <c r="Y1164" s="41">
        <v>-307479.33838151098</v>
      </c>
      <c r="Z1164" s="39">
        <v>-18710</v>
      </c>
      <c r="AA1164" s="39">
        <v>-8.9703747037143806</v>
      </c>
    </row>
    <row r="1165" spans="1:27" x14ac:dyDescent="0.25">
      <c r="A1165" s="7" t="str">
        <f t="shared" si="18"/>
        <v>3849Providence Willamette Falls Medical Center349953576395, DIAGNOSTIC IMAGING ADM SUPPORT</v>
      </c>
      <c r="B1165" s="7"/>
      <c r="C1165" s="29" t="s">
        <v>1249</v>
      </c>
      <c r="D1165" s="29" t="s">
        <v>1249</v>
      </c>
      <c r="E1165" s="29" t="s">
        <v>1249</v>
      </c>
      <c r="F1165" s="29">
        <v>3849</v>
      </c>
      <c r="G1165" s="4" t="s">
        <v>1557</v>
      </c>
      <c r="H1165" s="5">
        <v>3499</v>
      </c>
      <c r="I1165" s="4" t="s">
        <v>56</v>
      </c>
      <c r="J1165" s="4" t="s">
        <v>57</v>
      </c>
      <c r="K1165" s="4" t="s">
        <v>1577</v>
      </c>
      <c r="L1165" s="4" t="s">
        <v>58</v>
      </c>
      <c r="M1165" s="39">
        <v>100162.54</v>
      </c>
      <c r="N1165" s="39">
        <v>103524.81</v>
      </c>
      <c r="O1165" s="38">
        <v>0.58819999999999995</v>
      </c>
      <c r="P1165" s="39">
        <v>0.08</v>
      </c>
      <c r="Q1165" s="39">
        <v>0.04</v>
      </c>
      <c r="R1165" s="38">
        <v>0.125</v>
      </c>
      <c r="S1165" s="40">
        <v>18</v>
      </c>
      <c r="T1165" s="39">
        <v>0.06</v>
      </c>
      <c r="U1165" s="39">
        <v>7.0000000000000007E-2</v>
      </c>
      <c r="V1165" s="39">
        <v>7.0000000000000007E-2</v>
      </c>
      <c r="W1165" s="38">
        <v>0.77470000000000006</v>
      </c>
      <c r="X1165" s="39">
        <v>2.71</v>
      </c>
      <c r="Y1165" s="41">
        <v>-125558.04345278299</v>
      </c>
      <c r="Z1165" s="39">
        <v>-3702</v>
      </c>
      <c r="AA1165" s="39">
        <v>-1.7749446227227099</v>
      </c>
    </row>
    <row r="1166" spans="1:27" x14ac:dyDescent="0.25">
      <c r="A1166" s="7" t="str">
        <f t="shared" si="18"/>
        <v>3849Providence Willamette Falls Medical Center343053576600, MRI</v>
      </c>
      <c r="B1166" s="7"/>
      <c r="C1166" s="29" t="s">
        <v>1249</v>
      </c>
      <c r="D1166" s="29" t="s">
        <v>1249</v>
      </c>
      <c r="E1166" s="29" t="s">
        <v>1249</v>
      </c>
      <c r="F1166" s="29">
        <v>3849</v>
      </c>
      <c r="G1166" s="4" t="s">
        <v>1557</v>
      </c>
      <c r="H1166" s="5">
        <v>3430</v>
      </c>
      <c r="I1166" s="4" t="s">
        <v>121</v>
      </c>
      <c r="J1166" s="4" t="s">
        <v>57</v>
      </c>
      <c r="K1166" s="4" t="s">
        <v>1578</v>
      </c>
      <c r="L1166" s="4" t="s">
        <v>99</v>
      </c>
      <c r="M1166" s="39">
        <v>13821.9</v>
      </c>
      <c r="N1166" s="39">
        <v>14394.51</v>
      </c>
      <c r="O1166" s="38">
        <v>0.61109999999999998</v>
      </c>
      <c r="P1166" s="39">
        <v>0.33</v>
      </c>
      <c r="Q1166" s="39">
        <v>0.33</v>
      </c>
      <c r="R1166" s="38">
        <v>0.66669999999999996</v>
      </c>
      <c r="S1166" s="40">
        <v>19</v>
      </c>
      <c r="T1166" s="39">
        <v>0.26</v>
      </c>
      <c r="U1166" s="39">
        <v>0.27</v>
      </c>
      <c r="V1166" s="39">
        <v>0.31</v>
      </c>
      <c r="W1166" s="38">
        <v>0.84419999999999995</v>
      </c>
      <c r="X1166" s="39">
        <v>2.73</v>
      </c>
      <c r="Y1166" s="41">
        <v>48182.054640685601</v>
      </c>
      <c r="Z1166" s="39">
        <v>1090</v>
      </c>
      <c r="AA1166" s="39">
        <v>0.52268933860004896</v>
      </c>
    </row>
    <row r="1167" spans="1:27" x14ac:dyDescent="0.25">
      <c r="A1167" s="7" t="str">
        <f t="shared" si="18"/>
        <v>3849Providence Willamette Falls Medical Center309953503099, SURG SVCS ADMIN (N)</v>
      </c>
      <c r="B1167" s="7"/>
      <c r="C1167" s="29" t="s">
        <v>1249</v>
      </c>
      <c r="D1167" s="29" t="s">
        <v>1249</v>
      </c>
      <c r="E1167" s="29" t="s">
        <v>1249</v>
      </c>
      <c r="F1167" s="29">
        <v>3849</v>
      </c>
      <c r="G1167" s="4" t="s">
        <v>1557</v>
      </c>
      <c r="H1167" s="5">
        <v>3099</v>
      </c>
      <c r="I1167" s="4" t="s">
        <v>46</v>
      </c>
      <c r="J1167" s="4" t="s">
        <v>47</v>
      </c>
      <c r="K1167" s="4" t="s">
        <v>1579</v>
      </c>
      <c r="L1167" s="4" t="s">
        <v>49</v>
      </c>
      <c r="M1167" s="39">
        <v>3971</v>
      </c>
      <c r="N1167" s="39">
        <v>4304</v>
      </c>
      <c r="O1167" s="38">
        <v>0.47370000000000001</v>
      </c>
      <c r="P1167" s="39">
        <v>3.11</v>
      </c>
      <c r="Q1167" s="39">
        <v>2.65</v>
      </c>
      <c r="R1167" s="38">
        <v>0.83330000000000004</v>
      </c>
      <c r="S1167" s="40">
        <v>20</v>
      </c>
      <c r="T1167" s="39">
        <v>1.21</v>
      </c>
      <c r="U1167" s="39">
        <v>1.4</v>
      </c>
      <c r="V1167" s="39">
        <v>1.79</v>
      </c>
      <c r="W1167" s="38">
        <v>0.88419999999999999</v>
      </c>
      <c r="X1167" s="39">
        <v>6.19</v>
      </c>
      <c r="Y1167" s="41">
        <v>215804.452389137</v>
      </c>
      <c r="Z1167" s="39">
        <v>6096</v>
      </c>
      <c r="AA1167" s="39">
        <v>2.9226327877371601</v>
      </c>
    </row>
    <row r="1168" spans="1:27" x14ac:dyDescent="0.25">
      <c r="A1168" s="7" t="str">
        <f t="shared" si="18"/>
        <v>3849Providence Willamette Falls Medical Center344053576390, MAMMOGRAPHY</v>
      </c>
      <c r="B1168" s="7"/>
      <c r="C1168" s="29" t="s">
        <v>1249</v>
      </c>
      <c r="D1168" s="29" t="s">
        <v>1249</v>
      </c>
      <c r="E1168" s="29" t="s">
        <v>1249</v>
      </c>
      <c r="F1168" s="29">
        <v>3849</v>
      </c>
      <c r="G1168" s="4" t="s">
        <v>1557</v>
      </c>
      <c r="H1168" s="5">
        <v>3440</v>
      </c>
      <c r="I1168" s="4" t="s">
        <v>119</v>
      </c>
      <c r="J1168" s="4" t="s">
        <v>57</v>
      </c>
      <c r="K1168" s="4" t="s">
        <v>1581</v>
      </c>
      <c r="L1168" s="4" t="s">
        <v>99</v>
      </c>
      <c r="M1168" s="39">
        <v>6371.56</v>
      </c>
      <c r="N1168" s="39">
        <v>8076.04</v>
      </c>
      <c r="O1168" s="38">
        <v>0.4</v>
      </c>
      <c r="P1168" s="39">
        <v>0.68</v>
      </c>
      <c r="Q1168" s="39">
        <v>0.56000000000000005</v>
      </c>
      <c r="R1168" s="38">
        <v>0.52939999999999998</v>
      </c>
      <c r="S1168" s="40">
        <v>21</v>
      </c>
      <c r="T1168" s="39">
        <v>0.49</v>
      </c>
      <c r="U1168" s="39">
        <v>0.51</v>
      </c>
      <c r="V1168" s="39">
        <v>0.54</v>
      </c>
      <c r="W1168" s="38">
        <v>0.92030000000000001</v>
      </c>
      <c r="X1168" s="39">
        <v>2.35</v>
      </c>
      <c r="Y1168" s="41">
        <v>15961.327443493499</v>
      </c>
      <c r="Z1168" s="39">
        <v>426</v>
      </c>
      <c r="AA1168" s="39">
        <v>0.20420922323384799</v>
      </c>
    </row>
    <row r="1169" spans="1:27" x14ac:dyDescent="0.25">
      <c r="A1169" s="7" t="str">
        <f t="shared" si="18"/>
        <v>3849Providence Willamette Falls Medical Center489953504899, REHAB ADMIN AND SUPPORT (U,N)</v>
      </c>
      <c r="B1169" s="7"/>
      <c r="C1169" s="29" t="s">
        <v>1249</v>
      </c>
      <c r="D1169" s="29" t="s">
        <v>1249</v>
      </c>
      <c r="E1169" s="29" t="s">
        <v>1249</v>
      </c>
      <c r="F1169" s="29">
        <v>3849</v>
      </c>
      <c r="G1169" s="4" t="s">
        <v>1557</v>
      </c>
      <c r="H1169" s="5">
        <v>4899</v>
      </c>
      <c r="I1169" s="4" t="s">
        <v>40</v>
      </c>
      <c r="J1169" s="4" t="s">
        <v>41</v>
      </c>
      <c r="K1169" s="4" t="s">
        <v>1580</v>
      </c>
      <c r="L1169" s="4" t="s">
        <v>43</v>
      </c>
      <c r="M1169" s="39">
        <v>1013.62</v>
      </c>
      <c r="N1169" s="39">
        <v>1512.7</v>
      </c>
      <c r="O1169" s="38">
        <v>0.51270000000000004</v>
      </c>
      <c r="P1169" s="39">
        <v>6.6</v>
      </c>
      <c r="Q1169" s="39">
        <v>4.66</v>
      </c>
      <c r="R1169" s="38">
        <v>0.68769999999999998</v>
      </c>
      <c r="S1169" s="40">
        <v>21</v>
      </c>
      <c r="T1169" s="39">
        <v>2.5299999999999998</v>
      </c>
      <c r="U1169" s="39">
        <v>3.02</v>
      </c>
      <c r="V1169" s="39">
        <v>3.68</v>
      </c>
      <c r="W1169" s="38">
        <v>0.90710000000000002</v>
      </c>
      <c r="X1169" s="39">
        <v>3.74</v>
      </c>
      <c r="Y1169" s="41">
        <v>64719.366821005802</v>
      </c>
      <c r="Z1169" s="39">
        <v>2764</v>
      </c>
      <c r="AA1169" s="39">
        <v>1.3253580481399101</v>
      </c>
    </row>
    <row r="1170" spans="1:27" x14ac:dyDescent="0.25">
      <c r="A1170" s="7" t="str">
        <f t="shared" si="18"/>
        <v>3849Providence Willamette Falls Medical Center481553577700, PHYSICAL THERAPY</v>
      </c>
      <c r="B1170" s="7"/>
      <c r="C1170" s="29" t="s">
        <v>1249</v>
      </c>
      <c r="D1170" s="29" t="s">
        <v>1249</v>
      </c>
      <c r="E1170" s="29" t="s">
        <v>1249</v>
      </c>
      <c r="F1170" s="29">
        <v>3849</v>
      </c>
      <c r="G1170" s="4" t="s">
        <v>1557</v>
      </c>
      <c r="H1170" s="5">
        <v>4815</v>
      </c>
      <c r="I1170" s="4" t="s">
        <v>280</v>
      </c>
      <c r="J1170" s="4" t="s">
        <v>41</v>
      </c>
      <c r="K1170" s="4" t="s">
        <v>1582</v>
      </c>
      <c r="L1170" s="4" t="s">
        <v>79</v>
      </c>
      <c r="M1170" s="39">
        <v>665.5</v>
      </c>
      <c r="N1170" s="39">
        <v>917.3</v>
      </c>
      <c r="O1170" s="38">
        <v>0.57140000000000002</v>
      </c>
      <c r="P1170" s="39">
        <v>27.16</v>
      </c>
      <c r="Q1170" s="39">
        <v>22.55</v>
      </c>
      <c r="R1170" s="38">
        <v>0.28570000000000001</v>
      </c>
      <c r="S1170" s="40">
        <v>22</v>
      </c>
      <c r="T1170" s="39">
        <v>22.25</v>
      </c>
      <c r="U1170" s="39">
        <v>23</v>
      </c>
      <c r="V1170" s="39">
        <v>24.07</v>
      </c>
      <c r="W1170" s="38">
        <v>0.88990000000000002</v>
      </c>
      <c r="X1170" s="39">
        <v>11.18</v>
      </c>
      <c r="Y1170" s="41">
        <v>-12925.2487219414</v>
      </c>
      <c r="Z1170" s="39">
        <v>-390</v>
      </c>
      <c r="AA1170" s="39">
        <v>-0.18700841791359801</v>
      </c>
    </row>
    <row r="1171" spans="1:27" x14ac:dyDescent="0.25">
      <c r="A1171" s="7" t="str">
        <f t="shared" si="18"/>
        <v>3849Providence Willamette Falls Medical Center201053570100, EMERGENCY SERVICES</v>
      </c>
      <c r="B1171" s="7"/>
      <c r="C1171" s="29" t="s">
        <v>1249</v>
      </c>
      <c r="D1171" s="29" t="s">
        <v>1249</v>
      </c>
      <c r="E1171" s="29" t="s">
        <v>1249</v>
      </c>
      <c r="F1171" s="29">
        <v>3849</v>
      </c>
      <c r="G1171" s="4" t="s">
        <v>1557</v>
      </c>
      <c r="H1171" s="5">
        <v>2010</v>
      </c>
      <c r="I1171" s="4" t="s">
        <v>75</v>
      </c>
      <c r="J1171" s="4" t="s">
        <v>76</v>
      </c>
      <c r="K1171" s="4" t="s">
        <v>1583</v>
      </c>
      <c r="L1171" s="4" t="s">
        <v>77</v>
      </c>
      <c r="M1171" s="39">
        <v>31413</v>
      </c>
      <c r="N1171" s="39">
        <v>31380</v>
      </c>
      <c r="O1171" s="38">
        <v>0.40910000000000002</v>
      </c>
      <c r="P1171" s="39">
        <v>2.48</v>
      </c>
      <c r="Q1171" s="39">
        <v>2.46</v>
      </c>
      <c r="R1171" s="38">
        <v>0.45450000000000002</v>
      </c>
      <c r="S1171" s="40">
        <v>23</v>
      </c>
      <c r="T1171" s="39">
        <v>2.2000000000000002</v>
      </c>
      <c r="U1171" s="39">
        <v>2.3199999999999998</v>
      </c>
      <c r="V1171" s="39">
        <v>2.48</v>
      </c>
      <c r="W1171" s="38">
        <v>0.90059999999999996</v>
      </c>
      <c r="X1171" s="39">
        <v>41.24</v>
      </c>
      <c r="Y1171" s="41">
        <v>221116.34528152499</v>
      </c>
      <c r="Z1171" s="39">
        <v>5178</v>
      </c>
      <c r="AA1171" s="39">
        <v>2.4823764285317602</v>
      </c>
    </row>
    <row r="1172" spans="1:27" x14ac:dyDescent="0.25">
      <c r="A1172" s="7" t="str">
        <f t="shared" si="18"/>
        <v>3849Providence Willamette Falls Medical Center181053577150, IV THERAPY</v>
      </c>
      <c r="B1172" s="7"/>
      <c r="C1172" s="29" t="s">
        <v>1249</v>
      </c>
      <c r="D1172" s="29" t="s">
        <v>1249</v>
      </c>
      <c r="E1172" s="29" t="s">
        <v>1249</v>
      </c>
      <c r="F1172" s="29">
        <v>3849</v>
      </c>
      <c r="G1172" s="4" t="s">
        <v>1557</v>
      </c>
      <c r="H1172" s="5">
        <v>1810</v>
      </c>
      <c r="I1172" s="4" t="s">
        <v>162</v>
      </c>
      <c r="J1172" s="4" t="s">
        <v>23</v>
      </c>
      <c r="K1172" s="4" t="s">
        <v>1585</v>
      </c>
      <c r="L1172" s="4" t="s">
        <v>163</v>
      </c>
      <c r="M1172" s="39">
        <v>245.73</v>
      </c>
      <c r="N1172" s="39">
        <v>11.86</v>
      </c>
      <c r="O1172" s="38">
        <v>0.56520000000000004</v>
      </c>
      <c r="P1172" s="39">
        <v>28.34</v>
      </c>
      <c r="Q1172" s="39">
        <v>565.24</v>
      </c>
      <c r="R1172" s="38">
        <v>0.30430000000000001</v>
      </c>
      <c r="S1172" s="40">
        <v>24</v>
      </c>
      <c r="T1172" s="39">
        <v>507.07</v>
      </c>
      <c r="U1172" s="39">
        <v>612.88</v>
      </c>
      <c r="V1172" s="39">
        <v>952.16</v>
      </c>
      <c r="W1172" s="38">
        <v>0.88680000000000003</v>
      </c>
      <c r="X1172" s="39">
        <v>3.63</v>
      </c>
      <c r="Y1172" s="41">
        <v>-32053.322925591401</v>
      </c>
      <c r="Z1172" s="39">
        <v>-626</v>
      </c>
      <c r="AA1172" s="39">
        <v>-0.29991007411791298</v>
      </c>
    </row>
    <row r="1173" spans="1:27" x14ac:dyDescent="0.25">
      <c r="A1173" s="7" t="str">
        <f t="shared" si="18"/>
        <v>3849Providence Willamette Falls Medical Center121053561700, MEDICAL SURGICAL</v>
      </c>
      <c r="B1173" s="7"/>
      <c r="C1173" s="29" t="s">
        <v>1249</v>
      </c>
      <c r="D1173" s="29" t="s">
        <v>1249</v>
      </c>
      <c r="E1173" s="29" t="s">
        <v>1249</v>
      </c>
      <c r="F1173" s="29">
        <v>3849</v>
      </c>
      <c r="G1173" s="4" t="s">
        <v>1557</v>
      </c>
      <c r="H1173" s="5">
        <v>1210</v>
      </c>
      <c r="I1173" s="4" t="s">
        <v>147</v>
      </c>
      <c r="J1173" s="4" t="s">
        <v>23</v>
      </c>
      <c r="K1173" s="4" t="s">
        <v>1584</v>
      </c>
      <c r="L1173" s="4" t="s">
        <v>74</v>
      </c>
      <c r="M1173" s="39">
        <v>9917.25</v>
      </c>
      <c r="N1173" s="39">
        <v>10406</v>
      </c>
      <c r="O1173" s="38">
        <v>0.69569999999999999</v>
      </c>
      <c r="P1173" s="39">
        <v>11.53</v>
      </c>
      <c r="Q1173" s="39">
        <v>11.62</v>
      </c>
      <c r="R1173" s="38">
        <v>0.81820000000000004</v>
      </c>
      <c r="S1173" s="40">
        <v>24</v>
      </c>
      <c r="T1173" s="39">
        <v>9.5399999999999991</v>
      </c>
      <c r="U1173" s="39">
        <v>9.69</v>
      </c>
      <c r="V1173" s="39">
        <v>10.17</v>
      </c>
      <c r="W1173" s="38">
        <v>0.90210000000000001</v>
      </c>
      <c r="X1173" s="39">
        <v>64.430000000000007</v>
      </c>
      <c r="Y1173" s="41">
        <v>933671.93286217598</v>
      </c>
      <c r="Z1173" s="39">
        <v>22605</v>
      </c>
      <c r="AA1173" s="39">
        <v>10.8378630420438</v>
      </c>
    </row>
    <row r="1174" spans="1:27" x14ac:dyDescent="0.25">
      <c r="A1174" s="7" t="str">
        <f t="shared" si="18"/>
        <v>3849Providence Willamette Falls Medical Center302053574270, PACU</v>
      </c>
      <c r="B1174" s="7"/>
      <c r="C1174" s="29" t="s">
        <v>1249</v>
      </c>
      <c r="D1174" s="29" t="s">
        <v>1249</v>
      </c>
      <c r="E1174" s="29" t="s">
        <v>1249</v>
      </c>
      <c r="F1174" s="29">
        <v>3849</v>
      </c>
      <c r="G1174" s="4" t="s">
        <v>1557</v>
      </c>
      <c r="H1174" s="5">
        <v>3020</v>
      </c>
      <c r="I1174" s="4" t="s">
        <v>89</v>
      </c>
      <c r="J1174" s="4" t="s">
        <v>47</v>
      </c>
      <c r="K1174" s="4" t="s">
        <v>1587</v>
      </c>
      <c r="L1174" s="4" t="s">
        <v>90</v>
      </c>
      <c r="M1174" s="39">
        <v>2803.5</v>
      </c>
      <c r="N1174" s="39">
        <v>5104.04</v>
      </c>
      <c r="O1174" s="38">
        <v>0.58620000000000005</v>
      </c>
      <c r="P1174" s="39">
        <v>3.89</v>
      </c>
      <c r="Q1174" s="39">
        <v>2.13</v>
      </c>
      <c r="R1174" s="38">
        <v>3.6999999999999998E-2</v>
      </c>
      <c r="S1174" s="40">
        <v>30</v>
      </c>
      <c r="T1174" s="39">
        <v>3.01</v>
      </c>
      <c r="U1174" s="39">
        <v>3.16</v>
      </c>
      <c r="V1174" s="39">
        <v>3.43</v>
      </c>
      <c r="W1174" s="38">
        <v>0.85580000000000001</v>
      </c>
      <c r="X1174" s="39">
        <v>6.12</v>
      </c>
      <c r="Y1174" s="41">
        <v>-357695.418307285</v>
      </c>
      <c r="Z1174" s="39">
        <v>-6082</v>
      </c>
      <c r="AA1174" s="39">
        <v>-2.9160167769255199</v>
      </c>
    </row>
    <row r="1175" spans="1:27" x14ac:dyDescent="0.25">
      <c r="A1175" s="7" t="str">
        <f t="shared" si="18"/>
        <v>3849Providence Willamette Falls Medical Center441053577100, PHARMACY</v>
      </c>
      <c r="B1175" s="7"/>
      <c r="C1175" s="29" t="s">
        <v>1249</v>
      </c>
      <c r="D1175" s="29" t="s">
        <v>1249</v>
      </c>
      <c r="E1175" s="29" t="s">
        <v>1249</v>
      </c>
      <c r="F1175" s="29">
        <v>3849</v>
      </c>
      <c r="G1175" s="4" t="s">
        <v>1557</v>
      </c>
      <c r="H1175" s="5">
        <v>4410</v>
      </c>
      <c r="I1175" s="4" t="s">
        <v>37</v>
      </c>
      <c r="J1175" s="4" t="s">
        <v>37</v>
      </c>
      <c r="K1175" s="4" t="s">
        <v>1586</v>
      </c>
      <c r="L1175" s="4" t="s">
        <v>100</v>
      </c>
      <c r="M1175" s="39">
        <v>11133.88</v>
      </c>
      <c r="N1175" s="39">
        <v>11907.29</v>
      </c>
      <c r="O1175" s="38">
        <v>0.55169999999999997</v>
      </c>
      <c r="P1175" s="39">
        <v>1.74</v>
      </c>
      <c r="Q1175" s="39">
        <v>1.77</v>
      </c>
      <c r="R1175" s="38">
        <v>0.1852</v>
      </c>
      <c r="S1175" s="40">
        <v>30</v>
      </c>
      <c r="T1175" s="39">
        <v>1.78</v>
      </c>
      <c r="U1175" s="39">
        <v>1.95</v>
      </c>
      <c r="V1175" s="39">
        <v>2.0699999999999998</v>
      </c>
      <c r="W1175" s="38">
        <v>0.9052</v>
      </c>
      <c r="X1175" s="39">
        <v>11.2</v>
      </c>
      <c r="Y1175" s="41">
        <v>-93675.154804763704</v>
      </c>
      <c r="Z1175" s="39">
        <v>-2291</v>
      </c>
      <c r="AA1175" s="39">
        <v>-1.0984719760473201</v>
      </c>
    </row>
    <row r="1176" spans="1:27" x14ac:dyDescent="0.25">
      <c r="A1176" s="7" t="str">
        <f t="shared" si="18"/>
        <v>3849Providence Willamette Falls Medical Center301153574200, SURGICAL SERVICES</v>
      </c>
      <c r="B1176" s="7"/>
      <c r="C1176" s="29" t="s">
        <v>1249</v>
      </c>
      <c r="D1176" s="29" t="s">
        <v>1249</v>
      </c>
      <c r="E1176" s="29" t="s">
        <v>1249</v>
      </c>
      <c r="F1176" s="29">
        <v>3849</v>
      </c>
      <c r="G1176" s="4" t="s">
        <v>1557</v>
      </c>
      <c r="H1176" s="5">
        <v>3011</v>
      </c>
      <c r="I1176" s="4" t="s">
        <v>87</v>
      </c>
      <c r="J1176" s="4" t="s">
        <v>47</v>
      </c>
      <c r="K1176" s="4" t="s">
        <v>1588</v>
      </c>
      <c r="L1176" s="4" t="s">
        <v>88</v>
      </c>
      <c r="M1176" s="39">
        <v>3699.6</v>
      </c>
      <c r="N1176" s="39">
        <v>7600.04</v>
      </c>
      <c r="O1176" s="38">
        <v>0.54759999999999998</v>
      </c>
      <c r="P1176" s="39">
        <v>12.35</v>
      </c>
      <c r="Q1176" s="39">
        <v>6.19</v>
      </c>
      <c r="R1176" s="7"/>
      <c r="S1176" s="40">
        <v>43</v>
      </c>
      <c r="T1176" s="39">
        <v>10.62</v>
      </c>
      <c r="U1176" s="39">
        <v>10.75</v>
      </c>
      <c r="V1176" s="39">
        <v>11.61</v>
      </c>
      <c r="W1176" s="38">
        <v>0.87009999999999998</v>
      </c>
      <c r="X1176" s="39">
        <v>26</v>
      </c>
      <c r="Y1176" s="41">
        <v>-1579800.0939918901</v>
      </c>
      <c r="Z1176" s="39">
        <v>-39670</v>
      </c>
      <c r="AA1176" s="39">
        <v>-19.019776279118801</v>
      </c>
    </row>
    <row r="1177" spans="1:27" x14ac:dyDescent="0.25">
      <c r="A1177" s="7" t="str">
        <f t="shared" si="18"/>
        <v>3930Swedish Ballard5608Centralized Scheduling (N)</v>
      </c>
      <c r="B1177" s="7"/>
      <c r="C1177" s="29" t="s">
        <v>185</v>
      </c>
      <c r="D1177" s="29" t="s">
        <v>521</v>
      </c>
      <c r="E1177" s="29" t="s">
        <v>186</v>
      </c>
      <c r="F1177" s="29">
        <v>3930</v>
      </c>
      <c r="G1177" s="4" t="s">
        <v>720</v>
      </c>
      <c r="H1177" s="5">
        <v>5608</v>
      </c>
      <c r="I1177" s="4" t="s">
        <v>257</v>
      </c>
      <c r="J1177" s="4" t="s">
        <v>12</v>
      </c>
      <c r="K1177" s="4" t="s">
        <v>597</v>
      </c>
      <c r="L1177" s="4" t="s">
        <v>18</v>
      </c>
      <c r="M1177" s="6">
        <v>8697.11</v>
      </c>
      <c r="N1177" s="6">
        <v>8252.66</v>
      </c>
      <c r="O1177" s="19">
        <v>0.1429</v>
      </c>
      <c r="P1177" s="6">
        <v>1.64</v>
      </c>
      <c r="Q1177" s="6">
        <v>1.4</v>
      </c>
      <c r="R1177" s="19">
        <v>0.85709999999999997</v>
      </c>
      <c r="S1177" s="20">
        <v>8</v>
      </c>
      <c r="T1177" s="6">
        <v>0.74</v>
      </c>
      <c r="U1177" s="6">
        <v>0.98</v>
      </c>
      <c r="V1177" s="6">
        <v>1.2</v>
      </c>
      <c r="W1177" s="19">
        <v>0.88859999999999995</v>
      </c>
      <c r="X1177" s="6">
        <v>6.27</v>
      </c>
      <c r="Y1177" s="21">
        <v>109289.34037119499</v>
      </c>
      <c r="Z1177" s="6">
        <v>3976</v>
      </c>
      <c r="AA1177" s="6">
        <v>1.90622973458127</v>
      </c>
    </row>
    <row r="1178" spans="1:27" x14ac:dyDescent="0.25">
      <c r="A1178" s="7" t="str">
        <f t="shared" si="18"/>
        <v>3930Swedish Ballard181021577158 INTRAVENOUS NURSES</v>
      </c>
      <c r="B1178" s="7"/>
      <c r="C1178" s="29" t="s">
        <v>185</v>
      </c>
      <c r="D1178" s="29" t="s">
        <v>521</v>
      </c>
      <c r="E1178" s="29" t="s">
        <v>186</v>
      </c>
      <c r="F1178" s="29">
        <v>3930</v>
      </c>
      <c r="G1178" s="4" t="s">
        <v>720</v>
      </c>
      <c r="H1178" s="5">
        <v>1810</v>
      </c>
      <c r="I1178" s="4" t="s">
        <v>162</v>
      </c>
      <c r="J1178" s="4" t="s">
        <v>23</v>
      </c>
      <c r="K1178" s="4" t="s">
        <v>732</v>
      </c>
      <c r="L1178" s="4" t="s">
        <v>163</v>
      </c>
      <c r="M1178" s="6">
        <v>0.28999999999999998</v>
      </c>
      <c r="N1178" s="6">
        <v>0.73</v>
      </c>
      <c r="O1178" s="7"/>
      <c r="P1178" s="6">
        <v>12703.59</v>
      </c>
      <c r="Q1178" s="6">
        <v>5604.69</v>
      </c>
      <c r="R1178" s="19">
        <v>1</v>
      </c>
      <c r="S1178" s="20">
        <v>8</v>
      </c>
      <c r="T1178" s="6">
        <v>447.86</v>
      </c>
      <c r="U1178" s="6">
        <v>511.05</v>
      </c>
      <c r="V1178" s="6">
        <v>565.24</v>
      </c>
      <c r="W1178" s="19">
        <v>0.8508</v>
      </c>
      <c r="X1178" s="6">
        <v>2.31</v>
      </c>
      <c r="Y1178" s="21">
        <v>232903.39509105301</v>
      </c>
      <c r="Z1178" s="6">
        <v>4379</v>
      </c>
      <c r="AA1178" s="6">
        <v>2.0997640748375002</v>
      </c>
    </row>
    <row r="1179" spans="1:27" x14ac:dyDescent="0.25">
      <c r="A1179" s="7" t="str">
        <f t="shared" si="18"/>
        <v>3930Swedish Ballard487121577708 IP REHAB SERVICES</v>
      </c>
      <c r="B1179" s="7"/>
      <c r="C1179" s="29" t="s">
        <v>185</v>
      </c>
      <c r="D1179" s="29" t="s">
        <v>521</v>
      </c>
      <c r="E1179" s="29" t="s">
        <v>186</v>
      </c>
      <c r="F1179" s="29">
        <v>3930</v>
      </c>
      <c r="G1179" s="4" t="s">
        <v>720</v>
      </c>
      <c r="H1179" s="5">
        <v>4871</v>
      </c>
      <c r="I1179" s="4" t="s">
        <v>196</v>
      </c>
      <c r="J1179" s="4" t="s">
        <v>41</v>
      </c>
      <c r="K1179" s="4" t="s">
        <v>733</v>
      </c>
      <c r="L1179" s="4" t="s">
        <v>79</v>
      </c>
      <c r="M1179" s="6">
        <v>236.03</v>
      </c>
      <c r="N1179" s="6">
        <v>231.77</v>
      </c>
      <c r="O1179" s="19">
        <v>0.5</v>
      </c>
      <c r="P1179" s="6">
        <v>26.1</v>
      </c>
      <c r="Q1179" s="6">
        <v>26.4</v>
      </c>
      <c r="R1179" s="19">
        <v>8.3299999999999999E-2</v>
      </c>
      <c r="S1179" s="20">
        <v>9</v>
      </c>
      <c r="T1179" s="6">
        <v>29.07</v>
      </c>
      <c r="U1179" s="6">
        <v>34.24</v>
      </c>
      <c r="V1179" s="6">
        <v>44.46</v>
      </c>
      <c r="W1179" s="19">
        <v>0.89959999999999996</v>
      </c>
      <c r="X1179" s="6">
        <v>3.27</v>
      </c>
      <c r="Y1179" s="21">
        <v>-91783.456063741498</v>
      </c>
      <c r="Z1179" s="6">
        <v>-2001</v>
      </c>
      <c r="AA1179" s="6">
        <v>-0.95950642343308301</v>
      </c>
    </row>
    <row r="1180" spans="1:27" x14ac:dyDescent="0.25">
      <c r="A1180" s="7" t="str">
        <f t="shared" si="18"/>
        <v>3930Swedish Ballard3499Imaging Services Administration (N)</v>
      </c>
      <c r="B1180" s="7"/>
      <c r="C1180" s="29" t="s">
        <v>185</v>
      </c>
      <c r="D1180" s="29" t="s">
        <v>521</v>
      </c>
      <c r="E1180" s="29" t="s">
        <v>186</v>
      </c>
      <c r="F1180" s="29">
        <v>3930</v>
      </c>
      <c r="G1180" s="4" t="s">
        <v>720</v>
      </c>
      <c r="H1180" s="5">
        <v>3499</v>
      </c>
      <c r="I1180" s="4" t="s">
        <v>56</v>
      </c>
      <c r="J1180" s="4" t="s">
        <v>57</v>
      </c>
      <c r="K1180" s="4" t="s">
        <v>351</v>
      </c>
      <c r="L1180" s="4" t="s">
        <v>58</v>
      </c>
      <c r="M1180" s="6">
        <v>79264.710000000006</v>
      </c>
      <c r="N1180" s="6">
        <v>87903.26</v>
      </c>
      <c r="O1180" s="19">
        <v>0.5</v>
      </c>
      <c r="P1180" s="6">
        <v>7.0000000000000007E-2</v>
      </c>
      <c r="Q1180" s="6">
        <v>0.05</v>
      </c>
      <c r="R1180" s="19">
        <v>0.1111</v>
      </c>
      <c r="S1180" s="20">
        <v>11</v>
      </c>
      <c r="T1180" s="6">
        <v>0.05</v>
      </c>
      <c r="U1180" s="6">
        <v>0.06</v>
      </c>
      <c r="V1180" s="6">
        <v>7.0000000000000007E-2</v>
      </c>
      <c r="W1180" s="19">
        <v>0.89339999999999997</v>
      </c>
      <c r="X1180" s="6">
        <v>2.2200000000000002</v>
      </c>
      <c r="Y1180" s="21">
        <v>-51158.712768411402</v>
      </c>
      <c r="Z1180" s="6">
        <v>-1273</v>
      </c>
      <c r="AA1180" s="6">
        <v>-0.61046926119731804</v>
      </c>
    </row>
    <row r="1181" spans="1:27" x14ac:dyDescent="0.25">
      <c r="A1181" s="7" t="str">
        <f t="shared" si="18"/>
        <v>3930Swedish Ballard191021587202 NURSING SUPERVISORS</v>
      </c>
      <c r="B1181" s="7"/>
      <c r="C1181" s="29" t="s">
        <v>185</v>
      </c>
      <c r="D1181" s="29" t="s">
        <v>521</v>
      </c>
      <c r="E1181" s="29" t="s">
        <v>186</v>
      </c>
      <c r="F1181" s="29">
        <v>3930</v>
      </c>
      <c r="G1181" s="4" t="s">
        <v>720</v>
      </c>
      <c r="H1181" s="5">
        <v>1910</v>
      </c>
      <c r="I1181" s="4" t="s">
        <v>34</v>
      </c>
      <c r="J1181" s="4" t="s">
        <v>23</v>
      </c>
      <c r="K1181" s="4" t="s">
        <v>740</v>
      </c>
      <c r="L1181" s="4" t="s">
        <v>35</v>
      </c>
      <c r="M1181" s="6">
        <v>174</v>
      </c>
      <c r="N1181" s="6">
        <v>175</v>
      </c>
      <c r="O1181" s="19">
        <v>0.3846</v>
      </c>
      <c r="P1181" s="6">
        <v>86.77</v>
      </c>
      <c r="Q1181" s="6">
        <v>98.73</v>
      </c>
      <c r="R1181" s="19">
        <v>0.44</v>
      </c>
      <c r="S1181" s="20">
        <v>14</v>
      </c>
      <c r="T1181" s="6">
        <v>89.37</v>
      </c>
      <c r="U1181" s="6">
        <v>94.92</v>
      </c>
      <c r="V1181" s="6">
        <v>115</v>
      </c>
      <c r="W1181" s="19">
        <v>0.86860000000000004</v>
      </c>
      <c r="X1181" s="6">
        <v>7.27</v>
      </c>
      <c r="Y1181" s="21">
        <v>-227791.165185152</v>
      </c>
      <c r="Z1181" s="6">
        <v>-3961</v>
      </c>
      <c r="AA1181" s="6">
        <v>-1.89904516662486</v>
      </c>
    </row>
    <row r="1182" spans="1:27" x14ac:dyDescent="0.25">
      <c r="A1182" s="7" t="str">
        <f t="shared" si="18"/>
        <v>3930Swedish Ballard136021572200 ADDICTION RECOVERY CLINIC</v>
      </c>
      <c r="B1182" s="7"/>
      <c r="C1182" s="29" t="s">
        <v>185</v>
      </c>
      <c r="D1182" s="29" t="s">
        <v>521</v>
      </c>
      <c r="E1182" s="29" t="s">
        <v>186</v>
      </c>
      <c r="F1182" s="29">
        <v>3930</v>
      </c>
      <c r="G1182" s="4" t="s">
        <v>720</v>
      </c>
      <c r="H1182" s="5">
        <v>1360</v>
      </c>
      <c r="I1182" s="4" t="s">
        <v>189</v>
      </c>
      <c r="J1182" s="4" t="s">
        <v>23</v>
      </c>
      <c r="K1182" s="4" t="s">
        <v>722</v>
      </c>
      <c r="L1182" s="4" t="s">
        <v>114</v>
      </c>
      <c r="M1182" s="6">
        <v>8879</v>
      </c>
      <c r="N1182" s="6">
        <v>8786</v>
      </c>
      <c r="O1182" s="19">
        <v>0.92859999999999998</v>
      </c>
      <c r="P1182" s="6">
        <v>8.35</v>
      </c>
      <c r="Q1182" s="6">
        <v>8.3800000000000008</v>
      </c>
      <c r="R1182" s="19">
        <v>0.42859999999999998</v>
      </c>
      <c r="S1182" s="20">
        <v>15</v>
      </c>
      <c r="T1182" s="6">
        <v>6.65</v>
      </c>
      <c r="U1182" s="6">
        <v>7.39</v>
      </c>
      <c r="V1182" s="6">
        <v>8.41</v>
      </c>
      <c r="W1182" s="19">
        <v>0.89200000000000002</v>
      </c>
      <c r="X1182" s="6">
        <v>39.659999999999997</v>
      </c>
      <c r="Y1182" s="21">
        <v>422902.01936595002</v>
      </c>
      <c r="Z1182" s="6">
        <v>9929</v>
      </c>
      <c r="AA1182" s="6">
        <v>4.76052114430294</v>
      </c>
    </row>
    <row r="1183" spans="1:27" x14ac:dyDescent="0.25">
      <c r="A1183" s="7" t="str">
        <f t="shared" si="18"/>
        <v>3930Swedish Ballard127021563800 FAMILY CHILDBIRTH CENTER</v>
      </c>
      <c r="B1183" s="7"/>
      <c r="C1183" s="29" t="s">
        <v>185</v>
      </c>
      <c r="D1183" s="29" t="s">
        <v>521</v>
      </c>
      <c r="E1183" s="29" t="s">
        <v>186</v>
      </c>
      <c r="F1183" s="29">
        <v>3930</v>
      </c>
      <c r="G1183" s="4" t="s">
        <v>720</v>
      </c>
      <c r="H1183" s="5">
        <v>1270</v>
      </c>
      <c r="I1183" s="4" t="s">
        <v>199</v>
      </c>
      <c r="J1183" s="4" t="s">
        <v>23</v>
      </c>
      <c r="K1183" s="4" t="s">
        <v>729</v>
      </c>
      <c r="L1183" s="4" t="s">
        <v>86</v>
      </c>
      <c r="M1183" s="6">
        <v>1114</v>
      </c>
      <c r="N1183" s="6">
        <v>1210</v>
      </c>
      <c r="O1183" s="19">
        <v>0.5333</v>
      </c>
      <c r="P1183" s="6">
        <v>57.64</v>
      </c>
      <c r="Q1183" s="6">
        <v>55.46</v>
      </c>
      <c r="R1183" s="19">
        <v>7.1400000000000005E-2</v>
      </c>
      <c r="S1183" s="20">
        <v>16</v>
      </c>
      <c r="T1183" s="6">
        <v>59.96</v>
      </c>
      <c r="U1183" s="6">
        <v>62.78</v>
      </c>
      <c r="V1183" s="6">
        <v>68.69</v>
      </c>
      <c r="W1183" s="19">
        <v>0.88570000000000004</v>
      </c>
      <c r="X1183" s="6">
        <v>36.43</v>
      </c>
      <c r="Y1183" s="21">
        <v>-513453.73325784702</v>
      </c>
      <c r="Z1183" s="6">
        <v>-9785</v>
      </c>
      <c r="AA1183" s="6">
        <v>-4.6914287688977696</v>
      </c>
    </row>
    <row r="1184" spans="1:27" x14ac:dyDescent="0.25">
      <c r="A1184" s="7" t="str">
        <f t="shared" si="18"/>
        <v>3930Swedish Ballard223521570700 FAMILY MEDICINE CLINIC</v>
      </c>
      <c r="B1184" s="7"/>
      <c r="C1184" s="29" t="s">
        <v>185</v>
      </c>
      <c r="D1184" s="29" t="s">
        <v>521</v>
      </c>
      <c r="E1184" s="29" t="s">
        <v>186</v>
      </c>
      <c r="F1184" s="29">
        <v>3930</v>
      </c>
      <c r="G1184" s="4" t="s">
        <v>720</v>
      </c>
      <c r="H1184" s="5">
        <v>2235</v>
      </c>
      <c r="I1184" s="4" t="s">
        <v>177</v>
      </c>
      <c r="J1184" s="4" t="s">
        <v>176</v>
      </c>
      <c r="K1184" s="4" t="s">
        <v>721</v>
      </c>
      <c r="L1184" s="4" t="s">
        <v>77</v>
      </c>
      <c r="M1184" s="6">
        <v>11439</v>
      </c>
      <c r="N1184" s="6">
        <v>13599</v>
      </c>
      <c r="O1184" s="19">
        <v>0.625</v>
      </c>
      <c r="P1184" s="6">
        <v>0.7</v>
      </c>
      <c r="Q1184" s="6">
        <v>0.53</v>
      </c>
      <c r="R1184" s="19">
        <v>0</v>
      </c>
      <c r="S1184" s="20">
        <v>17</v>
      </c>
      <c r="T1184" s="6">
        <v>0.83</v>
      </c>
      <c r="U1184" s="6">
        <v>0.87</v>
      </c>
      <c r="V1184" s="6">
        <v>0.96</v>
      </c>
      <c r="W1184" s="19">
        <v>0.89459999999999995</v>
      </c>
      <c r="X1184" s="6">
        <v>3.9</v>
      </c>
      <c r="Y1184" s="21">
        <v>-177719.11649133699</v>
      </c>
      <c r="Z1184" s="6">
        <v>-5091</v>
      </c>
      <c r="AA1184" s="6">
        <v>-2.44082097224475</v>
      </c>
    </row>
    <row r="1185" spans="1:27" x14ac:dyDescent="0.25">
      <c r="A1185" s="7" t="str">
        <f t="shared" si="18"/>
        <v>3930Swedish Ballard411021577200 RESPIRATORY THERAPY</v>
      </c>
      <c r="B1185" s="7"/>
      <c r="C1185" s="29" t="s">
        <v>185</v>
      </c>
      <c r="D1185" s="29" t="s">
        <v>521</v>
      </c>
      <c r="E1185" s="29" t="s">
        <v>186</v>
      </c>
      <c r="F1185" s="29">
        <v>3930</v>
      </c>
      <c r="G1185" s="4" t="s">
        <v>720</v>
      </c>
      <c r="H1185" s="5">
        <v>4110</v>
      </c>
      <c r="I1185" s="4" t="s">
        <v>145</v>
      </c>
      <c r="J1185" s="4" t="s">
        <v>44</v>
      </c>
      <c r="K1185" s="4" t="s">
        <v>741</v>
      </c>
      <c r="L1185" s="4" t="s">
        <v>45</v>
      </c>
      <c r="M1185" s="6">
        <v>4639.47</v>
      </c>
      <c r="N1185" s="6">
        <v>4887.6899999999996</v>
      </c>
      <c r="O1185" s="19">
        <v>0.35289999999999999</v>
      </c>
      <c r="P1185" s="6">
        <v>1.91</v>
      </c>
      <c r="Q1185" s="6">
        <v>1.82</v>
      </c>
      <c r="R1185" s="19">
        <v>5.8799999999999998E-2</v>
      </c>
      <c r="S1185" s="20">
        <v>18</v>
      </c>
      <c r="T1185" s="6">
        <v>2.54</v>
      </c>
      <c r="U1185" s="6">
        <v>3.25</v>
      </c>
      <c r="V1185" s="6">
        <v>4.05</v>
      </c>
      <c r="W1185" s="19">
        <v>0.90590000000000004</v>
      </c>
      <c r="X1185" s="6">
        <v>4.71</v>
      </c>
      <c r="Y1185" s="21">
        <v>-408641.45538373501</v>
      </c>
      <c r="Z1185" s="6">
        <v>-7711</v>
      </c>
      <c r="AA1185" s="6">
        <v>-3.6972684180302</v>
      </c>
    </row>
    <row r="1186" spans="1:27" x14ac:dyDescent="0.25">
      <c r="A1186" s="7" t="str">
        <f t="shared" si="18"/>
        <v>3930Swedish Ballard591021584200 SECURITY</v>
      </c>
      <c r="B1186" s="7"/>
      <c r="C1186" s="29" t="s">
        <v>185</v>
      </c>
      <c r="D1186" s="29" t="s">
        <v>521</v>
      </c>
      <c r="E1186" s="29" t="s">
        <v>186</v>
      </c>
      <c r="F1186" s="29">
        <v>3930</v>
      </c>
      <c r="G1186" s="4" t="s">
        <v>720</v>
      </c>
      <c r="H1186" s="5">
        <v>5910</v>
      </c>
      <c r="I1186" s="4" t="s">
        <v>139</v>
      </c>
      <c r="J1186" s="4" t="s">
        <v>136</v>
      </c>
      <c r="K1186" s="4" t="s">
        <v>736</v>
      </c>
      <c r="L1186" s="4" t="s">
        <v>140</v>
      </c>
      <c r="M1186" s="6">
        <v>520.09</v>
      </c>
      <c r="N1186" s="6">
        <v>520.09</v>
      </c>
      <c r="O1186" s="19">
        <v>0.4118</v>
      </c>
      <c r="P1186" s="6">
        <v>34.78</v>
      </c>
      <c r="Q1186" s="6">
        <v>33.03</v>
      </c>
      <c r="R1186" s="19">
        <v>0.47060000000000002</v>
      </c>
      <c r="S1186" s="20">
        <v>18</v>
      </c>
      <c r="T1186" s="6">
        <v>25.66</v>
      </c>
      <c r="U1186" s="6">
        <v>27.33</v>
      </c>
      <c r="V1186" s="6">
        <v>34.700000000000003</v>
      </c>
      <c r="W1186" s="19">
        <v>0.87749999999999995</v>
      </c>
      <c r="X1186" s="6">
        <v>9.41</v>
      </c>
      <c r="Y1186" s="21">
        <v>89100.712470555096</v>
      </c>
      <c r="Z1186" s="6">
        <v>3428</v>
      </c>
      <c r="AA1186" s="6">
        <v>1.6436104749107601</v>
      </c>
    </row>
    <row r="1187" spans="1:27" x14ac:dyDescent="0.25">
      <c r="A1187" s="7" t="str">
        <f t="shared" si="18"/>
        <v>3930Swedish Ballard441021577100 PHARMACY</v>
      </c>
      <c r="B1187" s="7"/>
      <c r="C1187" s="29" t="s">
        <v>185</v>
      </c>
      <c r="D1187" s="29" t="s">
        <v>521</v>
      </c>
      <c r="E1187" s="29" t="s">
        <v>186</v>
      </c>
      <c r="F1187" s="29">
        <v>3930</v>
      </c>
      <c r="G1187" s="4" t="s">
        <v>720</v>
      </c>
      <c r="H1187" s="5">
        <v>4410</v>
      </c>
      <c r="I1187" s="4" t="s">
        <v>37</v>
      </c>
      <c r="J1187" s="4" t="s">
        <v>37</v>
      </c>
      <c r="K1187" s="4" t="s">
        <v>731</v>
      </c>
      <c r="L1187" s="4" t="s">
        <v>100</v>
      </c>
      <c r="M1187" s="6">
        <v>19294.560000000001</v>
      </c>
      <c r="N1187" s="6">
        <v>21891.63</v>
      </c>
      <c r="O1187" s="19">
        <v>0.55559999999999998</v>
      </c>
      <c r="P1187" s="6">
        <v>0.61</v>
      </c>
      <c r="Q1187" s="6">
        <v>0.72</v>
      </c>
      <c r="R1187" s="7"/>
      <c r="S1187" s="20">
        <v>19</v>
      </c>
      <c r="T1187" s="6">
        <v>1.79</v>
      </c>
      <c r="U1187" s="6">
        <v>1.81</v>
      </c>
      <c r="V1187" s="6">
        <v>2.02</v>
      </c>
      <c r="W1187" s="19">
        <v>0.87329999999999997</v>
      </c>
      <c r="X1187" s="6">
        <v>8.67</v>
      </c>
      <c r="Y1187" s="21">
        <v>-1603462.2294507499</v>
      </c>
      <c r="Z1187" s="6">
        <v>-27290</v>
      </c>
      <c r="AA1187" s="6">
        <v>-13.0841126389319</v>
      </c>
    </row>
    <row r="1188" spans="1:27" x14ac:dyDescent="0.25">
      <c r="A1188" s="7" t="str">
        <f t="shared" si="18"/>
        <v>3930Swedish Ballard661021586100 ADMINISTRATION</v>
      </c>
      <c r="B1188" s="7"/>
      <c r="C1188" s="29" t="s">
        <v>185</v>
      </c>
      <c r="D1188" s="29" t="s">
        <v>521</v>
      </c>
      <c r="E1188" s="29" t="s">
        <v>186</v>
      </c>
      <c r="F1188" s="29">
        <v>3930</v>
      </c>
      <c r="G1188" s="4" t="s">
        <v>720</v>
      </c>
      <c r="H1188" s="5">
        <v>6610</v>
      </c>
      <c r="I1188" s="4" t="s">
        <v>72</v>
      </c>
      <c r="J1188" s="4" t="s">
        <v>72</v>
      </c>
      <c r="K1188" s="4" t="s">
        <v>739</v>
      </c>
      <c r="L1188" s="4" t="s">
        <v>14</v>
      </c>
      <c r="M1188" s="6">
        <v>86.97</v>
      </c>
      <c r="N1188" s="6">
        <v>82.53</v>
      </c>
      <c r="O1188" s="19">
        <v>0.61109999999999998</v>
      </c>
      <c r="P1188" s="6">
        <v>56.63</v>
      </c>
      <c r="Q1188" s="6">
        <v>61.76</v>
      </c>
      <c r="R1188" s="19">
        <v>5.8799999999999998E-2</v>
      </c>
      <c r="S1188" s="20">
        <v>19</v>
      </c>
      <c r="T1188" s="6">
        <v>70.83</v>
      </c>
      <c r="U1188" s="6">
        <v>92.08</v>
      </c>
      <c r="V1188" s="6">
        <v>108.45</v>
      </c>
      <c r="W1188" s="19">
        <v>0.94220000000000004</v>
      </c>
      <c r="X1188" s="6">
        <v>2.6</v>
      </c>
      <c r="Y1188" s="21">
        <v>-219954.47984171199</v>
      </c>
      <c r="Z1188" s="6">
        <v>-2643</v>
      </c>
      <c r="AA1188" s="6">
        <v>-1.26707161288847</v>
      </c>
    </row>
    <row r="1189" spans="1:27" x14ac:dyDescent="0.25">
      <c r="A1189" s="7" t="str">
        <f t="shared" si="18"/>
        <v>3930Swedish Ballard300121574200,21574270,21574300,21574701,21574704,21577600 Surgical Svc</v>
      </c>
      <c r="B1189" s="7"/>
      <c r="C1189" s="29" t="s">
        <v>185</v>
      </c>
      <c r="D1189" s="29" t="s">
        <v>521</v>
      </c>
      <c r="E1189" s="29" t="s">
        <v>186</v>
      </c>
      <c r="F1189" s="29">
        <v>3930</v>
      </c>
      <c r="G1189" s="4" t="s">
        <v>720</v>
      </c>
      <c r="H1189" s="5">
        <v>3001</v>
      </c>
      <c r="I1189" s="4" t="s">
        <v>286</v>
      </c>
      <c r="J1189" s="4" t="s">
        <v>47</v>
      </c>
      <c r="K1189" s="4" t="s">
        <v>723</v>
      </c>
      <c r="L1189" s="4" t="s">
        <v>88</v>
      </c>
      <c r="M1189" s="6">
        <v>2278.42</v>
      </c>
      <c r="N1189" s="6">
        <v>2506.96</v>
      </c>
      <c r="O1189" s="19">
        <v>0.88890000000000002</v>
      </c>
      <c r="P1189" s="6">
        <v>24.83</v>
      </c>
      <c r="Q1189" s="6">
        <v>27.64</v>
      </c>
      <c r="R1189" s="19">
        <v>0.70589999999999997</v>
      </c>
      <c r="S1189" s="20">
        <v>19</v>
      </c>
      <c r="T1189" s="6">
        <v>20.43</v>
      </c>
      <c r="U1189" s="6">
        <v>22.51</v>
      </c>
      <c r="V1189" s="6">
        <v>23.53</v>
      </c>
      <c r="W1189" s="19">
        <v>0.88719999999999999</v>
      </c>
      <c r="X1189" s="6">
        <v>37.549999999999997</v>
      </c>
      <c r="Y1189" s="21">
        <v>647470.23357142496</v>
      </c>
      <c r="Z1189" s="6">
        <v>14712</v>
      </c>
      <c r="AA1189" s="6">
        <v>7.0535332918612301</v>
      </c>
    </row>
    <row r="1190" spans="1:27" x14ac:dyDescent="0.25">
      <c r="A1190" s="7" t="str">
        <f t="shared" si="18"/>
        <v>3930Swedish Ballard487221577709 OP REHAB SERVICES</v>
      </c>
      <c r="B1190" s="7"/>
      <c r="C1190" s="29" t="s">
        <v>185</v>
      </c>
      <c r="D1190" s="29" t="s">
        <v>521</v>
      </c>
      <c r="E1190" s="29" t="s">
        <v>186</v>
      </c>
      <c r="F1190" s="29">
        <v>3930</v>
      </c>
      <c r="G1190" s="4" t="s">
        <v>720</v>
      </c>
      <c r="H1190" s="5">
        <v>4872</v>
      </c>
      <c r="I1190" s="4" t="s">
        <v>197</v>
      </c>
      <c r="J1190" s="4" t="s">
        <v>41</v>
      </c>
      <c r="K1190" s="4" t="s">
        <v>734</v>
      </c>
      <c r="L1190" s="4" t="s">
        <v>79</v>
      </c>
      <c r="M1190" s="6">
        <v>601.02</v>
      </c>
      <c r="N1190" s="6">
        <v>654.88</v>
      </c>
      <c r="O1190" s="19">
        <v>0.52629999999999999</v>
      </c>
      <c r="P1190" s="6">
        <v>21.25</v>
      </c>
      <c r="Q1190" s="6">
        <v>22.59</v>
      </c>
      <c r="R1190" s="19">
        <v>0.33329999999999999</v>
      </c>
      <c r="S1190" s="20">
        <v>20</v>
      </c>
      <c r="T1190" s="6">
        <v>22.39</v>
      </c>
      <c r="U1190" s="6">
        <v>22.62</v>
      </c>
      <c r="V1190" s="6">
        <v>23.82</v>
      </c>
      <c r="W1190" s="19">
        <v>0.8579</v>
      </c>
      <c r="X1190" s="6">
        <v>8.2899999999999991</v>
      </c>
      <c r="Y1190" s="21">
        <v>1030.50132895144</v>
      </c>
      <c r="Z1190" s="6">
        <v>23</v>
      </c>
      <c r="AA1190" s="6">
        <v>1.1229967754880801E-2</v>
      </c>
    </row>
    <row r="1191" spans="1:27" x14ac:dyDescent="0.25">
      <c r="A1191" s="7" t="str">
        <f t="shared" si="18"/>
        <v>3930Swedish Ballard522121583500 LINEN</v>
      </c>
      <c r="B1191" s="7"/>
      <c r="C1191" s="29" t="s">
        <v>185</v>
      </c>
      <c r="D1191" s="29" t="s">
        <v>521</v>
      </c>
      <c r="E1191" s="29" t="s">
        <v>186</v>
      </c>
      <c r="F1191" s="29">
        <v>3930</v>
      </c>
      <c r="G1191" s="4" t="s">
        <v>720</v>
      </c>
      <c r="H1191" s="5">
        <v>5221</v>
      </c>
      <c r="I1191" s="4" t="s">
        <v>131</v>
      </c>
      <c r="J1191" s="4" t="s">
        <v>50</v>
      </c>
      <c r="K1191" s="4" t="s">
        <v>735</v>
      </c>
      <c r="L1191" s="4" t="s">
        <v>132</v>
      </c>
      <c r="M1191" s="6">
        <v>5065.12</v>
      </c>
      <c r="N1191" s="6">
        <v>5382.64</v>
      </c>
      <c r="O1191" s="19">
        <v>0.52629999999999999</v>
      </c>
      <c r="P1191" s="6">
        <v>0.78</v>
      </c>
      <c r="Q1191" s="6">
        <v>0.68</v>
      </c>
      <c r="R1191" s="19">
        <v>0.44440000000000002</v>
      </c>
      <c r="S1191" s="20">
        <v>20</v>
      </c>
      <c r="T1191" s="6">
        <v>0.56999999999999995</v>
      </c>
      <c r="U1191" s="6">
        <v>0.67</v>
      </c>
      <c r="V1191" s="6">
        <v>0.73</v>
      </c>
      <c r="W1191" s="19">
        <v>0.88260000000000005</v>
      </c>
      <c r="X1191" s="6">
        <v>2</v>
      </c>
      <c r="Y1191" s="21">
        <v>1779.9205260508199</v>
      </c>
      <c r="Z1191" s="6">
        <v>85</v>
      </c>
      <c r="AA1191" s="6">
        <v>4.0910067292039901E-2</v>
      </c>
    </row>
    <row r="1192" spans="1:27" x14ac:dyDescent="0.25">
      <c r="A1192" s="7" t="str">
        <f t="shared" si="18"/>
        <v>3930Swedish Ballard342021576800 CT SCANNING</v>
      </c>
      <c r="B1192" s="7"/>
      <c r="C1192" s="29" t="s">
        <v>185</v>
      </c>
      <c r="D1192" s="29" t="s">
        <v>521</v>
      </c>
      <c r="E1192" s="29" t="s">
        <v>186</v>
      </c>
      <c r="F1192" s="29">
        <v>3930</v>
      </c>
      <c r="G1192" s="4" t="s">
        <v>720</v>
      </c>
      <c r="H1192" s="5">
        <v>3420</v>
      </c>
      <c r="I1192" s="4" t="s">
        <v>123</v>
      </c>
      <c r="J1192" s="4" t="s">
        <v>57</v>
      </c>
      <c r="K1192" s="4" t="s">
        <v>728</v>
      </c>
      <c r="L1192" s="4" t="s">
        <v>99</v>
      </c>
      <c r="M1192" s="6">
        <v>20116.36</v>
      </c>
      <c r="N1192" s="6">
        <v>19832.29</v>
      </c>
      <c r="O1192" s="19">
        <v>0.47370000000000001</v>
      </c>
      <c r="P1192" s="6">
        <v>0.32</v>
      </c>
      <c r="Q1192" s="6">
        <v>0.35</v>
      </c>
      <c r="R1192" s="19">
        <v>0.73680000000000001</v>
      </c>
      <c r="S1192" s="20">
        <v>20</v>
      </c>
      <c r="T1192" s="6">
        <v>0.22</v>
      </c>
      <c r="U1192" s="6">
        <v>0.26</v>
      </c>
      <c r="V1192" s="6">
        <v>0.28000000000000003</v>
      </c>
      <c r="W1192" s="19">
        <v>0.89029999999999998</v>
      </c>
      <c r="X1192" s="6">
        <v>3.76</v>
      </c>
      <c r="Y1192" s="21">
        <v>107248.47673487299</v>
      </c>
      <c r="Z1192" s="6">
        <v>2050</v>
      </c>
      <c r="AA1192" s="6">
        <v>0.983114339930797</v>
      </c>
    </row>
    <row r="1193" spans="1:27" x14ac:dyDescent="0.25">
      <c r="A1193" s="7" t="str">
        <f t="shared" si="18"/>
        <v>3930Swedish Ballard401021576420 RADIATION TREATMENT CENTER</v>
      </c>
      <c r="B1193" s="7"/>
      <c r="C1193" s="29" t="s">
        <v>185</v>
      </c>
      <c r="D1193" s="29" t="s">
        <v>521</v>
      </c>
      <c r="E1193" s="29" t="s">
        <v>186</v>
      </c>
      <c r="F1193" s="29">
        <v>3930</v>
      </c>
      <c r="G1193" s="4" t="s">
        <v>720</v>
      </c>
      <c r="H1193" s="5">
        <v>4010</v>
      </c>
      <c r="I1193" s="4" t="s">
        <v>152</v>
      </c>
      <c r="J1193" s="4" t="s">
        <v>153</v>
      </c>
      <c r="K1193" s="4" t="s">
        <v>726</v>
      </c>
      <c r="L1193" s="4" t="s">
        <v>99</v>
      </c>
      <c r="M1193" s="6">
        <v>49059.040000000001</v>
      </c>
      <c r="N1193" s="6">
        <v>21787</v>
      </c>
      <c r="O1193" s="19">
        <v>0.36840000000000001</v>
      </c>
      <c r="P1193" s="6">
        <v>0.25</v>
      </c>
      <c r="Q1193" s="6">
        <v>0.53</v>
      </c>
      <c r="R1193" s="19">
        <v>0.88890000000000002</v>
      </c>
      <c r="S1193" s="20">
        <v>20</v>
      </c>
      <c r="T1193" s="6">
        <v>0.35</v>
      </c>
      <c r="U1193" s="6">
        <v>0.35</v>
      </c>
      <c r="V1193" s="6">
        <v>0.39</v>
      </c>
      <c r="W1193" s="19">
        <v>0.84870000000000001</v>
      </c>
      <c r="X1193" s="6">
        <v>6.59</v>
      </c>
      <c r="Y1193" s="21">
        <v>334412.75420065399</v>
      </c>
      <c r="Z1193" s="6">
        <v>4760</v>
      </c>
      <c r="AA1193" s="6">
        <v>2.2821612904933302</v>
      </c>
    </row>
    <row r="1194" spans="1:27" x14ac:dyDescent="0.25">
      <c r="A1194" s="7" t="str">
        <f t="shared" si="18"/>
        <v>3930Swedish Ballard341121576300 MEDICAL IMAGING</v>
      </c>
      <c r="B1194" s="7"/>
      <c r="C1194" s="29" t="s">
        <v>185</v>
      </c>
      <c r="D1194" s="29" t="s">
        <v>521</v>
      </c>
      <c r="E1194" s="29" t="s">
        <v>186</v>
      </c>
      <c r="F1194" s="29">
        <v>3930</v>
      </c>
      <c r="G1194" s="4" t="s">
        <v>720</v>
      </c>
      <c r="H1194" s="5">
        <v>3411</v>
      </c>
      <c r="I1194" s="4" t="s">
        <v>117</v>
      </c>
      <c r="J1194" s="4" t="s">
        <v>57</v>
      </c>
      <c r="K1194" s="4" t="s">
        <v>724</v>
      </c>
      <c r="L1194" s="4" t="s">
        <v>99</v>
      </c>
      <c r="M1194" s="6">
        <v>28461.18</v>
      </c>
      <c r="N1194" s="6">
        <v>36482.699999999997</v>
      </c>
      <c r="O1194" s="19">
        <v>0.6</v>
      </c>
      <c r="P1194" s="6">
        <v>0.68</v>
      </c>
      <c r="Q1194" s="6">
        <v>0.54</v>
      </c>
      <c r="R1194" s="19">
        <v>0.05</v>
      </c>
      <c r="S1194" s="20">
        <v>21</v>
      </c>
      <c r="T1194" s="6">
        <v>0.6</v>
      </c>
      <c r="U1194" s="6">
        <v>0.6</v>
      </c>
      <c r="V1194" s="6">
        <v>0.66</v>
      </c>
      <c r="W1194" s="19">
        <v>0.90010000000000001</v>
      </c>
      <c r="X1194" s="6">
        <v>10.47</v>
      </c>
      <c r="Y1194" s="21">
        <v>-105529.229538281</v>
      </c>
      <c r="Z1194" s="6">
        <v>-2482</v>
      </c>
      <c r="AA1194" s="6">
        <v>-1.1899213108373901</v>
      </c>
    </row>
    <row r="1195" spans="1:27" x14ac:dyDescent="0.25">
      <c r="A1195" s="7" t="str">
        <f t="shared" si="18"/>
        <v>3930Swedish Ballard201021570100 EMERGENCY SERVICES</v>
      </c>
      <c r="B1195" s="7"/>
      <c r="C1195" s="29" t="s">
        <v>185</v>
      </c>
      <c r="D1195" s="29" t="s">
        <v>521</v>
      </c>
      <c r="E1195" s="29" t="s">
        <v>186</v>
      </c>
      <c r="F1195" s="29">
        <v>3930</v>
      </c>
      <c r="G1195" s="4" t="s">
        <v>720</v>
      </c>
      <c r="H1195" s="5">
        <v>2010</v>
      </c>
      <c r="I1195" s="4" t="s">
        <v>75</v>
      </c>
      <c r="J1195" s="4" t="s">
        <v>76</v>
      </c>
      <c r="K1195" s="4" t="s">
        <v>730</v>
      </c>
      <c r="L1195" s="4" t="s">
        <v>77</v>
      </c>
      <c r="M1195" s="6">
        <v>21554</v>
      </c>
      <c r="N1195" s="6">
        <v>22575</v>
      </c>
      <c r="O1195" s="19">
        <v>0.5</v>
      </c>
      <c r="P1195" s="6">
        <v>2.69</v>
      </c>
      <c r="Q1195" s="6">
        <v>2.67</v>
      </c>
      <c r="R1195" s="19">
        <v>0.35289999999999999</v>
      </c>
      <c r="S1195" s="20">
        <v>21</v>
      </c>
      <c r="T1195" s="6">
        <v>2.58</v>
      </c>
      <c r="U1195" s="6">
        <v>2.66</v>
      </c>
      <c r="V1195" s="6">
        <v>2.78</v>
      </c>
      <c r="W1195" s="19">
        <v>0.90090000000000003</v>
      </c>
      <c r="X1195" s="6">
        <v>32.130000000000003</v>
      </c>
      <c r="Y1195" s="21">
        <v>15135.745573210201</v>
      </c>
      <c r="Z1195" s="6">
        <v>359</v>
      </c>
      <c r="AA1195" s="6">
        <v>0.17189880854789799</v>
      </c>
    </row>
    <row r="1196" spans="1:27" x14ac:dyDescent="0.25">
      <c r="A1196" s="7" t="str">
        <f t="shared" si="18"/>
        <v>3930Swedish Ballard521121584400 ENVIRONMENTAL SERVICES</v>
      </c>
      <c r="B1196" s="7"/>
      <c r="C1196" s="29" t="s">
        <v>185</v>
      </c>
      <c r="D1196" s="29" t="s">
        <v>521</v>
      </c>
      <c r="E1196" s="29" t="s">
        <v>186</v>
      </c>
      <c r="F1196" s="29">
        <v>3930</v>
      </c>
      <c r="G1196" s="4" t="s">
        <v>720</v>
      </c>
      <c r="H1196" s="5">
        <v>5211</v>
      </c>
      <c r="I1196" s="4" t="s">
        <v>50</v>
      </c>
      <c r="J1196" s="4" t="s">
        <v>50</v>
      </c>
      <c r="K1196" s="4" t="s">
        <v>737</v>
      </c>
      <c r="L1196" s="4" t="s">
        <v>51</v>
      </c>
      <c r="M1196" s="6">
        <v>216.16</v>
      </c>
      <c r="N1196" s="6">
        <v>202.85</v>
      </c>
      <c r="O1196" s="19">
        <v>0.4783</v>
      </c>
      <c r="P1196" s="6">
        <v>169.82</v>
      </c>
      <c r="Q1196" s="6">
        <v>174.92</v>
      </c>
      <c r="R1196" s="19">
        <v>0.52170000000000005</v>
      </c>
      <c r="S1196" s="20">
        <v>24</v>
      </c>
      <c r="T1196" s="6">
        <v>138.97</v>
      </c>
      <c r="U1196" s="6">
        <v>170.86</v>
      </c>
      <c r="V1196" s="6">
        <v>174.36</v>
      </c>
      <c r="W1196" s="19">
        <v>0.8952</v>
      </c>
      <c r="X1196" s="6">
        <v>19.05</v>
      </c>
      <c r="Y1196" s="21">
        <v>22401.800536702998</v>
      </c>
      <c r="Z1196" s="6">
        <v>1016</v>
      </c>
      <c r="AA1196" s="6">
        <v>0.48719940581815302</v>
      </c>
    </row>
    <row r="1197" spans="1:27" x14ac:dyDescent="0.25">
      <c r="A1197" s="7" t="str">
        <f t="shared" si="18"/>
        <v>3930Swedish Ballard121021561700 ACUTE CARE</v>
      </c>
      <c r="B1197" s="7"/>
      <c r="C1197" s="29" t="s">
        <v>185</v>
      </c>
      <c r="D1197" s="29" t="s">
        <v>521</v>
      </c>
      <c r="E1197" s="29" t="s">
        <v>186</v>
      </c>
      <c r="F1197" s="29">
        <v>3930</v>
      </c>
      <c r="G1197" s="4" t="s">
        <v>720</v>
      </c>
      <c r="H1197" s="5">
        <v>1210</v>
      </c>
      <c r="I1197" s="4" t="s">
        <v>147</v>
      </c>
      <c r="J1197" s="4" t="s">
        <v>23</v>
      </c>
      <c r="K1197" s="4" t="s">
        <v>742</v>
      </c>
      <c r="L1197" s="4" t="s">
        <v>74</v>
      </c>
      <c r="M1197" s="6">
        <v>5384.04</v>
      </c>
      <c r="N1197" s="6">
        <v>5711</v>
      </c>
      <c r="O1197" s="19">
        <v>0.43480000000000002</v>
      </c>
      <c r="P1197" s="6">
        <v>10.5</v>
      </c>
      <c r="Q1197" s="6">
        <v>10.97</v>
      </c>
      <c r="R1197" s="19">
        <v>0.5</v>
      </c>
      <c r="S1197" s="20">
        <v>24</v>
      </c>
      <c r="T1197" s="6">
        <v>9.36</v>
      </c>
      <c r="U1197" s="6">
        <v>9.9700000000000006</v>
      </c>
      <c r="V1197" s="6">
        <v>10.97</v>
      </c>
      <c r="W1197" s="19">
        <v>0.89149999999999996</v>
      </c>
      <c r="X1197" s="6">
        <v>33.78</v>
      </c>
      <c r="Y1197" s="21">
        <v>263126.95305291098</v>
      </c>
      <c r="Z1197" s="6">
        <v>6587</v>
      </c>
      <c r="AA1197" s="6">
        <v>3.1579592686689901</v>
      </c>
    </row>
    <row r="1198" spans="1:27" x14ac:dyDescent="0.25">
      <c r="A1198" s="7" t="str">
        <f t="shared" si="18"/>
        <v>3930Swedish Ballard5925Patient Escort (Transport) Service (N)</v>
      </c>
      <c r="B1198" s="7"/>
      <c r="C1198" s="29" t="s">
        <v>185</v>
      </c>
      <c r="D1198" s="29" t="s">
        <v>521</v>
      </c>
      <c r="E1198" s="29" t="s">
        <v>186</v>
      </c>
      <c r="F1198" s="29">
        <v>3930</v>
      </c>
      <c r="G1198" s="4" t="s">
        <v>720</v>
      </c>
      <c r="H1198" s="5">
        <v>5925</v>
      </c>
      <c r="I1198" s="4" t="s">
        <v>135</v>
      </c>
      <c r="J1198" s="4" t="s">
        <v>136</v>
      </c>
      <c r="K1198" s="4" t="s">
        <v>672</v>
      </c>
      <c r="L1198" s="4" t="s">
        <v>137</v>
      </c>
      <c r="M1198" s="6">
        <v>188.08</v>
      </c>
      <c r="N1198" s="6">
        <v>325.04000000000002</v>
      </c>
      <c r="O1198" s="19">
        <v>0.54169999999999996</v>
      </c>
      <c r="P1198" s="6">
        <v>27.41</v>
      </c>
      <c r="Q1198" s="6">
        <v>27.5</v>
      </c>
      <c r="R1198" s="19">
        <v>4.5499999999999999E-2</v>
      </c>
      <c r="S1198" s="20">
        <v>25</v>
      </c>
      <c r="T1198" s="6">
        <v>44.32</v>
      </c>
      <c r="U1198" s="6">
        <v>46.64</v>
      </c>
      <c r="V1198" s="6">
        <v>52.86</v>
      </c>
      <c r="W1198" s="19">
        <v>0.9133</v>
      </c>
      <c r="X1198" s="6">
        <v>4.71</v>
      </c>
      <c r="Y1198" s="21">
        <v>-261008.59913465899</v>
      </c>
      <c r="Z1198" s="6">
        <v>-6775</v>
      </c>
      <c r="AA1198" s="6">
        <v>-3.2484785901982498</v>
      </c>
    </row>
    <row r="1199" spans="1:27" x14ac:dyDescent="0.25">
      <c r="A1199" s="7" t="str">
        <f t="shared" si="18"/>
        <v>3930Swedish Ballard345021576700 ULTRASOUND</v>
      </c>
      <c r="B1199" s="7"/>
      <c r="C1199" s="29" t="s">
        <v>185</v>
      </c>
      <c r="D1199" s="29" t="s">
        <v>521</v>
      </c>
      <c r="E1199" s="29" t="s">
        <v>186</v>
      </c>
      <c r="F1199" s="29">
        <v>3930</v>
      </c>
      <c r="G1199" s="4" t="s">
        <v>720</v>
      </c>
      <c r="H1199" s="5">
        <v>3450</v>
      </c>
      <c r="I1199" s="4" t="s">
        <v>122</v>
      </c>
      <c r="J1199" s="4" t="s">
        <v>57</v>
      </c>
      <c r="K1199" s="4" t="s">
        <v>727</v>
      </c>
      <c r="L1199" s="4" t="s">
        <v>99</v>
      </c>
      <c r="M1199" s="6">
        <v>20557.990000000002</v>
      </c>
      <c r="N1199" s="6">
        <v>21420.62</v>
      </c>
      <c r="O1199" s="19">
        <v>0.54169999999999996</v>
      </c>
      <c r="P1199" s="6">
        <v>0.48</v>
      </c>
      <c r="Q1199" s="6">
        <v>0.51</v>
      </c>
      <c r="R1199" s="19">
        <v>0.60870000000000002</v>
      </c>
      <c r="S1199" s="20">
        <v>25</v>
      </c>
      <c r="T1199" s="6">
        <v>0.43</v>
      </c>
      <c r="U1199" s="6">
        <v>0.44</v>
      </c>
      <c r="V1199" s="6">
        <v>0.48</v>
      </c>
      <c r="W1199" s="19">
        <v>0.89329999999999998</v>
      </c>
      <c r="X1199" s="6">
        <v>5.85</v>
      </c>
      <c r="Y1199" s="21">
        <v>102429.711886274</v>
      </c>
      <c r="Z1199" s="6">
        <v>1651</v>
      </c>
      <c r="AA1199" s="6">
        <v>0.79133944707501302</v>
      </c>
    </row>
    <row r="1200" spans="1:27" x14ac:dyDescent="0.25">
      <c r="A1200" s="7" t="str">
        <f t="shared" si="18"/>
        <v>3930Swedish Ballard500121584500 FACILITY MANAGEMENT/21584560 FACILITIES CONSTRUCTION/21584602 GROUNDS</v>
      </c>
      <c r="B1200" s="7"/>
      <c r="C1200" s="29" t="s">
        <v>185</v>
      </c>
      <c r="D1200" s="29" t="s">
        <v>521</v>
      </c>
      <c r="E1200" s="29" t="s">
        <v>186</v>
      </c>
      <c r="F1200" s="29">
        <v>3930</v>
      </c>
      <c r="G1200" s="4" t="s">
        <v>720</v>
      </c>
      <c r="H1200" s="5">
        <v>5001</v>
      </c>
      <c r="I1200" s="4" t="s">
        <v>141</v>
      </c>
      <c r="J1200" s="4" t="s">
        <v>62</v>
      </c>
      <c r="K1200" s="4" t="s">
        <v>738</v>
      </c>
      <c r="L1200" s="4" t="s">
        <v>63</v>
      </c>
      <c r="M1200" s="6">
        <v>436.94</v>
      </c>
      <c r="N1200" s="6">
        <v>528.52</v>
      </c>
      <c r="O1200" s="19">
        <v>0.41670000000000001</v>
      </c>
      <c r="P1200" s="6">
        <v>49.31</v>
      </c>
      <c r="Q1200" s="6">
        <v>39.299999999999997</v>
      </c>
      <c r="R1200" s="19">
        <v>0.15790000000000001</v>
      </c>
      <c r="S1200" s="20">
        <v>25</v>
      </c>
      <c r="T1200" s="6">
        <v>40.53</v>
      </c>
      <c r="U1200" s="6">
        <v>42.39</v>
      </c>
      <c r="V1200" s="6">
        <v>43.53</v>
      </c>
      <c r="W1200" s="19">
        <v>0.87009999999999998</v>
      </c>
      <c r="X1200" s="6">
        <v>11.48</v>
      </c>
      <c r="Y1200" s="21">
        <v>-62066.242351810601</v>
      </c>
      <c r="Z1200" s="6">
        <v>-1805</v>
      </c>
      <c r="AA1200" s="6">
        <v>-0.86536211157884002</v>
      </c>
    </row>
    <row r="1201" spans="1:27" x14ac:dyDescent="0.25">
      <c r="A1201" s="7" t="str">
        <f t="shared" si="18"/>
        <v>3930Swedish Ballard464021576410 CANCER TREATMENT CENTER</v>
      </c>
      <c r="B1201" s="7"/>
      <c r="C1201" s="29" t="s">
        <v>185</v>
      </c>
      <c r="D1201" s="29" t="s">
        <v>521</v>
      </c>
      <c r="E1201" s="29" t="s">
        <v>186</v>
      </c>
      <c r="F1201" s="29">
        <v>3930</v>
      </c>
      <c r="G1201" s="4" t="s">
        <v>720</v>
      </c>
      <c r="H1201" s="5">
        <v>4640</v>
      </c>
      <c r="I1201" s="4" t="s">
        <v>82</v>
      </c>
      <c r="J1201" s="4" t="s">
        <v>83</v>
      </c>
      <c r="K1201" s="4" t="s">
        <v>725</v>
      </c>
      <c r="L1201" s="4" t="s">
        <v>84</v>
      </c>
      <c r="M1201" s="6">
        <v>3602</v>
      </c>
      <c r="N1201" s="6">
        <v>3746</v>
      </c>
      <c r="O1201" s="19">
        <v>0.56000000000000005</v>
      </c>
      <c r="P1201" s="6">
        <v>2.76</v>
      </c>
      <c r="Q1201" s="6">
        <v>2.5099999999999998</v>
      </c>
      <c r="R1201" s="19">
        <v>0.82609999999999995</v>
      </c>
      <c r="S1201" s="20">
        <v>26</v>
      </c>
      <c r="T1201" s="6">
        <v>1.74</v>
      </c>
      <c r="U1201" s="6">
        <v>1.88</v>
      </c>
      <c r="V1201" s="6">
        <v>2.1</v>
      </c>
      <c r="W1201" s="19">
        <v>0.89149999999999996</v>
      </c>
      <c r="X1201" s="6">
        <v>5.08</v>
      </c>
      <c r="Y1201" s="21">
        <v>128999.176404969</v>
      </c>
      <c r="Z1201" s="6">
        <v>2696</v>
      </c>
      <c r="AA1201" s="6">
        <v>1.2925018127472301</v>
      </c>
    </row>
    <row r="1202" spans="1:27" x14ac:dyDescent="0.25">
      <c r="A1202" s="7" t="str">
        <f t="shared" si="18"/>
        <v>3928Swedish Cherry Hill5608Centralized Scheduling (N)</v>
      </c>
      <c r="B1202" s="7"/>
      <c r="C1202" s="29" t="s">
        <v>185</v>
      </c>
      <c r="D1202" s="29" t="s">
        <v>521</v>
      </c>
      <c r="E1202" s="29" t="s">
        <v>186</v>
      </c>
      <c r="F1202" s="29">
        <v>3928</v>
      </c>
      <c r="G1202" s="4" t="s">
        <v>617</v>
      </c>
      <c r="H1202" s="5">
        <v>5608</v>
      </c>
      <c r="I1202" s="4" t="s">
        <v>257</v>
      </c>
      <c r="J1202" s="4" t="s">
        <v>12</v>
      </c>
      <c r="K1202" s="4" t="s">
        <v>597</v>
      </c>
      <c r="L1202" s="4" t="s">
        <v>18</v>
      </c>
      <c r="M1202" s="6">
        <v>13413.68</v>
      </c>
      <c r="N1202" s="6">
        <v>12903.71</v>
      </c>
      <c r="O1202" s="19">
        <v>0.25879999999999997</v>
      </c>
      <c r="P1202" s="6">
        <v>2.71</v>
      </c>
      <c r="Q1202" s="6">
        <v>2.2000000000000002</v>
      </c>
      <c r="R1202" s="19">
        <v>0.94920000000000004</v>
      </c>
      <c r="S1202" s="20">
        <v>8</v>
      </c>
      <c r="T1202" s="6">
        <v>0.44</v>
      </c>
      <c r="U1202" s="6">
        <v>0.6</v>
      </c>
      <c r="V1202" s="6">
        <v>0.92</v>
      </c>
      <c r="W1202" s="19">
        <v>0.88219999999999998</v>
      </c>
      <c r="X1202" s="6">
        <v>15.45</v>
      </c>
      <c r="Y1202" s="21">
        <v>553141.65853494103</v>
      </c>
      <c r="Z1202" s="6">
        <v>23448</v>
      </c>
      <c r="AA1202" s="6">
        <v>11.2422788603554</v>
      </c>
    </row>
    <row r="1203" spans="1:27" x14ac:dyDescent="0.25">
      <c r="A1203" s="7" t="str">
        <f t="shared" si="18"/>
        <v>3928Swedish Cherry Hill102222060300 CRITICAL CARE</v>
      </c>
      <c r="B1203" s="7"/>
      <c r="C1203" s="29" t="s">
        <v>185</v>
      </c>
      <c r="D1203" s="29" t="s">
        <v>521</v>
      </c>
      <c r="E1203" s="29" t="s">
        <v>186</v>
      </c>
      <c r="F1203" s="29">
        <v>3928</v>
      </c>
      <c r="G1203" s="4" t="s">
        <v>617</v>
      </c>
      <c r="H1203" s="5">
        <v>1022</v>
      </c>
      <c r="I1203" s="4" t="s">
        <v>288</v>
      </c>
      <c r="J1203" s="4" t="s">
        <v>23</v>
      </c>
      <c r="K1203" s="4" t="s">
        <v>618</v>
      </c>
      <c r="L1203" s="4" t="s">
        <v>74</v>
      </c>
      <c r="M1203" s="6">
        <v>4393.42</v>
      </c>
      <c r="N1203" s="6">
        <v>4734</v>
      </c>
      <c r="O1203" s="19">
        <v>1</v>
      </c>
      <c r="P1203" s="6">
        <v>21.95</v>
      </c>
      <c r="Q1203" s="6">
        <v>20.84</v>
      </c>
      <c r="R1203" s="19">
        <v>0.25</v>
      </c>
      <c r="S1203" s="20">
        <v>9</v>
      </c>
      <c r="T1203" s="6">
        <v>20.84</v>
      </c>
      <c r="U1203" s="6">
        <v>20.94</v>
      </c>
      <c r="V1203" s="6">
        <v>21.69</v>
      </c>
      <c r="W1203" s="19">
        <v>0.89759999999999995</v>
      </c>
      <c r="X1203" s="6">
        <v>52.84</v>
      </c>
      <c r="Y1203" s="21">
        <v>-14578.134817744</v>
      </c>
      <c r="Z1203" s="6">
        <v>-231</v>
      </c>
      <c r="AA1203" s="6">
        <v>-0.11052200379513299</v>
      </c>
    </row>
    <row r="1204" spans="1:27" x14ac:dyDescent="0.25">
      <c r="A1204" s="7" t="str">
        <f t="shared" si="18"/>
        <v>3928Swedish Cherry Hill422422075600 ECHOCARDIOLOGY</v>
      </c>
      <c r="B1204" s="7"/>
      <c r="C1204" s="29" t="s">
        <v>185</v>
      </c>
      <c r="D1204" s="29" t="s">
        <v>521</v>
      </c>
      <c r="E1204" s="29" t="s">
        <v>186</v>
      </c>
      <c r="F1204" s="29">
        <v>3928</v>
      </c>
      <c r="G1204" s="4" t="s">
        <v>617</v>
      </c>
      <c r="H1204" s="5">
        <v>4224</v>
      </c>
      <c r="I1204" s="4" t="s">
        <v>275</v>
      </c>
      <c r="J1204" s="4" t="s">
        <v>60</v>
      </c>
      <c r="K1204" s="4" t="s">
        <v>647</v>
      </c>
      <c r="L1204" s="4" t="s">
        <v>99</v>
      </c>
      <c r="M1204" s="7"/>
      <c r="N1204" s="6">
        <v>26089.45</v>
      </c>
      <c r="O1204" s="19">
        <v>0.875</v>
      </c>
      <c r="P1204" s="7"/>
      <c r="Q1204" s="6">
        <v>0.35</v>
      </c>
      <c r="R1204" s="19">
        <v>0.375</v>
      </c>
      <c r="S1204" s="20">
        <v>9</v>
      </c>
      <c r="T1204" s="6">
        <v>0.28000000000000003</v>
      </c>
      <c r="U1204" s="6">
        <v>0.34</v>
      </c>
      <c r="V1204" s="6">
        <v>0.38</v>
      </c>
      <c r="W1204" s="19">
        <v>0.91510000000000002</v>
      </c>
      <c r="X1204" s="6">
        <v>4.79</v>
      </c>
      <c r="Y1204" s="21">
        <v>15276.212965811899</v>
      </c>
      <c r="Z1204" s="6">
        <v>297</v>
      </c>
      <c r="AA1204" s="6">
        <v>0.142456704583003</v>
      </c>
    </row>
    <row r="1205" spans="1:27" x14ac:dyDescent="0.25">
      <c r="A1205" s="7" t="str">
        <f t="shared" si="18"/>
        <v>3928Swedish Cherry Hill431022076208 EEG</v>
      </c>
      <c r="B1205" s="7"/>
      <c r="C1205" s="29" t="s">
        <v>185</v>
      </c>
      <c r="D1205" s="29" t="s">
        <v>521</v>
      </c>
      <c r="E1205" s="29" t="s">
        <v>186</v>
      </c>
      <c r="F1205" s="29">
        <v>3928</v>
      </c>
      <c r="G1205" s="4" t="s">
        <v>617</v>
      </c>
      <c r="H1205" s="5">
        <v>4310</v>
      </c>
      <c r="I1205" s="4" t="s">
        <v>115</v>
      </c>
      <c r="J1205" s="4" t="s">
        <v>116</v>
      </c>
      <c r="K1205" s="4" t="s">
        <v>652</v>
      </c>
      <c r="L1205" s="4" t="s">
        <v>99</v>
      </c>
      <c r="M1205" s="6">
        <v>19839.310000000001</v>
      </c>
      <c r="N1205" s="6">
        <v>24915.11</v>
      </c>
      <c r="O1205" s="19">
        <v>0.55559999999999998</v>
      </c>
      <c r="P1205" s="6">
        <v>0.87</v>
      </c>
      <c r="Q1205" s="6">
        <v>0.67</v>
      </c>
      <c r="R1205" s="19">
        <v>0.33329999999999999</v>
      </c>
      <c r="S1205" s="20">
        <v>10</v>
      </c>
      <c r="T1205" s="6">
        <v>0.61</v>
      </c>
      <c r="U1205" s="6">
        <v>0.67</v>
      </c>
      <c r="V1205" s="6">
        <v>0.69</v>
      </c>
      <c r="W1205" s="19">
        <v>0.87019999999999997</v>
      </c>
      <c r="X1205" s="6">
        <v>9.24</v>
      </c>
      <c r="Y1205" s="21">
        <v>4584.4779843020397</v>
      </c>
      <c r="Z1205" s="6">
        <v>89</v>
      </c>
      <c r="AA1205" s="6">
        <v>4.2565757145434098E-2</v>
      </c>
    </row>
    <row r="1206" spans="1:27" x14ac:dyDescent="0.25">
      <c r="A1206" s="7" t="str">
        <f t="shared" si="18"/>
        <v>3928Swedish Cherry Hill103522060390 NEURO CRITICAL CARE</v>
      </c>
      <c r="B1206" s="7"/>
      <c r="C1206" s="29" t="s">
        <v>185</v>
      </c>
      <c r="D1206" s="29" t="s">
        <v>521</v>
      </c>
      <c r="E1206" s="29" t="s">
        <v>186</v>
      </c>
      <c r="F1206" s="29">
        <v>3928</v>
      </c>
      <c r="G1206" s="4" t="s">
        <v>617</v>
      </c>
      <c r="H1206" s="5">
        <v>1035</v>
      </c>
      <c r="I1206" s="4" t="s">
        <v>294</v>
      </c>
      <c r="J1206" s="4" t="s">
        <v>23</v>
      </c>
      <c r="K1206" s="4" t="s">
        <v>619</v>
      </c>
      <c r="L1206" s="4" t="s">
        <v>74</v>
      </c>
      <c r="M1206" s="6">
        <v>5407.29</v>
      </c>
      <c r="N1206" s="6">
        <v>6685</v>
      </c>
      <c r="O1206" s="19">
        <v>0.55559999999999998</v>
      </c>
      <c r="P1206" s="6">
        <v>20.8</v>
      </c>
      <c r="Q1206" s="6">
        <v>21.06</v>
      </c>
      <c r="R1206" s="19">
        <v>0.42859999999999998</v>
      </c>
      <c r="S1206" s="20">
        <v>10</v>
      </c>
      <c r="T1206" s="6">
        <v>19.510000000000002</v>
      </c>
      <c r="U1206" s="6">
        <v>20.22</v>
      </c>
      <c r="V1206" s="6">
        <v>21.26</v>
      </c>
      <c r="W1206" s="19">
        <v>0.91390000000000005</v>
      </c>
      <c r="X1206" s="6">
        <v>74.069999999999993</v>
      </c>
      <c r="Y1206" s="21">
        <v>369345.38699641899</v>
      </c>
      <c r="Z1206" s="6">
        <v>6582</v>
      </c>
      <c r="AA1206" s="6">
        <v>3.1559899818648902</v>
      </c>
    </row>
    <row r="1207" spans="1:27" x14ac:dyDescent="0.25">
      <c r="A1207" s="7" t="str">
        <f t="shared" si="18"/>
        <v>3928Swedish Cherry Hill512022083300 CAFETERIA/22083340 CATERING</v>
      </c>
      <c r="B1207" s="7"/>
      <c r="C1207" s="29" t="s">
        <v>185</v>
      </c>
      <c r="D1207" s="29" t="s">
        <v>521</v>
      </c>
      <c r="E1207" s="29" t="s">
        <v>186</v>
      </c>
      <c r="F1207" s="29">
        <v>3928</v>
      </c>
      <c r="G1207" s="4" t="s">
        <v>617</v>
      </c>
      <c r="H1207" s="5">
        <v>5120</v>
      </c>
      <c r="I1207" s="4" t="s">
        <v>126</v>
      </c>
      <c r="J1207" s="4" t="s">
        <v>65</v>
      </c>
      <c r="K1207" s="4" t="s">
        <v>663</v>
      </c>
      <c r="L1207" s="4" t="s">
        <v>127</v>
      </c>
      <c r="M1207" s="6">
        <v>430609.01</v>
      </c>
      <c r="N1207" s="6">
        <v>479527.67</v>
      </c>
      <c r="O1207" s="19">
        <v>0.44440000000000002</v>
      </c>
      <c r="P1207" s="6">
        <v>0.1</v>
      </c>
      <c r="Q1207" s="6">
        <v>0.09</v>
      </c>
      <c r="R1207" s="19">
        <v>0.5</v>
      </c>
      <c r="S1207" s="20">
        <v>10</v>
      </c>
      <c r="T1207" s="6">
        <v>0.08</v>
      </c>
      <c r="U1207" s="6">
        <v>0.09</v>
      </c>
      <c r="V1207" s="6">
        <v>0.09</v>
      </c>
      <c r="W1207" s="19">
        <v>0.9042</v>
      </c>
      <c r="X1207" s="6">
        <v>22.74</v>
      </c>
      <c r="Y1207" s="21">
        <v>-6633.3461839546699</v>
      </c>
      <c r="Z1207" s="6">
        <v>-301</v>
      </c>
      <c r="AA1207" s="6">
        <v>-0.144416202994329</v>
      </c>
    </row>
    <row r="1208" spans="1:27" x14ac:dyDescent="0.25">
      <c r="A1208" s="7" t="str">
        <f t="shared" si="18"/>
        <v>3928Swedish Cherry Hill181022077158 INTRAVENOUS NURSES</v>
      </c>
      <c r="B1208" s="7"/>
      <c r="C1208" s="29" t="s">
        <v>185</v>
      </c>
      <c r="D1208" s="29" t="s">
        <v>521</v>
      </c>
      <c r="E1208" s="29" t="s">
        <v>186</v>
      </c>
      <c r="F1208" s="29">
        <v>3928</v>
      </c>
      <c r="G1208" s="4" t="s">
        <v>617</v>
      </c>
      <c r="H1208" s="5">
        <v>1810</v>
      </c>
      <c r="I1208" s="4" t="s">
        <v>162</v>
      </c>
      <c r="J1208" s="4" t="s">
        <v>23</v>
      </c>
      <c r="K1208" s="4" t="s">
        <v>628</v>
      </c>
      <c r="L1208" s="4" t="s">
        <v>163</v>
      </c>
      <c r="M1208" s="6">
        <v>0.3</v>
      </c>
      <c r="N1208" s="6">
        <v>9.6</v>
      </c>
      <c r="O1208" s="19">
        <v>0.3</v>
      </c>
      <c r="P1208" s="6">
        <v>57142.45</v>
      </c>
      <c r="Q1208" s="6">
        <v>2001.69</v>
      </c>
      <c r="R1208" s="19">
        <v>0.8</v>
      </c>
      <c r="S1208" s="20">
        <v>11</v>
      </c>
      <c r="T1208" s="6">
        <v>32.18</v>
      </c>
      <c r="U1208" s="6">
        <v>44.77</v>
      </c>
      <c r="V1208" s="6">
        <v>565.85</v>
      </c>
      <c r="W1208" s="19">
        <v>0.87009999999999998</v>
      </c>
      <c r="X1208" s="6">
        <v>10.62</v>
      </c>
      <c r="Y1208" s="21">
        <v>1225921.24999818</v>
      </c>
      <c r="Z1208" s="6">
        <v>21656</v>
      </c>
      <c r="AA1208" s="6">
        <v>10.3831696713646</v>
      </c>
    </row>
    <row r="1209" spans="1:27" x14ac:dyDescent="0.25">
      <c r="A1209" s="7" t="str">
        <f t="shared" si="18"/>
        <v>3928Swedish Cherry Hill301222074230 HEART AND VASCULAR SURGERY/22074232 PERFUSION SERVICES/22074705 HEART A</v>
      </c>
      <c r="B1209" s="7"/>
      <c r="C1209" s="29" t="s">
        <v>185</v>
      </c>
      <c r="D1209" s="29" t="s">
        <v>521</v>
      </c>
      <c r="E1209" s="29" t="s">
        <v>186</v>
      </c>
      <c r="F1209" s="29">
        <v>3928</v>
      </c>
      <c r="G1209" s="4" t="s">
        <v>617</v>
      </c>
      <c r="H1209" s="5">
        <v>3012</v>
      </c>
      <c r="I1209" s="4" t="s">
        <v>295</v>
      </c>
      <c r="J1209" s="4" t="s">
        <v>47</v>
      </c>
      <c r="K1209" s="4" t="s">
        <v>642</v>
      </c>
      <c r="L1209" s="4" t="s">
        <v>88</v>
      </c>
      <c r="M1209" s="6">
        <v>3862.14</v>
      </c>
      <c r="N1209" s="6">
        <v>4234.43</v>
      </c>
      <c r="O1209" s="19">
        <v>0.75</v>
      </c>
      <c r="P1209" s="6">
        <v>15.69</v>
      </c>
      <c r="Q1209" s="6">
        <v>15.97</v>
      </c>
      <c r="R1209" s="19">
        <v>0.63639999999999997</v>
      </c>
      <c r="S1209" s="20">
        <v>13</v>
      </c>
      <c r="T1209" s="6">
        <v>13.14</v>
      </c>
      <c r="U1209" s="6">
        <v>13.82</v>
      </c>
      <c r="V1209" s="6">
        <v>14.88</v>
      </c>
      <c r="W1209" s="19">
        <v>0.90810000000000002</v>
      </c>
      <c r="X1209" s="6">
        <v>35.799999999999997</v>
      </c>
      <c r="Y1209" s="21">
        <v>545624.99081858702</v>
      </c>
      <c r="Z1209" s="6">
        <v>10226</v>
      </c>
      <c r="AA1209" s="6">
        <v>4.9029166750284796</v>
      </c>
    </row>
    <row r="1210" spans="1:27" x14ac:dyDescent="0.25">
      <c r="A1210" s="7" t="str">
        <f t="shared" si="18"/>
        <v>3928Swedish Cherry Hill306022074500 ANESTHESIA</v>
      </c>
      <c r="B1210" s="7"/>
      <c r="C1210" s="29" t="s">
        <v>185</v>
      </c>
      <c r="D1210" s="29" t="s">
        <v>521</v>
      </c>
      <c r="E1210" s="29" t="s">
        <v>186</v>
      </c>
      <c r="F1210" s="29">
        <v>3928</v>
      </c>
      <c r="G1210" s="4" t="s">
        <v>617</v>
      </c>
      <c r="H1210" s="5">
        <v>3060</v>
      </c>
      <c r="I1210" s="4" t="s">
        <v>180</v>
      </c>
      <c r="J1210" s="4" t="s">
        <v>47</v>
      </c>
      <c r="K1210" s="4" t="s">
        <v>645</v>
      </c>
      <c r="L1210" s="4" t="s">
        <v>181</v>
      </c>
      <c r="M1210" s="6">
        <v>12874.06</v>
      </c>
      <c r="N1210" s="6">
        <v>15518.07</v>
      </c>
      <c r="O1210" s="19">
        <v>0.41670000000000001</v>
      </c>
      <c r="P1210" s="6">
        <v>1.42</v>
      </c>
      <c r="Q1210" s="6">
        <v>1.56</v>
      </c>
      <c r="R1210" s="19">
        <v>1</v>
      </c>
      <c r="S1210" s="20">
        <v>13</v>
      </c>
      <c r="T1210" s="6">
        <v>0.72</v>
      </c>
      <c r="U1210" s="6">
        <v>0.83</v>
      </c>
      <c r="V1210" s="6">
        <v>1.03</v>
      </c>
      <c r="W1210" s="19">
        <v>0.9204</v>
      </c>
      <c r="X1210" s="6">
        <v>12.61</v>
      </c>
      <c r="Y1210" s="21">
        <v>465758.65418755001</v>
      </c>
      <c r="Z1210" s="6">
        <v>12307</v>
      </c>
      <c r="AA1210" s="6">
        <v>5.9005434029289496</v>
      </c>
    </row>
    <row r="1211" spans="1:27" x14ac:dyDescent="0.25">
      <c r="A1211" s="7" t="str">
        <f t="shared" si="18"/>
        <v>3928Swedish Cherry Hill592522083700 CENTRAL DISPATCH AND TRANSPORT</v>
      </c>
      <c r="B1211" s="7"/>
      <c r="C1211" s="29" t="s">
        <v>185</v>
      </c>
      <c r="D1211" s="29" t="s">
        <v>521</v>
      </c>
      <c r="E1211" s="29" t="s">
        <v>186</v>
      </c>
      <c r="F1211" s="29">
        <v>3928</v>
      </c>
      <c r="G1211" s="4" t="s">
        <v>617</v>
      </c>
      <c r="H1211" s="5">
        <v>5925</v>
      </c>
      <c r="I1211" s="4" t="s">
        <v>135</v>
      </c>
      <c r="J1211" s="4" t="s">
        <v>136</v>
      </c>
      <c r="K1211" s="4" t="s">
        <v>631</v>
      </c>
      <c r="L1211" s="4" t="s">
        <v>137</v>
      </c>
      <c r="M1211" s="6">
        <v>981.87</v>
      </c>
      <c r="N1211" s="6">
        <v>1019.3</v>
      </c>
      <c r="O1211" s="19">
        <v>0.53849999999999998</v>
      </c>
      <c r="P1211" s="6">
        <v>23.37</v>
      </c>
      <c r="Q1211" s="6">
        <v>26.86</v>
      </c>
      <c r="R1211" s="19">
        <v>0</v>
      </c>
      <c r="S1211" s="20">
        <v>14</v>
      </c>
      <c r="T1211" s="6">
        <v>34.229999999999997</v>
      </c>
      <c r="U1211" s="6">
        <v>38.53</v>
      </c>
      <c r="V1211" s="6">
        <v>43.89</v>
      </c>
      <c r="W1211" s="19">
        <v>0.9032</v>
      </c>
      <c r="X1211" s="6">
        <v>14.57</v>
      </c>
      <c r="Y1211" s="21">
        <v>-344911.73140958301</v>
      </c>
      <c r="Z1211" s="6">
        <v>-13094</v>
      </c>
      <c r="AA1211" s="6">
        <v>-6.2780415141225099</v>
      </c>
    </row>
    <row r="1212" spans="1:27" x14ac:dyDescent="0.25">
      <c r="A1212" s="7" t="str">
        <f t="shared" si="18"/>
        <v>3928Swedish Cherry Hill466522074292 PRE-ADMISSION CENTER</v>
      </c>
      <c r="B1212" s="7"/>
      <c r="C1212" s="29" t="s">
        <v>185</v>
      </c>
      <c r="D1212" s="29" t="s">
        <v>521</v>
      </c>
      <c r="E1212" s="29" t="s">
        <v>186</v>
      </c>
      <c r="F1212" s="29">
        <v>3928</v>
      </c>
      <c r="G1212" s="4" t="s">
        <v>617</v>
      </c>
      <c r="H1212" s="5">
        <v>4665</v>
      </c>
      <c r="I1212" s="4" t="s">
        <v>192</v>
      </c>
      <c r="J1212" s="4" t="s">
        <v>83</v>
      </c>
      <c r="K1212" s="4" t="s">
        <v>644</v>
      </c>
      <c r="L1212" s="4" t="s">
        <v>77</v>
      </c>
      <c r="M1212" s="6">
        <v>554</v>
      </c>
      <c r="N1212" s="6">
        <v>1491</v>
      </c>
      <c r="O1212" s="19">
        <v>0</v>
      </c>
      <c r="P1212" s="6">
        <v>15.71</v>
      </c>
      <c r="Q1212" s="6">
        <v>6.12</v>
      </c>
      <c r="R1212" s="19">
        <v>0.84619999999999995</v>
      </c>
      <c r="S1212" s="20">
        <v>14</v>
      </c>
      <c r="T1212" s="6">
        <v>1.54</v>
      </c>
      <c r="U1212" s="6">
        <v>1.77</v>
      </c>
      <c r="V1212" s="6">
        <v>2.38</v>
      </c>
      <c r="W1212" s="19">
        <v>0.87270000000000003</v>
      </c>
      <c r="X1212" s="6">
        <v>5.0199999999999996</v>
      </c>
      <c r="Y1212" s="21">
        <v>351595.78649674403</v>
      </c>
      <c r="Z1212" s="6">
        <v>7446</v>
      </c>
      <c r="AA1212" s="6">
        <v>3.5701132109592102</v>
      </c>
    </row>
    <row r="1213" spans="1:27" x14ac:dyDescent="0.25">
      <c r="A1213" s="7" t="str">
        <f t="shared" si="18"/>
        <v>3928Swedish Cherry Hill302022074270 RECOVERY</v>
      </c>
      <c r="B1213" s="7"/>
      <c r="C1213" s="29" t="s">
        <v>185</v>
      </c>
      <c r="D1213" s="29" t="s">
        <v>521</v>
      </c>
      <c r="E1213" s="29" t="s">
        <v>186</v>
      </c>
      <c r="F1213" s="29">
        <v>3928</v>
      </c>
      <c r="G1213" s="4" t="s">
        <v>617</v>
      </c>
      <c r="H1213" s="5">
        <v>3020</v>
      </c>
      <c r="I1213" s="4" t="s">
        <v>89</v>
      </c>
      <c r="J1213" s="4" t="s">
        <v>47</v>
      </c>
      <c r="K1213" s="4" t="s">
        <v>643</v>
      </c>
      <c r="L1213" s="4" t="s">
        <v>90</v>
      </c>
      <c r="M1213" s="6">
        <v>3061.22</v>
      </c>
      <c r="N1213" s="6">
        <v>3873.51</v>
      </c>
      <c r="O1213" s="19">
        <v>0.46150000000000002</v>
      </c>
      <c r="P1213" s="6">
        <v>5.72</v>
      </c>
      <c r="Q1213" s="6">
        <v>5.45</v>
      </c>
      <c r="R1213" s="19">
        <v>1</v>
      </c>
      <c r="S1213" s="20">
        <v>14</v>
      </c>
      <c r="T1213" s="6">
        <v>3.22</v>
      </c>
      <c r="U1213" s="6">
        <v>3.45</v>
      </c>
      <c r="V1213" s="6">
        <v>3.65</v>
      </c>
      <c r="W1213" s="19">
        <v>0.83850000000000002</v>
      </c>
      <c r="X1213" s="6">
        <v>12.1</v>
      </c>
      <c r="Y1213" s="21">
        <v>530535.60857495805</v>
      </c>
      <c r="Z1213" s="6">
        <v>9299</v>
      </c>
      <c r="AA1213" s="6">
        <v>4.4586715330382898</v>
      </c>
    </row>
    <row r="1214" spans="1:27" x14ac:dyDescent="0.25">
      <c r="A1214" s="7" t="str">
        <f t="shared" si="18"/>
        <v>3928Swedish Cherry Hill112222061790 CARDIAC UNIT</v>
      </c>
      <c r="B1214" s="7"/>
      <c r="C1214" s="29" t="s">
        <v>185</v>
      </c>
      <c r="D1214" s="29" t="s">
        <v>521</v>
      </c>
      <c r="E1214" s="29" t="s">
        <v>186</v>
      </c>
      <c r="F1214" s="29">
        <v>3928</v>
      </c>
      <c r="G1214" s="4" t="s">
        <v>617</v>
      </c>
      <c r="H1214" s="5">
        <v>1122</v>
      </c>
      <c r="I1214" s="4" t="s">
        <v>105</v>
      </c>
      <c r="J1214" s="4" t="s">
        <v>23</v>
      </c>
      <c r="K1214" s="4" t="s">
        <v>622</v>
      </c>
      <c r="L1214" s="4" t="s">
        <v>74</v>
      </c>
      <c r="M1214" s="6">
        <v>10122.379999999999</v>
      </c>
      <c r="N1214" s="6">
        <v>11424</v>
      </c>
      <c r="O1214" s="19">
        <v>0.42859999999999998</v>
      </c>
      <c r="P1214" s="6">
        <v>10.84</v>
      </c>
      <c r="Q1214" s="6">
        <v>10.73</v>
      </c>
      <c r="R1214" s="19">
        <v>7.1400000000000005E-2</v>
      </c>
      <c r="S1214" s="20">
        <v>15</v>
      </c>
      <c r="T1214" s="6">
        <v>10.91</v>
      </c>
      <c r="U1214" s="6">
        <v>10.95</v>
      </c>
      <c r="V1214" s="6">
        <v>11.05</v>
      </c>
      <c r="W1214" s="19">
        <v>0.87629999999999997</v>
      </c>
      <c r="X1214" s="6">
        <v>67.27</v>
      </c>
      <c r="Y1214" s="21">
        <v>-101510.902350187</v>
      </c>
      <c r="Z1214" s="6">
        <v>-2446</v>
      </c>
      <c r="AA1214" s="6">
        <v>-1.17278306211827</v>
      </c>
    </row>
    <row r="1215" spans="1:27" x14ac:dyDescent="0.25">
      <c r="A1215" s="7" t="str">
        <f t="shared" si="18"/>
        <v>3928Swedish Cherry Hill139022063400 BEHAVIORAL PSYCH</v>
      </c>
      <c r="B1215" s="7"/>
      <c r="C1215" s="29" t="s">
        <v>185</v>
      </c>
      <c r="D1215" s="29" t="s">
        <v>521</v>
      </c>
      <c r="E1215" s="29" t="s">
        <v>186</v>
      </c>
      <c r="F1215" s="29">
        <v>3928</v>
      </c>
      <c r="G1215" s="4" t="s">
        <v>617</v>
      </c>
      <c r="H1215" s="5">
        <v>1390</v>
      </c>
      <c r="I1215" s="4" t="s">
        <v>174</v>
      </c>
      <c r="J1215" s="4" t="s">
        <v>23</v>
      </c>
      <c r="K1215" s="4" t="s">
        <v>623</v>
      </c>
      <c r="L1215" s="4" t="s">
        <v>114</v>
      </c>
      <c r="M1215" s="6">
        <v>3501</v>
      </c>
      <c r="N1215" s="6">
        <v>3527</v>
      </c>
      <c r="O1215" s="19">
        <v>0.5</v>
      </c>
      <c r="P1215" s="6">
        <v>9.68</v>
      </c>
      <c r="Q1215" s="6">
        <v>10.56</v>
      </c>
      <c r="R1215" s="19">
        <v>0.28570000000000001</v>
      </c>
      <c r="S1215" s="20">
        <v>15</v>
      </c>
      <c r="T1215" s="6">
        <v>10.08</v>
      </c>
      <c r="U1215" s="6">
        <v>10.67</v>
      </c>
      <c r="V1215" s="6">
        <v>11.4</v>
      </c>
      <c r="W1215" s="19">
        <v>0.88360000000000005</v>
      </c>
      <c r="X1215" s="6">
        <v>20.260000000000002</v>
      </c>
      <c r="Y1215" s="21">
        <v>-16710.547714394001</v>
      </c>
      <c r="Z1215" s="6">
        <v>-334</v>
      </c>
      <c r="AA1215" s="6">
        <v>-0.16030999728626899</v>
      </c>
    </row>
    <row r="1216" spans="1:27" x14ac:dyDescent="0.25">
      <c r="A1216" s="7" t="str">
        <f t="shared" si="18"/>
        <v>3928Swedish Cherry Hill345022076700 ULTRASOUND</v>
      </c>
      <c r="B1216" s="7"/>
      <c r="C1216" s="29" t="s">
        <v>185</v>
      </c>
      <c r="D1216" s="29" t="s">
        <v>521</v>
      </c>
      <c r="E1216" s="29" t="s">
        <v>186</v>
      </c>
      <c r="F1216" s="29">
        <v>3928</v>
      </c>
      <c r="G1216" s="4" t="s">
        <v>617</v>
      </c>
      <c r="H1216" s="5">
        <v>3450</v>
      </c>
      <c r="I1216" s="4" t="s">
        <v>122</v>
      </c>
      <c r="J1216" s="4" t="s">
        <v>57</v>
      </c>
      <c r="K1216" s="4" t="s">
        <v>657</v>
      </c>
      <c r="L1216" s="4" t="s">
        <v>99</v>
      </c>
      <c r="M1216" s="6">
        <v>18165.46</v>
      </c>
      <c r="N1216" s="6">
        <v>20105.77</v>
      </c>
      <c r="O1216" s="19">
        <v>0.5333</v>
      </c>
      <c r="P1216" s="6">
        <v>0.6</v>
      </c>
      <c r="Q1216" s="6">
        <v>0.54</v>
      </c>
      <c r="R1216" s="19">
        <v>0.625</v>
      </c>
      <c r="S1216" s="20">
        <v>16</v>
      </c>
      <c r="T1216" s="6">
        <v>0.45</v>
      </c>
      <c r="U1216" s="6">
        <v>0.48</v>
      </c>
      <c r="V1216" s="6">
        <v>0.49</v>
      </c>
      <c r="W1216" s="19">
        <v>0.85470000000000002</v>
      </c>
      <c r="X1216" s="6">
        <v>6.06</v>
      </c>
      <c r="Y1216" s="21">
        <v>79299.196762720996</v>
      </c>
      <c r="Z1216" s="6">
        <v>1348</v>
      </c>
      <c r="AA1216" s="6">
        <v>0.64627236735306004</v>
      </c>
    </row>
    <row r="1217" spans="1:27" x14ac:dyDescent="0.25">
      <c r="A1217" s="7" t="str">
        <f t="shared" si="18"/>
        <v>3928Swedish Cherry Hill111022061300 NEURO TELEMETRY</v>
      </c>
      <c r="B1217" s="7"/>
      <c r="C1217" s="29" t="s">
        <v>185</v>
      </c>
      <c r="D1217" s="29" t="s">
        <v>521</v>
      </c>
      <c r="E1217" s="29" t="s">
        <v>186</v>
      </c>
      <c r="F1217" s="29">
        <v>3928</v>
      </c>
      <c r="G1217" s="4" t="s">
        <v>617</v>
      </c>
      <c r="H1217" s="5">
        <v>1110</v>
      </c>
      <c r="I1217" s="4" t="s">
        <v>111</v>
      </c>
      <c r="J1217" s="4" t="s">
        <v>23</v>
      </c>
      <c r="K1217" s="4" t="s">
        <v>620</v>
      </c>
      <c r="L1217" s="4" t="s">
        <v>74</v>
      </c>
      <c r="M1217" s="6">
        <v>10219.83</v>
      </c>
      <c r="N1217" s="6">
        <v>11605</v>
      </c>
      <c r="O1217" s="19">
        <v>0.5</v>
      </c>
      <c r="P1217" s="6">
        <v>10.97</v>
      </c>
      <c r="Q1217" s="6">
        <v>11.23</v>
      </c>
      <c r="R1217" s="19">
        <v>0.4375</v>
      </c>
      <c r="S1217" s="20">
        <v>17</v>
      </c>
      <c r="T1217" s="6">
        <v>11.05</v>
      </c>
      <c r="U1217" s="6">
        <v>11.15</v>
      </c>
      <c r="V1217" s="6">
        <v>11.48</v>
      </c>
      <c r="W1217" s="19">
        <v>0.91469999999999996</v>
      </c>
      <c r="X1217" s="6">
        <v>68.48</v>
      </c>
      <c r="Y1217" s="21">
        <v>54513.192549175597</v>
      </c>
      <c r="Z1217" s="6">
        <v>1366</v>
      </c>
      <c r="AA1217" s="6">
        <v>0.655048488963757</v>
      </c>
    </row>
    <row r="1218" spans="1:27" x14ac:dyDescent="0.25">
      <c r="A1218" s="7" t="str">
        <f t="shared" si="18"/>
        <v>3928Swedish Cherry Hill111022070860 NEUROSCIENCE EPILEPSY</v>
      </c>
      <c r="B1218" s="7"/>
      <c r="C1218" s="29" t="s">
        <v>185</v>
      </c>
      <c r="D1218" s="29" t="s">
        <v>521</v>
      </c>
      <c r="E1218" s="29" t="s">
        <v>186</v>
      </c>
      <c r="F1218" s="29">
        <v>3928</v>
      </c>
      <c r="G1218" s="4" t="s">
        <v>617</v>
      </c>
      <c r="H1218" s="5">
        <v>1110</v>
      </c>
      <c r="I1218" s="4" t="s">
        <v>111</v>
      </c>
      <c r="J1218" s="4" t="s">
        <v>23</v>
      </c>
      <c r="K1218" s="4" t="s">
        <v>640</v>
      </c>
      <c r="L1218" s="4" t="s">
        <v>74</v>
      </c>
      <c r="M1218" s="7"/>
      <c r="N1218" s="6">
        <v>11568</v>
      </c>
      <c r="O1218" s="19">
        <v>0.5</v>
      </c>
      <c r="P1218" s="7"/>
      <c r="Q1218" s="6">
        <v>11.48</v>
      </c>
      <c r="R1218" s="19">
        <v>0.47060000000000002</v>
      </c>
      <c r="S1218" s="20">
        <v>17</v>
      </c>
      <c r="T1218" s="6">
        <v>11.06</v>
      </c>
      <c r="U1218" s="6">
        <v>11.18</v>
      </c>
      <c r="V1218" s="6">
        <v>11.53</v>
      </c>
      <c r="W1218" s="19">
        <v>0.87649999999999995</v>
      </c>
      <c r="X1218" s="6">
        <v>72.87</v>
      </c>
      <c r="Y1218" s="21">
        <v>171289.58135457401</v>
      </c>
      <c r="Z1218" s="6">
        <v>4432</v>
      </c>
      <c r="AA1218" s="6">
        <v>2.1249069847070201</v>
      </c>
    </row>
    <row r="1219" spans="1:27" x14ac:dyDescent="0.25">
      <c r="A1219" s="7" t="str">
        <f t="shared" ref="A1219:A1282" si="19">F1219&amp;G1219&amp;H1219&amp;K1219</f>
        <v>3928Swedish Cherry Hill1830Centralized Telemetry (N)</v>
      </c>
      <c r="B1219" s="7"/>
      <c r="C1219" s="29" t="s">
        <v>185</v>
      </c>
      <c r="D1219" s="29" t="s">
        <v>521</v>
      </c>
      <c r="E1219" s="29" t="s">
        <v>186</v>
      </c>
      <c r="F1219" s="29">
        <v>3928</v>
      </c>
      <c r="G1219" s="4" t="s">
        <v>617</v>
      </c>
      <c r="H1219" s="5">
        <v>1830</v>
      </c>
      <c r="I1219" s="4" t="s">
        <v>22</v>
      </c>
      <c r="J1219" s="4" t="s">
        <v>23</v>
      </c>
      <c r="K1219" s="4" t="s">
        <v>598</v>
      </c>
      <c r="L1219" s="4" t="s">
        <v>24</v>
      </c>
      <c r="M1219" s="6">
        <v>28916</v>
      </c>
      <c r="N1219" s="6">
        <v>44125</v>
      </c>
      <c r="O1219" s="19">
        <v>0.47060000000000002</v>
      </c>
      <c r="P1219" s="6">
        <v>0.65</v>
      </c>
      <c r="Q1219" s="6">
        <v>0.49</v>
      </c>
      <c r="R1219" s="19">
        <v>0.29409999999999997</v>
      </c>
      <c r="S1219" s="20">
        <v>18</v>
      </c>
      <c r="T1219" s="6">
        <v>0.48</v>
      </c>
      <c r="U1219" s="6">
        <v>0.51</v>
      </c>
      <c r="V1219" s="6">
        <v>0.57999999999999996</v>
      </c>
      <c r="W1219" s="19">
        <v>0.88980000000000004</v>
      </c>
      <c r="X1219" s="6">
        <v>11.59</v>
      </c>
      <c r="Y1219" s="21">
        <v>-29423.658979437299</v>
      </c>
      <c r="Z1219" s="6">
        <v>-1118</v>
      </c>
      <c r="AA1219" s="6">
        <v>-0.53580701175790701</v>
      </c>
    </row>
    <row r="1220" spans="1:27" x14ac:dyDescent="0.25">
      <c r="A1220" s="7" t="str">
        <f t="shared" si="19"/>
        <v>3928Swedish Cherry Hill425022075710 ELECTROPHYSIOLOGY LAB/22075702 STERIOTAXIS LAB</v>
      </c>
      <c r="B1220" s="7"/>
      <c r="C1220" s="29" t="s">
        <v>185</v>
      </c>
      <c r="D1220" s="29" t="s">
        <v>521</v>
      </c>
      <c r="E1220" s="29" t="s">
        <v>186</v>
      </c>
      <c r="F1220" s="29">
        <v>3928</v>
      </c>
      <c r="G1220" s="4" t="s">
        <v>617</v>
      </c>
      <c r="H1220" s="5">
        <v>4250</v>
      </c>
      <c r="I1220" s="4" t="s">
        <v>296</v>
      </c>
      <c r="J1220" s="4" t="s">
        <v>60</v>
      </c>
      <c r="K1220" s="4" t="s">
        <v>648</v>
      </c>
      <c r="L1220" s="4" t="s">
        <v>97</v>
      </c>
      <c r="M1220" s="6">
        <v>166207</v>
      </c>
      <c r="N1220" s="6">
        <v>184326</v>
      </c>
      <c r="O1220" s="19">
        <v>0.47060000000000002</v>
      </c>
      <c r="P1220" s="6">
        <v>0.1</v>
      </c>
      <c r="Q1220" s="6">
        <v>0.11</v>
      </c>
      <c r="R1220" s="19">
        <v>0.375</v>
      </c>
      <c r="S1220" s="20">
        <v>18</v>
      </c>
      <c r="T1220" s="6">
        <v>0.09</v>
      </c>
      <c r="U1220" s="6">
        <v>0.1</v>
      </c>
      <c r="V1220" s="6">
        <v>0.12</v>
      </c>
      <c r="W1220" s="19">
        <v>0.89729999999999999</v>
      </c>
      <c r="X1220" s="6">
        <v>10.71</v>
      </c>
      <c r="Y1220" s="21">
        <v>94240.053826739299</v>
      </c>
      <c r="Z1220" s="6">
        <v>1796</v>
      </c>
      <c r="AA1220" s="6">
        <v>0.86088768887730904</v>
      </c>
    </row>
    <row r="1221" spans="1:27" x14ac:dyDescent="0.25">
      <c r="A1221" s="7" t="str">
        <f t="shared" si="19"/>
        <v>3928Swedish Cherry Hill141022064400, REHAB UNIT</v>
      </c>
      <c r="B1221" s="7"/>
      <c r="C1221" s="29" t="s">
        <v>185</v>
      </c>
      <c r="D1221" s="29" t="s">
        <v>521</v>
      </c>
      <c r="E1221" s="29" t="s">
        <v>186</v>
      </c>
      <c r="F1221" s="29">
        <v>3928</v>
      </c>
      <c r="G1221" s="4" t="s">
        <v>617</v>
      </c>
      <c r="H1221" s="5">
        <v>1410</v>
      </c>
      <c r="I1221" s="4" t="s">
        <v>113</v>
      </c>
      <c r="J1221" s="4" t="s">
        <v>23</v>
      </c>
      <c r="K1221" s="4" t="s">
        <v>636</v>
      </c>
      <c r="L1221" s="4" t="s">
        <v>74</v>
      </c>
      <c r="M1221" s="6">
        <v>5830</v>
      </c>
      <c r="N1221" s="6">
        <v>6609</v>
      </c>
      <c r="O1221" s="19">
        <v>0.47060000000000002</v>
      </c>
      <c r="P1221" s="6">
        <v>10.029999999999999</v>
      </c>
      <c r="Q1221" s="6">
        <v>10.66</v>
      </c>
      <c r="R1221" s="19">
        <v>0.8125</v>
      </c>
      <c r="S1221" s="20">
        <v>18</v>
      </c>
      <c r="T1221" s="6">
        <v>9.66</v>
      </c>
      <c r="U1221" s="6">
        <v>9.89</v>
      </c>
      <c r="V1221" s="6">
        <v>10.15</v>
      </c>
      <c r="W1221" s="19">
        <v>0.90310000000000001</v>
      </c>
      <c r="X1221" s="6">
        <v>37.5</v>
      </c>
      <c r="Y1221" s="21">
        <v>255775.00830633601</v>
      </c>
      <c r="Z1221" s="6">
        <v>5838</v>
      </c>
      <c r="AA1221" s="6">
        <v>2.7988106518635201</v>
      </c>
    </row>
    <row r="1222" spans="1:27" x14ac:dyDescent="0.25">
      <c r="A1222" s="7" t="str">
        <f t="shared" si="19"/>
        <v>3928Swedish Cherry Hill511122083401 DIET CONSULTANTS</v>
      </c>
      <c r="B1222" s="7"/>
      <c r="C1222" s="29" t="s">
        <v>185</v>
      </c>
      <c r="D1222" s="29" t="s">
        <v>521</v>
      </c>
      <c r="E1222" s="29" t="s">
        <v>186</v>
      </c>
      <c r="F1222" s="29">
        <v>3928</v>
      </c>
      <c r="G1222" s="4" t="s">
        <v>617</v>
      </c>
      <c r="H1222" s="5">
        <v>5111</v>
      </c>
      <c r="I1222" s="4" t="s">
        <v>64</v>
      </c>
      <c r="J1222" s="4" t="s">
        <v>65</v>
      </c>
      <c r="K1222" s="4" t="s">
        <v>630</v>
      </c>
      <c r="L1222" s="4" t="s">
        <v>67</v>
      </c>
      <c r="M1222" s="6">
        <v>27516</v>
      </c>
      <c r="N1222" s="6">
        <v>36942</v>
      </c>
      <c r="O1222" s="19">
        <v>0.52939999999999998</v>
      </c>
      <c r="P1222" s="6">
        <v>0.39</v>
      </c>
      <c r="Q1222" s="6">
        <v>0.33</v>
      </c>
      <c r="R1222" s="19">
        <v>0.21429999999999999</v>
      </c>
      <c r="S1222" s="20">
        <v>18</v>
      </c>
      <c r="T1222" s="6">
        <v>0.34</v>
      </c>
      <c r="U1222" s="6">
        <v>0.36</v>
      </c>
      <c r="V1222" s="6">
        <v>0.37</v>
      </c>
      <c r="W1222" s="19">
        <v>0.87690000000000001</v>
      </c>
      <c r="X1222" s="6">
        <v>6.7</v>
      </c>
      <c r="Y1222" s="21">
        <v>-33888.918254894503</v>
      </c>
      <c r="Z1222" s="6">
        <v>-1192</v>
      </c>
      <c r="AA1222" s="6">
        <v>-0.57144952044706399</v>
      </c>
    </row>
    <row r="1223" spans="1:27" x14ac:dyDescent="0.25">
      <c r="A1223" s="7" t="str">
        <f t="shared" si="19"/>
        <v>3928Swedish Cherry Hill500122084500 FACILITY MANAGEMENT/22084560 FACILITIES CONSTRUCTION</v>
      </c>
      <c r="B1223" s="7"/>
      <c r="C1223" s="29" t="s">
        <v>185</v>
      </c>
      <c r="D1223" s="29" t="s">
        <v>521</v>
      </c>
      <c r="E1223" s="29" t="s">
        <v>186</v>
      </c>
      <c r="F1223" s="29">
        <v>3928</v>
      </c>
      <c r="G1223" s="4" t="s">
        <v>617</v>
      </c>
      <c r="H1223" s="5">
        <v>5001</v>
      </c>
      <c r="I1223" s="4" t="s">
        <v>141</v>
      </c>
      <c r="J1223" s="4" t="s">
        <v>62</v>
      </c>
      <c r="K1223" s="4" t="s">
        <v>634</v>
      </c>
      <c r="L1223" s="4" t="s">
        <v>63</v>
      </c>
      <c r="M1223" s="6">
        <v>936.16</v>
      </c>
      <c r="N1223" s="6">
        <v>964.23</v>
      </c>
      <c r="O1223" s="19">
        <v>0.52939999999999998</v>
      </c>
      <c r="P1223" s="6">
        <v>37.78</v>
      </c>
      <c r="Q1223" s="6">
        <v>28.57</v>
      </c>
      <c r="R1223" s="19">
        <v>0.17649999999999999</v>
      </c>
      <c r="S1223" s="20">
        <v>18</v>
      </c>
      <c r="T1223" s="6">
        <v>31.24</v>
      </c>
      <c r="U1223" s="6">
        <v>33.6</v>
      </c>
      <c r="V1223" s="6">
        <v>36.75</v>
      </c>
      <c r="W1223" s="19">
        <v>0.87460000000000004</v>
      </c>
      <c r="X1223" s="6">
        <v>15.14</v>
      </c>
      <c r="Y1223" s="21">
        <v>-197113.77199306499</v>
      </c>
      <c r="Z1223" s="6">
        <v>-5466</v>
      </c>
      <c r="AA1223" s="6">
        <v>-2.6206396462683101</v>
      </c>
    </row>
    <row r="1224" spans="1:27" x14ac:dyDescent="0.25">
      <c r="A1224" s="7" t="str">
        <f t="shared" si="19"/>
        <v>3928Swedish Cherry Hill342022076800 CT SCANNING</v>
      </c>
      <c r="B1224" s="7"/>
      <c r="C1224" s="29" t="s">
        <v>185</v>
      </c>
      <c r="D1224" s="29" t="s">
        <v>521</v>
      </c>
      <c r="E1224" s="29" t="s">
        <v>186</v>
      </c>
      <c r="F1224" s="29">
        <v>3928</v>
      </c>
      <c r="G1224" s="4" t="s">
        <v>617</v>
      </c>
      <c r="H1224" s="5">
        <v>3420</v>
      </c>
      <c r="I1224" s="4" t="s">
        <v>123</v>
      </c>
      <c r="J1224" s="4" t="s">
        <v>57</v>
      </c>
      <c r="K1224" s="4" t="s">
        <v>625</v>
      </c>
      <c r="L1224" s="4" t="s">
        <v>99</v>
      </c>
      <c r="M1224" s="6">
        <v>48541.63</v>
      </c>
      <c r="N1224" s="6">
        <v>51535.63</v>
      </c>
      <c r="O1224" s="19">
        <v>0.77780000000000005</v>
      </c>
      <c r="P1224" s="6">
        <v>0.33</v>
      </c>
      <c r="Q1224" s="6">
        <v>0.35</v>
      </c>
      <c r="R1224" s="19">
        <v>1</v>
      </c>
      <c r="S1224" s="20">
        <v>19</v>
      </c>
      <c r="T1224" s="6">
        <v>0.25</v>
      </c>
      <c r="U1224" s="6">
        <v>0.26</v>
      </c>
      <c r="V1224" s="6">
        <v>0.28000000000000003</v>
      </c>
      <c r="W1224" s="19">
        <v>0.83879999999999999</v>
      </c>
      <c r="X1224" s="6">
        <v>10.37</v>
      </c>
      <c r="Y1224" s="21">
        <v>276871.38458668703</v>
      </c>
      <c r="Z1224" s="6">
        <v>5654</v>
      </c>
      <c r="AA1224" s="6">
        <v>2.7110246017748398</v>
      </c>
    </row>
    <row r="1225" spans="1:27" x14ac:dyDescent="0.25">
      <c r="A1225" s="7" t="str">
        <f t="shared" si="19"/>
        <v>3928Swedish Cherry Hill661022076200 NEUROSCIENCE ADMIN/22086100 ADMINISTRATION/22087902 SWED HEART AND VASC (U)</v>
      </c>
      <c r="B1225" s="7"/>
      <c r="C1225" s="29" t="s">
        <v>185</v>
      </c>
      <c r="D1225" s="29" t="s">
        <v>521</v>
      </c>
      <c r="E1225" s="29" t="s">
        <v>186</v>
      </c>
      <c r="F1225" s="29">
        <v>3928</v>
      </c>
      <c r="G1225" s="4" t="s">
        <v>617</v>
      </c>
      <c r="H1225" s="5">
        <v>6610</v>
      </c>
      <c r="I1225" s="4" t="s">
        <v>72</v>
      </c>
      <c r="J1225" s="4" t="s">
        <v>72</v>
      </c>
      <c r="K1225" s="4" t="s">
        <v>651</v>
      </c>
      <c r="L1225" s="4" t="s">
        <v>14</v>
      </c>
      <c r="M1225" s="6">
        <v>134.13999999999999</v>
      </c>
      <c r="N1225" s="6">
        <v>129.04</v>
      </c>
      <c r="O1225" s="19">
        <v>0.4874</v>
      </c>
      <c r="P1225" s="6">
        <v>210.47</v>
      </c>
      <c r="Q1225" s="6">
        <v>245.74</v>
      </c>
      <c r="R1225" s="7"/>
      <c r="S1225" s="20">
        <v>19</v>
      </c>
      <c r="T1225" s="6">
        <v>73</v>
      </c>
      <c r="U1225" s="6">
        <v>74.489999999999995</v>
      </c>
      <c r="V1225" s="6">
        <v>87.37</v>
      </c>
      <c r="W1225" s="19">
        <v>0.91769999999999996</v>
      </c>
      <c r="X1225" s="6">
        <v>16.61</v>
      </c>
      <c r="Y1225" s="21">
        <v>1903788.1821774</v>
      </c>
      <c r="Z1225" s="6">
        <v>24169</v>
      </c>
      <c r="AA1225" s="6">
        <v>11.588080395930101</v>
      </c>
    </row>
    <row r="1226" spans="1:27" x14ac:dyDescent="0.25">
      <c r="A1226" s="7" t="str">
        <f t="shared" si="19"/>
        <v>3928Swedish Cherry Hill511022083400 NUTRITION SERVICES</v>
      </c>
      <c r="B1226" s="7"/>
      <c r="C1226" s="29" t="s">
        <v>185</v>
      </c>
      <c r="D1226" s="29" t="s">
        <v>521</v>
      </c>
      <c r="E1226" s="29" t="s">
        <v>186</v>
      </c>
      <c r="F1226" s="29">
        <v>3928</v>
      </c>
      <c r="G1226" s="4" t="s">
        <v>617</v>
      </c>
      <c r="H1226" s="5">
        <v>5110</v>
      </c>
      <c r="I1226" s="4" t="s">
        <v>129</v>
      </c>
      <c r="J1226" s="4" t="s">
        <v>65</v>
      </c>
      <c r="K1226" s="4" t="s">
        <v>629</v>
      </c>
      <c r="L1226" s="4" t="s">
        <v>130</v>
      </c>
      <c r="M1226" s="6">
        <v>202967.92</v>
      </c>
      <c r="N1226" s="97">
        <v>224213.74</v>
      </c>
      <c r="O1226" s="19">
        <v>0.1111</v>
      </c>
      <c r="P1226" s="6">
        <v>0.31</v>
      </c>
      <c r="Q1226" s="6">
        <v>0.31</v>
      </c>
      <c r="R1226" s="19">
        <v>0.61109999999999998</v>
      </c>
      <c r="S1226" s="20">
        <v>19</v>
      </c>
      <c r="T1226" s="6">
        <v>0.25</v>
      </c>
      <c r="U1226" s="6">
        <v>0.27</v>
      </c>
      <c r="V1226" s="6">
        <v>0.3</v>
      </c>
      <c r="W1226" s="19">
        <v>0.88280000000000003</v>
      </c>
      <c r="X1226" s="6">
        <v>38.32</v>
      </c>
      <c r="Y1226" s="21">
        <v>248132.35664391899</v>
      </c>
      <c r="Z1226" s="6">
        <v>11349</v>
      </c>
      <c r="AA1226" s="6">
        <v>5.4415131871181996</v>
      </c>
    </row>
    <row r="1227" spans="1:27" x14ac:dyDescent="0.25">
      <c r="A1227" s="7" t="str">
        <f t="shared" si="19"/>
        <v>3928Swedish Cherry Hill487222077709 OP REHAB SERVICES</v>
      </c>
      <c r="B1227" s="7"/>
      <c r="C1227" s="29" t="s">
        <v>185</v>
      </c>
      <c r="D1227" s="29" t="s">
        <v>521</v>
      </c>
      <c r="E1227" s="29" t="s">
        <v>186</v>
      </c>
      <c r="F1227" s="29">
        <v>3928</v>
      </c>
      <c r="G1227" s="4" t="s">
        <v>617</v>
      </c>
      <c r="H1227" s="5">
        <v>4872</v>
      </c>
      <c r="I1227" s="4" t="s">
        <v>197</v>
      </c>
      <c r="J1227" s="4" t="s">
        <v>41</v>
      </c>
      <c r="K1227" s="4" t="s">
        <v>659</v>
      </c>
      <c r="L1227" s="4" t="s">
        <v>79</v>
      </c>
      <c r="M1227" s="6">
        <v>792.01</v>
      </c>
      <c r="N1227" s="6">
        <v>1188.82</v>
      </c>
      <c r="O1227" s="19">
        <v>0.42109999999999997</v>
      </c>
      <c r="P1227" s="6">
        <v>22.92</v>
      </c>
      <c r="Q1227" s="6">
        <v>20.3</v>
      </c>
      <c r="R1227" s="19">
        <v>0.22220000000000001</v>
      </c>
      <c r="S1227" s="20">
        <v>20</v>
      </c>
      <c r="T1227" s="6">
        <v>21.55</v>
      </c>
      <c r="U1227" s="6">
        <v>23.14</v>
      </c>
      <c r="V1227" s="6">
        <v>25.26</v>
      </c>
      <c r="W1227" s="19">
        <v>0.86750000000000005</v>
      </c>
      <c r="X1227" s="6">
        <v>13.37</v>
      </c>
      <c r="Y1227" s="21">
        <v>-175933.24911026401</v>
      </c>
      <c r="Z1227" s="6">
        <v>-3825</v>
      </c>
      <c r="AA1227" s="6">
        <v>-1.83400951781025</v>
      </c>
    </row>
    <row r="1228" spans="1:27" x14ac:dyDescent="0.25">
      <c r="A1228" s="7" t="str">
        <f t="shared" si="19"/>
        <v>3928Swedish Cherry Hill343022076600 MRI</v>
      </c>
      <c r="B1228" s="7"/>
      <c r="C1228" s="29" t="s">
        <v>185</v>
      </c>
      <c r="D1228" s="29" t="s">
        <v>521</v>
      </c>
      <c r="E1228" s="29" t="s">
        <v>186</v>
      </c>
      <c r="F1228" s="29">
        <v>3928</v>
      </c>
      <c r="G1228" s="4" t="s">
        <v>617</v>
      </c>
      <c r="H1228" s="5">
        <v>3430</v>
      </c>
      <c r="I1228" s="4" t="s">
        <v>121</v>
      </c>
      <c r="J1228" s="4" t="s">
        <v>57</v>
      </c>
      <c r="K1228" s="4" t="s">
        <v>656</v>
      </c>
      <c r="L1228" s="4" t="s">
        <v>99</v>
      </c>
      <c r="M1228" s="6">
        <v>70666.240000000005</v>
      </c>
      <c r="N1228" s="6">
        <v>73445.279999999999</v>
      </c>
      <c r="O1228" s="19">
        <v>0.47370000000000001</v>
      </c>
      <c r="P1228" s="6">
        <v>0.34</v>
      </c>
      <c r="Q1228" s="6">
        <v>0.37</v>
      </c>
      <c r="R1228" s="19">
        <v>0.36840000000000001</v>
      </c>
      <c r="S1228" s="20">
        <v>20</v>
      </c>
      <c r="T1228" s="6">
        <v>0.33</v>
      </c>
      <c r="U1228" s="6">
        <v>0.37</v>
      </c>
      <c r="V1228" s="6">
        <v>0.39</v>
      </c>
      <c r="W1228" s="19">
        <v>0.86360000000000003</v>
      </c>
      <c r="X1228" s="6">
        <v>15.04</v>
      </c>
      <c r="Y1228" s="21">
        <v>-5088.2532491972397</v>
      </c>
      <c r="Z1228" s="6">
        <v>-98</v>
      </c>
      <c r="AA1228" s="6">
        <v>-4.6939199089289098E-2</v>
      </c>
    </row>
    <row r="1229" spans="1:27" x14ac:dyDescent="0.25">
      <c r="A1229" s="7" t="str">
        <f t="shared" si="19"/>
        <v>3928Swedish Cherry Hill521122084400 ENVIRONMENTAL SERVICES</v>
      </c>
      <c r="B1229" s="7"/>
      <c r="C1229" s="29" t="s">
        <v>185</v>
      </c>
      <c r="D1229" s="29" t="s">
        <v>521</v>
      </c>
      <c r="E1229" s="29" t="s">
        <v>186</v>
      </c>
      <c r="F1229" s="29">
        <v>3928</v>
      </c>
      <c r="G1229" s="4" t="s">
        <v>617</v>
      </c>
      <c r="H1229" s="5">
        <v>5211</v>
      </c>
      <c r="I1229" s="4" t="s">
        <v>50</v>
      </c>
      <c r="J1229" s="4" t="s">
        <v>50</v>
      </c>
      <c r="K1229" s="4" t="s">
        <v>633</v>
      </c>
      <c r="L1229" s="4" t="s">
        <v>51</v>
      </c>
      <c r="M1229" s="6">
        <v>565.01</v>
      </c>
      <c r="N1229" s="6">
        <v>565.01</v>
      </c>
      <c r="O1229" s="19">
        <v>0.47370000000000001</v>
      </c>
      <c r="P1229" s="6">
        <v>158.41</v>
      </c>
      <c r="Q1229" s="6">
        <v>181.71</v>
      </c>
      <c r="R1229" s="19">
        <v>0.42109999999999997</v>
      </c>
      <c r="S1229" s="20">
        <v>20</v>
      </c>
      <c r="T1229" s="6">
        <v>144.72</v>
      </c>
      <c r="U1229" s="6">
        <v>169.15</v>
      </c>
      <c r="V1229" s="6">
        <v>190.69</v>
      </c>
      <c r="W1229" s="19">
        <v>0.88990000000000002</v>
      </c>
      <c r="X1229" s="6">
        <v>55.47</v>
      </c>
      <c r="Y1229" s="21">
        <v>165086.99037024399</v>
      </c>
      <c r="Z1229" s="6">
        <v>8298</v>
      </c>
      <c r="AA1229" s="6">
        <v>3.9785539298870098</v>
      </c>
    </row>
    <row r="1230" spans="1:27" x14ac:dyDescent="0.25">
      <c r="A1230" s="7" t="str">
        <f t="shared" si="19"/>
        <v>3928Swedish Cherry Hill191022087202 NURSING SUPERVISORS</v>
      </c>
      <c r="B1230" s="7"/>
      <c r="C1230" s="29" t="s">
        <v>185</v>
      </c>
      <c r="D1230" s="29" t="s">
        <v>521</v>
      </c>
      <c r="E1230" s="29" t="s">
        <v>186</v>
      </c>
      <c r="F1230" s="29">
        <v>3928</v>
      </c>
      <c r="G1230" s="4" t="s">
        <v>617</v>
      </c>
      <c r="H1230" s="5">
        <v>1910</v>
      </c>
      <c r="I1230" s="4" t="s">
        <v>34</v>
      </c>
      <c r="J1230" s="4" t="s">
        <v>23</v>
      </c>
      <c r="K1230" s="4" t="s">
        <v>665</v>
      </c>
      <c r="L1230" s="4" t="s">
        <v>35</v>
      </c>
      <c r="M1230" s="6">
        <v>508</v>
      </c>
      <c r="N1230" s="6">
        <v>544</v>
      </c>
      <c r="O1230" s="19">
        <v>0.4</v>
      </c>
      <c r="P1230" s="6">
        <v>24.41</v>
      </c>
      <c r="Q1230" s="6">
        <v>31.59</v>
      </c>
      <c r="R1230" s="19">
        <v>5.2600000000000001E-2</v>
      </c>
      <c r="S1230" s="20">
        <v>21</v>
      </c>
      <c r="T1230" s="6">
        <v>43.49</v>
      </c>
      <c r="U1230" s="6">
        <v>47.55</v>
      </c>
      <c r="V1230" s="6">
        <v>66.55</v>
      </c>
      <c r="W1230" s="19">
        <v>0.9133</v>
      </c>
      <c r="X1230" s="6">
        <v>7.22</v>
      </c>
      <c r="Y1230" s="21">
        <v>-800688.16325673705</v>
      </c>
      <c r="Z1230" s="6">
        <v>-13264</v>
      </c>
      <c r="AA1230" s="6">
        <v>-6.3595107173229799</v>
      </c>
    </row>
    <row r="1231" spans="1:27" x14ac:dyDescent="0.25">
      <c r="A1231" s="7" t="str">
        <f t="shared" si="19"/>
        <v>3928Swedish Cherry Hill426022076701 VASCULAR ULTRASOUND</v>
      </c>
      <c r="B1231" s="7"/>
      <c r="C1231" s="29" t="s">
        <v>185</v>
      </c>
      <c r="D1231" s="29" t="s">
        <v>521</v>
      </c>
      <c r="E1231" s="29" t="s">
        <v>186</v>
      </c>
      <c r="F1231" s="29">
        <v>3928</v>
      </c>
      <c r="G1231" s="4" t="s">
        <v>617</v>
      </c>
      <c r="H1231" s="5">
        <v>4260</v>
      </c>
      <c r="I1231" s="4" t="s">
        <v>158</v>
      </c>
      <c r="J1231" s="4" t="s">
        <v>60</v>
      </c>
      <c r="K1231" s="4" t="s">
        <v>624</v>
      </c>
      <c r="L1231" s="4" t="s">
        <v>99</v>
      </c>
      <c r="M1231" s="6">
        <v>19745.580000000002</v>
      </c>
      <c r="N1231" s="6">
        <v>19629.78</v>
      </c>
      <c r="O1231" s="19">
        <v>0.45</v>
      </c>
      <c r="P1231" s="6">
        <v>0.45</v>
      </c>
      <c r="Q1231" s="6">
        <v>0.42</v>
      </c>
      <c r="R1231" s="19">
        <v>0</v>
      </c>
      <c r="S1231" s="20">
        <v>21</v>
      </c>
      <c r="T1231" s="6">
        <v>0.56000000000000005</v>
      </c>
      <c r="U1231" s="6">
        <v>0.59</v>
      </c>
      <c r="V1231" s="6">
        <v>0.68</v>
      </c>
      <c r="W1231" s="19">
        <v>0.872</v>
      </c>
      <c r="X1231" s="6">
        <v>4.5199999999999996</v>
      </c>
      <c r="Y1231" s="21">
        <v>-214878.30248359599</v>
      </c>
      <c r="Z1231" s="6">
        <v>-3854</v>
      </c>
      <c r="AA1231" s="6">
        <v>-1.84794227445695</v>
      </c>
    </row>
    <row r="1232" spans="1:27" x14ac:dyDescent="0.25">
      <c r="A1232" s="7" t="str">
        <f t="shared" si="19"/>
        <v>3928Swedish Cherry Hill432022078740 SLEEP LAB</v>
      </c>
      <c r="B1232" s="7"/>
      <c r="C1232" s="29" t="s">
        <v>185</v>
      </c>
      <c r="D1232" s="29" t="s">
        <v>521</v>
      </c>
      <c r="E1232" s="29" t="s">
        <v>186</v>
      </c>
      <c r="F1232" s="29">
        <v>3928</v>
      </c>
      <c r="G1232" s="4" t="s">
        <v>617</v>
      </c>
      <c r="H1232" s="5">
        <v>4320</v>
      </c>
      <c r="I1232" s="4" t="s">
        <v>166</v>
      </c>
      <c r="J1232" s="4" t="s">
        <v>116</v>
      </c>
      <c r="K1232" s="4" t="s">
        <v>662</v>
      </c>
      <c r="L1232" s="4" t="s">
        <v>99</v>
      </c>
      <c r="M1232" s="6">
        <v>25832.57</v>
      </c>
      <c r="N1232" s="6">
        <v>25135.79</v>
      </c>
      <c r="O1232" s="19">
        <v>0.6</v>
      </c>
      <c r="P1232" s="6">
        <v>0.87</v>
      </c>
      <c r="Q1232" s="6">
        <v>0.7</v>
      </c>
      <c r="R1232" s="19">
        <v>5.2600000000000001E-2</v>
      </c>
      <c r="S1232" s="20">
        <v>21</v>
      </c>
      <c r="T1232" s="6">
        <v>0.79</v>
      </c>
      <c r="U1232" s="6">
        <v>0.83</v>
      </c>
      <c r="V1232" s="6">
        <v>0.94</v>
      </c>
      <c r="W1232" s="19">
        <v>0.91120000000000001</v>
      </c>
      <c r="X1232" s="6">
        <v>9.3000000000000007</v>
      </c>
      <c r="Y1232" s="21">
        <v>-145831.92067825</v>
      </c>
      <c r="Z1232" s="6">
        <v>-3499</v>
      </c>
      <c r="AA1232" s="6">
        <v>-1.67754129535362</v>
      </c>
    </row>
    <row r="1233" spans="1:27" x14ac:dyDescent="0.25">
      <c r="A1233" s="7" t="str">
        <f t="shared" si="19"/>
        <v>3928Swedish Cherry Hill4490Pharmacy Administration and Support (N)</v>
      </c>
      <c r="B1233" s="7"/>
      <c r="C1233" s="29" t="s">
        <v>185</v>
      </c>
      <c r="D1233" s="29" t="s">
        <v>521</v>
      </c>
      <c r="E1233" s="29" t="s">
        <v>186</v>
      </c>
      <c r="F1233" s="29">
        <v>3928</v>
      </c>
      <c r="G1233" s="4" t="s">
        <v>617</v>
      </c>
      <c r="H1233" s="5">
        <v>4490</v>
      </c>
      <c r="I1233" s="4" t="s">
        <v>36</v>
      </c>
      <c r="J1233" s="4" t="s">
        <v>37</v>
      </c>
      <c r="K1233" s="4" t="s">
        <v>667</v>
      </c>
      <c r="L1233" s="4" t="s">
        <v>39</v>
      </c>
      <c r="M1233" s="6">
        <v>33829.29</v>
      </c>
      <c r="N1233" s="6">
        <v>33449.01</v>
      </c>
      <c r="O1233" s="19">
        <v>0.57140000000000002</v>
      </c>
      <c r="P1233" s="6">
        <v>0.19</v>
      </c>
      <c r="Q1233" s="6">
        <v>0.14000000000000001</v>
      </c>
      <c r="R1233" s="19">
        <v>0.3</v>
      </c>
      <c r="S1233" s="20">
        <v>22</v>
      </c>
      <c r="T1233" s="6">
        <v>0.13</v>
      </c>
      <c r="U1233" s="6">
        <v>0.16</v>
      </c>
      <c r="V1233" s="6">
        <v>0.2</v>
      </c>
      <c r="W1233" s="19">
        <v>0.90190000000000003</v>
      </c>
      <c r="X1233" s="6">
        <v>2.41</v>
      </c>
      <c r="Y1233" s="21">
        <v>-49416.063871217797</v>
      </c>
      <c r="Z1233" s="6">
        <v>-907</v>
      </c>
      <c r="AA1233" s="6">
        <v>-0.43507043706078102</v>
      </c>
    </row>
    <row r="1234" spans="1:27" x14ac:dyDescent="0.25">
      <c r="A1234" s="7" t="str">
        <f t="shared" si="19"/>
        <v>3928Swedish Cherry Hill307022074701 STERILE PROCESSING/22084060 PRODUCT DISTRIBUTION CENTER</v>
      </c>
      <c r="B1234" s="7"/>
      <c r="C1234" s="29" t="s">
        <v>185</v>
      </c>
      <c r="D1234" s="29" t="s">
        <v>521</v>
      </c>
      <c r="E1234" s="29" t="s">
        <v>186</v>
      </c>
      <c r="F1234" s="29">
        <v>3928</v>
      </c>
      <c r="G1234" s="4" t="s">
        <v>617</v>
      </c>
      <c r="H1234" s="5">
        <v>3070</v>
      </c>
      <c r="I1234" s="4" t="s">
        <v>91</v>
      </c>
      <c r="J1234" s="4" t="s">
        <v>47</v>
      </c>
      <c r="K1234" s="4" t="s">
        <v>646</v>
      </c>
      <c r="L1234" s="4" t="s">
        <v>92</v>
      </c>
      <c r="M1234" s="6">
        <v>2653.16</v>
      </c>
      <c r="N1234" s="6">
        <v>2897.24</v>
      </c>
      <c r="O1234" s="19">
        <v>0.5</v>
      </c>
      <c r="P1234" s="6">
        <v>13.29</v>
      </c>
      <c r="Q1234" s="6">
        <v>14.23</v>
      </c>
      <c r="R1234" s="19">
        <v>0.18179999999999999</v>
      </c>
      <c r="S1234" s="20">
        <v>23</v>
      </c>
      <c r="T1234" s="6">
        <v>15.14</v>
      </c>
      <c r="U1234" s="6">
        <v>18.87</v>
      </c>
      <c r="V1234" s="6">
        <v>20.81</v>
      </c>
      <c r="W1234" s="19">
        <v>0.90390000000000004</v>
      </c>
      <c r="X1234" s="6">
        <v>21.93</v>
      </c>
      <c r="Y1234" s="21">
        <v>-419788.73130893102</v>
      </c>
      <c r="Z1234" s="6">
        <v>-14744</v>
      </c>
      <c r="AA1234" s="6">
        <v>-7.0690749996885103</v>
      </c>
    </row>
    <row r="1235" spans="1:27" x14ac:dyDescent="0.25">
      <c r="A1235" s="7" t="str">
        <f t="shared" si="19"/>
        <v>3928Swedish Cherry Hill482122077900 IP OCCUPATIONAL THERAPY</v>
      </c>
      <c r="B1235" s="7"/>
      <c r="C1235" s="29" t="s">
        <v>185</v>
      </c>
      <c r="D1235" s="29" t="s">
        <v>521</v>
      </c>
      <c r="E1235" s="29" t="s">
        <v>186</v>
      </c>
      <c r="F1235" s="29">
        <v>3928</v>
      </c>
      <c r="G1235" s="4" t="s">
        <v>617</v>
      </c>
      <c r="H1235" s="5">
        <v>4821</v>
      </c>
      <c r="I1235" s="4" t="s">
        <v>164</v>
      </c>
      <c r="J1235" s="4" t="s">
        <v>41</v>
      </c>
      <c r="K1235" s="4" t="s">
        <v>661</v>
      </c>
      <c r="L1235" s="4" t="s">
        <v>79</v>
      </c>
      <c r="M1235" s="6">
        <v>1106.74</v>
      </c>
      <c r="N1235" s="6">
        <v>1302.27</v>
      </c>
      <c r="O1235" s="19">
        <v>0.59089999999999998</v>
      </c>
      <c r="P1235" s="6">
        <v>22.22</v>
      </c>
      <c r="Q1235" s="6">
        <v>20.059999999999999</v>
      </c>
      <c r="R1235" s="19">
        <v>0</v>
      </c>
      <c r="S1235" s="20">
        <v>23</v>
      </c>
      <c r="T1235" s="6">
        <v>22.6</v>
      </c>
      <c r="U1235" s="6">
        <v>24.25</v>
      </c>
      <c r="V1235" s="6">
        <v>26.94</v>
      </c>
      <c r="W1235" s="19">
        <v>0.87890000000000001</v>
      </c>
      <c r="X1235" s="6">
        <v>14.29</v>
      </c>
      <c r="Y1235" s="21">
        <v>-258435.63970135199</v>
      </c>
      <c r="Z1235" s="6">
        <v>-6127</v>
      </c>
      <c r="AA1235" s="6">
        <v>-2.9374688490000098</v>
      </c>
    </row>
    <row r="1236" spans="1:27" x14ac:dyDescent="0.25">
      <c r="A1236" s="7" t="str">
        <f t="shared" si="19"/>
        <v>3928Swedish Cherry Hill422022075910 CARDIO VASCULAR DIAGNOSTICS</v>
      </c>
      <c r="B1236" s="7"/>
      <c r="C1236" s="29" t="s">
        <v>185</v>
      </c>
      <c r="D1236" s="29" t="s">
        <v>521</v>
      </c>
      <c r="E1236" s="29" t="s">
        <v>186</v>
      </c>
      <c r="F1236" s="29">
        <v>3928</v>
      </c>
      <c r="G1236" s="4" t="s">
        <v>617</v>
      </c>
      <c r="H1236" s="5">
        <v>4220</v>
      </c>
      <c r="I1236" s="4" t="s">
        <v>98</v>
      </c>
      <c r="J1236" s="4" t="s">
        <v>60</v>
      </c>
      <c r="K1236" s="4" t="s">
        <v>649</v>
      </c>
      <c r="L1236" s="4" t="s">
        <v>99</v>
      </c>
      <c r="M1236" s="6">
        <v>70994.13</v>
      </c>
      <c r="N1236" s="6">
        <v>70907.039999999994</v>
      </c>
      <c r="O1236" s="19">
        <v>0.77270000000000005</v>
      </c>
      <c r="P1236" s="6">
        <v>0.53</v>
      </c>
      <c r="Q1236" s="6">
        <v>0.52</v>
      </c>
      <c r="R1236" s="19">
        <v>0.69569999999999999</v>
      </c>
      <c r="S1236" s="20">
        <v>23</v>
      </c>
      <c r="T1236" s="6">
        <v>0.25</v>
      </c>
      <c r="U1236" s="6">
        <v>0.28999999999999998</v>
      </c>
      <c r="V1236" s="6">
        <v>0.38</v>
      </c>
      <c r="W1236" s="19">
        <v>0.87639999999999996</v>
      </c>
      <c r="X1236" s="6">
        <v>20.34</v>
      </c>
      <c r="Y1236" s="21">
        <v>793522.68544993305</v>
      </c>
      <c r="Z1236" s="6">
        <v>18960</v>
      </c>
      <c r="AA1236" s="6">
        <v>9.0905019674190495</v>
      </c>
    </row>
    <row r="1237" spans="1:27" x14ac:dyDescent="0.25">
      <c r="A1237" s="7" t="str">
        <f t="shared" si="19"/>
        <v>3928Swedish Cherry Hill591022084200 SECURITY</v>
      </c>
      <c r="B1237" s="7"/>
      <c r="C1237" s="29" t="s">
        <v>185</v>
      </c>
      <c r="D1237" s="29" t="s">
        <v>521</v>
      </c>
      <c r="E1237" s="29" t="s">
        <v>186</v>
      </c>
      <c r="F1237" s="29">
        <v>3928</v>
      </c>
      <c r="G1237" s="4" t="s">
        <v>617</v>
      </c>
      <c r="H1237" s="5">
        <v>5910</v>
      </c>
      <c r="I1237" s="4" t="s">
        <v>139</v>
      </c>
      <c r="J1237" s="4" t="s">
        <v>136</v>
      </c>
      <c r="K1237" s="4" t="s">
        <v>632</v>
      </c>
      <c r="L1237" s="4" t="s">
        <v>140</v>
      </c>
      <c r="M1237" s="6">
        <v>802.75</v>
      </c>
      <c r="N1237" s="6">
        <v>803.75</v>
      </c>
      <c r="O1237" s="19">
        <v>0.59660000000000002</v>
      </c>
      <c r="P1237" s="6">
        <v>26.78</v>
      </c>
      <c r="Q1237" s="6">
        <v>25.6</v>
      </c>
      <c r="R1237" s="19">
        <v>0.41930000000000001</v>
      </c>
      <c r="S1237" s="20">
        <v>24</v>
      </c>
      <c r="T1237" s="6">
        <v>17.37</v>
      </c>
      <c r="U1237" s="6">
        <v>20.36</v>
      </c>
      <c r="V1237" s="6">
        <v>31.88</v>
      </c>
      <c r="W1237" s="19">
        <v>0.89170000000000005</v>
      </c>
      <c r="X1237" s="6">
        <v>11.09</v>
      </c>
      <c r="Y1237" s="21">
        <v>117811.25438732</v>
      </c>
      <c r="Z1237" s="6">
        <v>4779</v>
      </c>
      <c r="AA1237" s="6">
        <v>2.2911046625195501</v>
      </c>
    </row>
    <row r="1238" spans="1:27" x14ac:dyDescent="0.25">
      <c r="A1238" s="7" t="str">
        <f t="shared" si="19"/>
        <v>3928Swedish Cherry Hill2299Ambulatory Services Administration (N)</v>
      </c>
      <c r="B1238" s="7"/>
      <c r="C1238" s="29" t="s">
        <v>185</v>
      </c>
      <c r="D1238" s="29" t="s">
        <v>521</v>
      </c>
      <c r="E1238" s="29" t="s">
        <v>186</v>
      </c>
      <c r="F1238" s="29">
        <v>3928</v>
      </c>
      <c r="G1238" s="4" t="s">
        <v>617</v>
      </c>
      <c r="H1238" s="5">
        <v>2299</v>
      </c>
      <c r="I1238" s="4" t="s">
        <v>187</v>
      </c>
      <c r="J1238" s="4" t="s">
        <v>176</v>
      </c>
      <c r="K1238" s="4" t="s">
        <v>666</v>
      </c>
      <c r="L1238" s="4" t="s">
        <v>188</v>
      </c>
      <c r="M1238" s="6">
        <v>27268</v>
      </c>
      <c r="N1238" s="6">
        <v>29033</v>
      </c>
      <c r="O1238" s="19">
        <v>0.45829999999999999</v>
      </c>
      <c r="P1238" s="6">
        <v>0.2</v>
      </c>
      <c r="Q1238" s="6">
        <v>0.18</v>
      </c>
      <c r="R1238" s="19">
        <v>0.1739</v>
      </c>
      <c r="S1238" s="20">
        <v>25</v>
      </c>
      <c r="T1238" s="6">
        <v>0.28999999999999998</v>
      </c>
      <c r="U1238" s="6">
        <v>0.39</v>
      </c>
      <c r="V1238" s="6">
        <v>0.48</v>
      </c>
      <c r="W1238" s="19">
        <v>0.90129999999999999</v>
      </c>
      <c r="X1238" s="6">
        <v>2.83</v>
      </c>
      <c r="Y1238" s="21">
        <v>-302398.66982065898</v>
      </c>
      <c r="Z1238" s="6">
        <v>-6660</v>
      </c>
      <c r="AA1238" s="6">
        <v>-3.1933112962438699</v>
      </c>
    </row>
    <row r="1239" spans="1:27" x14ac:dyDescent="0.25">
      <c r="A1239" s="7" t="str">
        <f t="shared" si="19"/>
        <v>3928Swedish Cherry Hill346022076500 NUCLEAR MEDICINE</v>
      </c>
      <c r="B1239" s="7"/>
      <c r="C1239" s="29" t="s">
        <v>185</v>
      </c>
      <c r="D1239" s="29" t="s">
        <v>521</v>
      </c>
      <c r="E1239" s="29" t="s">
        <v>186</v>
      </c>
      <c r="F1239" s="29">
        <v>3928</v>
      </c>
      <c r="G1239" s="4" t="s">
        <v>617</v>
      </c>
      <c r="H1239" s="5">
        <v>3460</v>
      </c>
      <c r="I1239" s="4" t="s">
        <v>120</v>
      </c>
      <c r="J1239" s="4" t="s">
        <v>57</v>
      </c>
      <c r="K1239" s="4" t="s">
        <v>655</v>
      </c>
      <c r="L1239" s="4" t="s">
        <v>99</v>
      </c>
      <c r="M1239" s="6">
        <v>13317.59</v>
      </c>
      <c r="N1239" s="6">
        <v>13837.43</v>
      </c>
      <c r="O1239" s="19">
        <v>0.45829999999999999</v>
      </c>
      <c r="P1239" s="6">
        <v>0.42</v>
      </c>
      <c r="Q1239" s="6">
        <v>0.36</v>
      </c>
      <c r="R1239" s="19">
        <v>0.21049999999999999</v>
      </c>
      <c r="S1239" s="20">
        <v>25</v>
      </c>
      <c r="T1239" s="6">
        <v>0.36</v>
      </c>
      <c r="U1239" s="6">
        <v>0.37</v>
      </c>
      <c r="V1239" s="6">
        <v>0.41</v>
      </c>
      <c r="W1239" s="19">
        <v>0.76680000000000004</v>
      </c>
      <c r="X1239" s="6">
        <v>3.09</v>
      </c>
      <c r="Y1239" s="21">
        <v>-15044.663628415999</v>
      </c>
      <c r="Z1239" s="6">
        <v>-232</v>
      </c>
      <c r="AA1239" s="6">
        <v>-0.11127671428481101</v>
      </c>
    </row>
    <row r="1240" spans="1:27" x14ac:dyDescent="0.25">
      <c r="A1240" s="7" t="str">
        <f t="shared" si="19"/>
        <v>3928Swedish Cherry Hill441122077102 RETAIL PHARMACY</v>
      </c>
      <c r="B1240" s="7"/>
      <c r="C1240" s="29" t="s">
        <v>185</v>
      </c>
      <c r="D1240" s="29" t="s">
        <v>521</v>
      </c>
      <c r="E1240" s="29" t="s">
        <v>186</v>
      </c>
      <c r="F1240" s="29">
        <v>3928</v>
      </c>
      <c r="G1240" s="4" t="s">
        <v>617</v>
      </c>
      <c r="H1240" s="5">
        <v>4411</v>
      </c>
      <c r="I1240" s="4" t="s">
        <v>154</v>
      </c>
      <c r="J1240" s="4" t="s">
        <v>37</v>
      </c>
      <c r="K1240" s="4" t="s">
        <v>627</v>
      </c>
      <c r="L1240" s="4" t="s">
        <v>155</v>
      </c>
      <c r="M1240" s="6">
        <v>49253</v>
      </c>
      <c r="N1240" s="6">
        <v>51151</v>
      </c>
      <c r="O1240" s="19">
        <v>0.41670000000000001</v>
      </c>
      <c r="P1240" s="6">
        <v>0.2</v>
      </c>
      <c r="Q1240" s="6">
        <v>0.2</v>
      </c>
      <c r="R1240" s="19">
        <v>0.45829999999999999</v>
      </c>
      <c r="S1240" s="20">
        <v>25</v>
      </c>
      <c r="T1240" s="6">
        <v>0.17</v>
      </c>
      <c r="U1240" s="6">
        <v>0.18</v>
      </c>
      <c r="V1240" s="6">
        <v>0.2</v>
      </c>
      <c r="W1240" s="19">
        <v>0.88460000000000005</v>
      </c>
      <c r="X1240" s="6">
        <v>5.44</v>
      </c>
      <c r="Y1240" s="21">
        <v>44552.6491319009</v>
      </c>
      <c r="Z1240" s="6">
        <v>938</v>
      </c>
      <c r="AA1240" s="6">
        <v>0.44968617940772099</v>
      </c>
    </row>
    <row r="1241" spans="1:27" x14ac:dyDescent="0.25">
      <c r="A1241" s="7" t="str">
        <f t="shared" si="19"/>
        <v>3928Swedish Cherry Hill4899Rehabilitation Services Administration (N)</v>
      </c>
      <c r="B1241" s="7"/>
      <c r="C1241" s="29" t="s">
        <v>185</v>
      </c>
      <c r="D1241" s="29" t="s">
        <v>521</v>
      </c>
      <c r="E1241" s="29" t="s">
        <v>186</v>
      </c>
      <c r="F1241" s="29">
        <v>3928</v>
      </c>
      <c r="G1241" s="4" t="s">
        <v>617</v>
      </c>
      <c r="H1241" s="5">
        <v>4899</v>
      </c>
      <c r="I1241" s="4" t="s">
        <v>40</v>
      </c>
      <c r="J1241" s="4" t="s">
        <v>41</v>
      </c>
      <c r="K1241" s="4" t="s">
        <v>615</v>
      </c>
      <c r="L1241" s="4" t="s">
        <v>43</v>
      </c>
      <c r="M1241" s="6">
        <v>3475.33</v>
      </c>
      <c r="N1241" s="6">
        <v>4361.3</v>
      </c>
      <c r="O1241" s="19">
        <v>0.54169999999999996</v>
      </c>
      <c r="P1241" s="6">
        <v>3.1</v>
      </c>
      <c r="Q1241" s="6">
        <v>3.52</v>
      </c>
      <c r="R1241" s="19">
        <v>0.45450000000000002</v>
      </c>
      <c r="S1241" s="20">
        <v>25</v>
      </c>
      <c r="T1241" s="6">
        <v>2.94</v>
      </c>
      <c r="U1241" s="6">
        <v>3.2</v>
      </c>
      <c r="V1241" s="6">
        <v>3.67</v>
      </c>
      <c r="W1241" s="19">
        <v>0.88619999999999999</v>
      </c>
      <c r="X1241" s="6">
        <v>8.32</v>
      </c>
      <c r="Y1241" s="21">
        <v>47360.1940840713</v>
      </c>
      <c r="Z1241" s="6">
        <v>1605</v>
      </c>
      <c r="AA1241" s="6">
        <v>0.76938454046196703</v>
      </c>
    </row>
    <row r="1242" spans="1:27" x14ac:dyDescent="0.25">
      <c r="A1242" s="7" t="str">
        <f t="shared" si="19"/>
        <v>3928Swedish Cherry Hill341122076300 MEDICAL IMAGING</v>
      </c>
      <c r="B1242" s="7"/>
      <c r="C1242" s="29" t="s">
        <v>185</v>
      </c>
      <c r="D1242" s="29" t="s">
        <v>521</v>
      </c>
      <c r="E1242" s="29" t="s">
        <v>186</v>
      </c>
      <c r="F1242" s="29">
        <v>3928</v>
      </c>
      <c r="G1242" s="4" t="s">
        <v>617</v>
      </c>
      <c r="H1242" s="5">
        <v>3411</v>
      </c>
      <c r="I1242" s="4" t="s">
        <v>117</v>
      </c>
      <c r="J1242" s="4" t="s">
        <v>57</v>
      </c>
      <c r="K1242" s="4" t="s">
        <v>653</v>
      </c>
      <c r="L1242" s="4" t="s">
        <v>99</v>
      </c>
      <c r="M1242" s="6">
        <v>30595.48</v>
      </c>
      <c r="N1242" s="6">
        <v>35679.550000000003</v>
      </c>
      <c r="O1242" s="19">
        <v>0.66669999999999996</v>
      </c>
      <c r="P1242" s="6">
        <v>0.87</v>
      </c>
      <c r="Q1242" s="6">
        <v>0.82</v>
      </c>
      <c r="R1242" s="19">
        <v>0.60870000000000002</v>
      </c>
      <c r="S1242" s="20">
        <v>25</v>
      </c>
      <c r="T1242" s="6">
        <v>0.72</v>
      </c>
      <c r="U1242" s="6">
        <v>0.76</v>
      </c>
      <c r="V1242" s="6">
        <v>0.79</v>
      </c>
      <c r="W1242" s="19">
        <v>0.85419999999999996</v>
      </c>
      <c r="X1242" s="6">
        <v>16.420000000000002</v>
      </c>
      <c r="Y1242" s="21">
        <v>109301.498608796</v>
      </c>
      <c r="Z1242" s="6">
        <v>2502</v>
      </c>
      <c r="AA1242" s="6">
        <v>1.19975818814243</v>
      </c>
    </row>
    <row r="1243" spans="1:27" x14ac:dyDescent="0.25">
      <c r="A1243" s="7" t="str">
        <f t="shared" si="19"/>
        <v>3928Swedish Cherry Hill486122077800 IP SPEECH THERAPY</v>
      </c>
      <c r="B1243" s="7"/>
      <c r="C1243" s="29" t="s">
        <v>185</v>
      </c>
      <c r="D1243" s="29" t="s">
        <v>521</v>
      </c>
      <c r="E1243" s="29" t="s">
        <v>186</v>
      </c>
      <c r="F1243" s="29">
        <v>3928</v>
      </c>
      <c r="G1243" s="4" t="s">
        <v>617</v>
      </c>
      <c r="H1243" s="5">
        <v>4861</v>
      </c>
      <c r="I1243" s="4" t="s">
        <v>125</v>
      </c>
      <c r="J1243" s="4" t="s">
        <v>41</v>
      </c>
      <c r="K1243" s="4" t="s">
        <v>660</v>
      </c>
      <c r="L1243" s="4" t="s">
        <v>79</v>
      </c>
      <c r="M1243" s="6">
        <v>335.43</v>
      </c>
      <c r="N1243" s="6">
        <v>345.53</v>
      </c>
      <c r="O1243" s="19">
        <v>0.6</v>
      </c>
      <c r="P1243" s="6">
        <v>29.82</v>
      </c>
      <c r="Q1243" s="6">
        <v>30.79</v>
      </c>
      <c r="R1243" s="19">
        <v>0.68</v>
      </c>
      <c r="S1243" s="20">
        <v>26</v>
      </c>
      <c r="T1243" s="6">
        <v>24.03</v>
      </c>
      <c r="U1243" s="6">
        <v>25.74</v>
      </c>
      <c r="V1243" s="6">
        <v>29.02</v>
      </c>
      <c r="W1243" s="19">
        <v>0.88429999999999997</v>
      </c>
      <c r="X1243" s="6">
        <v>5.78</v>
      </c>
      <c r="Y1243" s="21">
        <v>88409.074938841295</v>
      </c>
      <c r="Z1243" s="6">
        <v>1998</v>
      </c>
      <c r="AA1243" s="6">
        <v>0.95782645008225598</v>
      </c>
    </row>
    <row r="1244" spans="1:27" x14ac:dyDescent="0.25">
      <c r="A1244" s="7" t="str">
        <f t="shared" si="19"/>
        <v>3928Swedish Cherry Hill223522070700 FAMILY MEDICINE CLINIC</v>
      </c>
      <c r="B1244" s="7"/>
      <c r="C1244" s="29" t="s">
        <v>185</v>
      </c>
      <c r="D1244" s="29" t="s">
        <v>521</v>
      </c>
      <c r="E1244" s="29" t="s">
        <v>186</v>
      </c>
      <c r="F1244" s="29">
        <v>3928</v>
      </c>
      <c r="G1244" s="4" t="s">
        <v>617</v>
      </c>
      <c r="H1244" s="5">
        <v>2235</v>
      </c>
      <c r="I1244" s="4" t="s">
        <v>177</v>
      </c>
      <c r="J1244" s="4" t="s">
        <v>176</v>
      </c>
      <c r="K1244" s="4" t="s">
        <v>638</v>
      </c>
      <c r="L1244" s="4" t="s">
        <v>77</v>
      </c>
      <c r="M1244" s="6">
        <v>20649</v>
      </c>
      <c r="N1244" s="6">
        <v>21017</v>
      </c>
      <c r="O1244" s="19">
        <v>0.61539999999999995</v>
      </c>
      <c r="P1244" s="6">
        <v>0.9</v>
      </c>
      <c r="Q1244" s="6">
        <v>0.82</v>
      </c>
      <c r="R1244" s="19">
        <v>7.6899999999999996E-2</v>
      </c>
      <c r="S1244" s="20">
        <v>27</v>
      </c>
      <c r="T1244" s="6">
        <v>0.95</v>
      </c>
      <c r="U1244" s="6">
        <v>0.99</v>
      </c>
      <c r="V1244" s="6">
        <v>1.07</v>
      </c>
      <c r="W1244" s="19">
        <v>0.87790000000000001</v>
      </c>
      <c r="X1244" s="6">
        <v>9.4700000000000006</v>
      </c>
      <c r="Y1244" s="21">
        <v>-140142.584572716</v>
      </c>
      <c r="Z1244" s="6">
        <v>-3949</v>
      </c>
      <c r="AA1244" s="6">
        <v>-1.8934192113630901</v>
      </c>
    </row>
    <row r="1245" spans="1:27" x14ac:dyDescent="0.25">
      <c r="A1245" s="7" t="str">
        <f t="shared" si="19"/>
        <v>3928Swedish Cherry Hill171022061703 INTERVENTIONAL CARDIAC</v>
      </c>
      <c r="B1245" s="7"/>
      <c r="C1245" s="29" t="s">
        <v>185</v>
      </c>
      <c r="D1245" s="29" t="s">
        <v>521</v>
      </c>
      <c r="E1245" s="29" t="s">
        <v>186</v>
      </c>
      <c r="F1245" s="29">
        <v>3928</v>
      </c>
      <c r="G1245" s="4" t="s">
        <v>617</v>
      </c>
      <c r="H1245" s="5">
        <v>1710</v>
      </c>
      <c r="I1245" s="4" t="s">
        <v>193</v>
      </c>
      <c r="J1245" s="4" t="s">
        <v>23</v>
      </c>
      <c r="K1245" s="4" t="s">
        <v>621</v>
      </c>
      <c r="L1245" s="4" t="s">
        <v>194</v>
      </c>
      <c r="M1245" s="6">
        <v>1337.63</v>
      </c>
      <c r="N1245" s="6">
        <v>1583</v>
      </c>
      <c r="O1245" s="19">
        <v>0.5</v>
      </c>
      <c r="P1245" s="6">
        <v>20.07</v>
      </c>
      <c r="Q1245" s="6">
        <v>23.57</v>
      </c>
      <c r="R1245" s="19">
        <v>0.80769999999999997</v>
      </c>
      <c r="S1245" s="20">
        <v>27</v>
      </c>
      <c r="T1245" s="6">
        <v>14.04</v>
      </c>
      <c r="U1245" s="6">
        <v>15.04</v>
      </c>
      <c r="V1245" s="6">
        <v>18.05</v>
      </c>
      <c r="W1245" s="19">
        <v>0.88649999999999995</v>
      </c>
      <c r="X1245" s="6">
        <v>20.23</v>
      </c>
      <c r="Y1245" s="21">
        <v>795743.22604018904</v>
      </c>
      <c r="Z1245" s="6">
        <v>15337</v>
      </c>
      <c r="AA1245" s="6">
        <v>7.3534899827231097</v>
      </c>
    </row>
    <row r="1246" spans="1:27" x14ac:dyDescent="0.25">
      <c r="A1246" s="7" t="str">
        <f t="shared" si="19"/>
        <v>3928Swedish Cherry Hill441022077100 PHARMACY</v>
      </c>
      <c r="B1246" s="7"/>
      <c r="C1246" s="29" t="s">
        <v>185</v>
      </c>
      <c r="D1246" s="29" t="s">
        <v>521</v>
      </c>
      <c r="E1246" s="29" t="s">
        <v>186</v>
      </c>
      <c r="F1246" s="29">
        <v>3928</v>
      </c>
      <c r="G1246" s="4" t="s">
        <v>617</v>
      </c>
      <c r="H1246" s="5">
        <v>4410</v>
      </c>
      <c r="I1246" s="4" t="s">
        <v>37</v>
      </c>
      <c r="J1246" s="4" t="s">
        <v>37</v>
      </c>
      <c r="K1246" s="4" t="s">
        <v>626</v>
      </c>
      <c r="L1246" s="4" t="s">
        <v>100</v>
      </c>
      <c r="M1246" s="6">
        <v>26830.98</v>
      </c>
      <c r="N1246" s="6">
        <v>29845.9</v>
      </c>
      <c r="O1246" s="19">
        <v>0.48149999999999998</v>
      </c>
      <c r="P1246" s="6">
        <v>1.68</v>
      </c>
      <c r="Q1246" s="6">
        <v>1.69</v>
      </c>
      <c r="R1246" s="19">
        <v>0.33329999999999999</v>
      </c>
      <c r="S1246" s="20">
        <v>28</v>
      </c>
      <c r="T1246" s="6">
        <v>1.65</v>
      </c>
      <c r="U1246" s="6">
        <v>1.73</v>
      </c>
      <c r="V1246" s="6">
        <v>1.9</v>
      </c>
      <c r="W1246" s="19">
        <v>0.87949999999999995</v>
      </c>
      <c r="X1246" s="6">
        <v>27.52</v>
      </c>
      <c r="Y1246" s="21">
        <v>-64981.173605192598</v>
      </c>
      <c r="Z1246" s="6">
        <v>-1309</v>
      </c>
      <c r="AA1246" s="6">
        <v>-0.62771193091220201</v>
      </c>
    </row>
    <row r="1247" spans="1:27" x14ac:dyDescent="0.25">
      <c r="A1247" s="7" t="str">
        <f t="shared" si="19"/>
        <v>3928Swedish Cherry Hill464022072320 AMBULATORY INFUSION CENTER</v>
      </c>
      <c r="B1247" s="7"/>
      <c r="C1247" s="29" t="s">
        <v>185</v>
      </c>
      <c r="D1247" s="29" t="s">
        <v>521</v>
      </c>
      <c r="E1247" s="29" t="s">
        <v>186</v>
      </c>
      <c r="F1247" s="29">
        <v>3928</v>
      </c>
      <c r="G1247" s="4" t="s">
        <v>617</v>
      </c>
      <c r="H1247" s="5">
        <v>4640</v>
      </c>
      <c r="I1247" s="4" t="s">
        <v>82</v>
      </c>
      <c r="J1247" s="4" t="s">
        <v>83</v>
      </c>
      <c r="K1247" s="4" t="s">
        <v>641</v>
      </c>
      <c r="L1247" s="4" t="s">
        <v>84</v>
      </c>
      <c r="M1247" s="6">
        <v>1751</v>
      </c>
      <c r="N1247" s="6">
        <v>1765</v>
      </c>
      <c r="O1247" s="19">
        <v>0.48149999999999998</v>
      </c>
      <c r="P1247" s="6">
        <v>1.79</v>
      </c>
      <c r="Q1247" s="6">
        <v>3.36</v>
      </c>
      <c r="R1247" s="19">
        <v>0.91300000000000003</v>
      </c>
      <c r="S1247" s="20">
        <v>28</v>
      </c>
      <c r="T1247" s="6">
        <v>2.0099999999999998</v>
      </c>
      <c r="U1247" s="6">
        <v>2.2999999999999998</v>
      </c>
      <c r="V1247" s="6">
        <v>2.84</v>
      </c>
      <c r="W1247" s="19">
        <v>0.81850000000000001</v>
      </c>
      <c r="X1247" s="6">
        <v>3.44</v>
      </c>
      <c r="Y1247" s="21">
        <v>108754.036484335</v>
      </c>
      <c r="Z1247" s="6">
        <v>2215</v>
      </c>
      <c r="AA1247" s="6">
        <v>1.06205382089733</v>
      </c>
    </row>
    <row r="1248" spans="1:27" x14ac:dyDescent="0.25">
      <c r="A1248" s="7" t="str">
        <f t="shared" si="19"/>
        <v>3928Swedish Cherry Hill309922086123 SURGICAL RESOURCES</v>
      </c>
      <c r="B1248" s="7"/>
      <c r="C1248" s="29" t="s">
        <v>185</v>
      </c>
      <c r="D1248" s="29" t="s">
        <v>521</v>
      </c>
      <c r="E1248" s="29" t="s">
        <v>186</v>
      </c>
      <c r="F1248" s="29">
        <v>3928</v>
      </c>
      <c r="G1248" s="4" t="s">
        <v>617</v>
      </c>
      <c r="H1248" s="5">
        <v>3099</v>
      </c>
      <c r="I1248" s="4" t="s">
        <v>46</v>
      </c>
      <c r="J1248" s="4" t="s">
        <v>47</v>
      </c>
      <c r="K1248" s="4" t="s">
        <v>664</v>
      </c>
      <c r="L1248" s="4" t="s">
        <v>49</v>
      </c>
      <c r="M1248" s="6">
        <v>5268</v>
      </c>
      <c r="N1248" s="6">
        <v>5628</v>
      </c>
      <c r="O1248" s="19">
        <v>0.48149999999999998</v>
      </c>
      <c r="P1248" s="6">
        <v>2.25</v>
      </c>
      <c r="Q1248" s="6">
        <v>2.59</v>
      </c>
      <c r="R1248" s="19">
        <v>0.81479999999999997</v>
      </c>
      <c r="S1248" s="20">
        <v>28</v>
      </c>
      <c r="T1248" s="6">
        <v>0.97</v>
      </c>
      <c r="U1248" s="6">
        <v>1.32</v>
      </c>
      <c r="V1248" s="6">
        <v>1.54</v>
      </c>
      <c r="W1248" s="19">
        <v>0.8891</v>
      </c>
      <c r="X1248" s="6">
        <v>7.89</v>
      </c>
      <c r="Y1248" s="21">
        <v>354422.07097107102</v>
      </c>
      <c r="Z1248" s="6">
        <v>8101</v>
      </c>
      <c r="AA1248" s="6">
        <v>3.8838651071305499</v>
      </c>
    </row>
    <row r="1249" spans="1:27" x14ac:dyDescent="0.25">
      <c r="A1249" s="7" t="str">
        <f t="shared" si="19"/>
        <v>3928Swedish Cherry Hill481122077700 PHYSICAL THERAPY</v>
      </c>
      <c r="B1249" s="7"/>
      <c r="C1249" s="29" t="s">
        <v>185</v>
      </c>
      <c r="D1249" s="29" t="s">
        <v>521</v>
      </c>
      <c r="E1249" s="29" t="s">
        <v>186</v>
      </c>
      <c r="F1249" s="29">
        <v>3928</v>
      </c>
      <c r="G1249" s="4" t="s">
        <v>617</v>
      </c>
      <c r="H1249" s="5">
        <v>4811</v>
      </c>
      <c r="I1249" s="4" t="s">
        <v>124</v>
      </c>
      <c r="J1249" s="4" t="s">
        <v>41</v>
      </c>
      <c r="K1249" s="4" t="s">
        <v>658</v>
      </c>
      <c r="L1249" s="4" t="s">
        <v>79</v>
      </c>
      <c r="M1249" s="6">
        <v>1241.1600000000001</v>
      </c>
      <c r="N1249" s="6">
        <v>1524.68</v>
      </c>
      <c r="O1249" s="19">
        <v>0.57140000000000002</v>
      </c>
      <c r="P1249" s="6">
        <v>23.66</v>
      </c>
      <c r="Q1249" s="6">
        <v>20.49</v>
      </c>
      <c r="R1249" s="19">
        <v>0</v>
      </c>
      <c r="S1249" s="20">
        <v>29</v>
      </c>
      <c r="T1249" s="6">
        <v>25.69</v>
      </c>
      <c r="U1249" s="6">
        <v>26.05</v>
      </c>
      <c r="V1249" s="6">
        <v>28.7</v>
      </c>
      <c r="W1249" s="19">
        <v>0.88539999999999996</v>
      </c>
      <c r="X1249" s="6">
        <v>16.96</v>
      </c>
      <c r="Y1249" s="21">
        <v>-411360.75386982999</v>
      </c>
      <c r="Z1249" s="6">
        <v>-9485</v>
      </c>
      <c r="AA1249" s="6">
        <v>-4.5477545863173896</v>
      </c>
    </row>
    <row r="1250" spans="1:27" x14ac:dyDescent="0.25">
      <c r="A1250" s="7" t="str">
        <f t="shared" si="19"/>
        <v>3928Swedish Cherry Hill349922086107 MEDICAL IMAGING ADMIN</v>
      </c>
      <c r="B1250" s="7"/>
      <c r="C1250" s="29" t="s">
        <v>185</v>
      </c>
      <c r="D1250" s="29" t="s">
        <v>521</v>
      </c>
      <c r="E1250" s="29" t="s">
        <v>186</v>
      </c>
      <c r="F1250" s="29">
        <v>3928</v>
      </c>
      <c r="G1250" s="4" t="s">
        <v>617</v>
      </c>
      <c r="H1250" s="5">
        <v>3499</v>
      </c>
      <c r="I1250" s="4" t="s">
        <v>56</v>
      </c>
      <c r="J1250" s="4" t="s">
        <v>57</v>
      </c>
      <c r="K1250" s="4" t="s">
        <v>635</v>
      </c>
      <c r="L1250" s="4" t="s">
        <v>58</v>
      </c>
      <c r="M1250" s="6">
        <v>486894.06</v>
      </c>
      <c r="N1250" s="6">
        <v>492986.64</v>
      </c>
      <c r="O1250" s="19">
        <v>0.79310000000000003</v>
      </c>
      <c r="P1250" s="6">
        <v>0.03</v>
      </c>
      <c r="Q1250" s="6">
        <v>0.04</v>
      </c>
      <c r="R1250" s="19">
        <v>0.27589999999999998</v>
      </c>
      <c r="S1250" s="20">
        <v>30</v>
      </c>
      <c r="T1250" s="6">
        <v>0.04</v>
      </c>
      <c r="U1250" s="6">
        <v>0.05</v>
      </c>
      <c r="V1250" s="6">
        <v>0.06</v>
      </c>
      <c r="W1250" s="19">
        <v>0.87180000000000002</v>
      </c>
      <c r="X1250" s="6">
        <v>11.14</v>
      </c>
      <c r="Y1250" s="21">
        <v>-166267.36662912901</v>
      </c>
      <c r="Z1250" s="6">
        <v>-5039</v>
      </c>
      <c r="AA1250" s="6">
        <v>-2.41615258506117</v>
      </c>
    </row>
    <row r="1251" spans="1:27" x14ac:dyDescent="0.25">
      <c r="A1251" s="7" t="str">
        <f t="shared" si="19"/>
        <v>3928Swedish Cherry Hill341222076490 INTERVENTIONAL RADIOLOGY</v>
      </c>
      <c r="B1251" s="7"/>
      <c r="C1251" s="29" t="s">
        <v>185</v>
      </c>
      <c r="D1251" s="29" t="s">
        <v>521</v>
      </c>
      <c r="E1251" s="29" t="s">
        <v>186</v>
      </c>
      <c r="F1251" s="29">
        <v>3928</v>
      </c>
      <c r="G1251" s="4" t="s">
        <v>617</v>
      </c>
      <c r="H1251" s="5">
        <v>3412</v>
      </c>
      <c r="I1251" s="4" t="s">
        <v>118</v>
      </c>
      <c r="J1251" s="4" t="s">
        <v>57</v>
      </c>
      <c r="K1251" s="4" t="s">
        <v>654</v>
      </c>
      <c r="L1251" s="4" t="s">
        <v>99</v>
      </c>
      <c r="M1251" s="6">
        <v>305607.67</v>
      </c>
      <c r="N1251" s="6">
        <v>298382.98</v>
      </c>
      <c r="O1251" s="19">
        <v>0.56669999999999998</v>
      </c>
      <c r="P1251" s="6">
        <v>0.13</v>
      </c>
      <c r="Q1251" s="6">
        <v>0.12</v>
      </c>
      <c r="R1251" s="19">
        <v>0.1429</v>
      </c>
      <c r="S1251" s="20">
        <v>31</v>
      </c>
      <c r="T1251" s="6">
        <v>0.14000000000000001</v>
      </c>
      <c r="U1251" s="6">
        <v>0.15</v>
      </c>
      <c r="V1251" s="6">
        <v>0.15</v>
      </c>
      <c r="W1251" s="19">
        <v>0.87780000000000002</v>
      </c>
      <c r="X1251" s="6">
        <v>19.97</v>
      </c>
      <c r="Y1251" s="21">
        <v>-468266.29496310902</v>
      </c>
      <c r="Z1251" s="6">
        <v>-9337</v>
      </c>
      <c r="AA1251" s="6">
        <v>-4.4765674553515797</v>
      </c>
    </row>
    <row r="1252" spans="1:27" x14ac:dyDescent="0.25">
      <c r="A1252" s="7" t="str">
        <f t="shared" si="19"/>
        <v>3928Swedish Cherry Hill229822070701 WOUND HEALING CENTER OP</v>
      </c>
      <c r="B1252" s="7"/>
      <c r="C1252" s="29" t="s">
        <v>185</v>
      </c>
      <c r="D1252" s="29" t="s">
        <v>521</v>
      </c>
      <c r="E1252" s="29" t="s">
        <v>186</v>
      </c>
      <c r="F1252" s="29">
        <v>3928</v>
      </c>
      <c r="G1252" s="4" t="s">
        <v>617</v>
      </c>
      <c r="H1252" s="5">
        <v>2298</v>
      </c>
      <c r="I1252" s="4" t="s">
        <v>198</v>
      </c>
      <c r="J1252" s="4" t="s">
        <v>176</v>
      </c>
      <c r="K1252" s="4" t="s">
        <v>639</v>
      </c>
      <c r="L1252" s="4" t="s">
        <v>77</v>
      </c>
      <c r="M1252" s="6">
        <v>2414</v>
      </c>
      <c r="N1252" s="6">
        <v>2364</v>
      </c>
      <c r="O1252" s="19">
        <v>0.43330000000000002</v>
      </c>
      <c r="P1252" s="6">
        <v>3.11</v>
      </c>
      <c r="Q1252" s="6">
        <v>2.99</v>
      </c>
      <c r="R1252" s="19">
        <v>0.70369999999999999</v>
      </c>
      <c r="S1252" s="20">
        <v>31</v>
      </c>
      <c r="T1252" s="6">
        <v>1.83</v>
      </c>
      <c r="U1252" s="6">
        <v>2.23</v>
      </c>
      <c r="V1252" s="6">
        <v>2.5299999999999998</v>
      </c>
      <c r="W1252" s="19">
        <v>0.88490000000000002</v>
      </c>
      <c r="X1252" s="6">
        <v>3.85</v>
      </c>
      <c r="Y1252" s="21">
        <v>89080.158250167398</v>
      </c>
      <c r="Z1252" s="6">
        <v>2073</v>
      </c>
      <c r="AA1252" s="6">
        <v>0.99368369497444597</v>
      </c>
    </row>
    <row r="1253" spans="1:27" x14ac:dyDescent="0.25">
      <c r="A1253" s="7" t="str">
        <f t="shared" si="19"/>
        <v>3928Swedish Cherry Hill201022070100 EMERGENCY SERVICES</v>
      </c>
      <c r="B1253" s="7"/>
      <c r="C1253" s="29" t="s">
        <v>185</v>
      </c>
      <c r="D1253" s="29" t="s">
        <v>521</v>
      </c>
      <c r="E1253" s="29" t="s">
        <v>186</v>
      </c>
      <c r="F1253" s="29">
        <v>3928</v>
      </c>
      <c r="G1253" s="4" t="s">
        <v>617</v>
      </c>
      <c r="H1253" s="5">
        <v>2010</v>
      </c>
      <c r="I1253" s="4" t="s">
        <v>75</v>
      </c>
      <c r="J1253" s="4" t="s">
        <v>76</v>
      </c>
      <c r="K1253" s="4" t="s">
        <v>637</v>
      </c>
      <c r="L1253" s="4" t="s">
        <v>77</v>
      </c>
      <c r="M1253" s="6">
        <v>19739</v>
      </c>
      <c r="N1253" s="6">
        <v>21098</v>
      </c>
      <c r="O1253" s="19">
        <v>0.1</v>
      </c>
      <c r="P1253" s="6">
        <v>3.93</v>
      </c>
      <c r="Q1253" s="6">
        <v>4.04</v>
      </c>
      <c r="R1253" s="19">
        <v>0.9</v>
      </c>
      <c r="S1253" s="20">
        <v>31</v>
      </c>
      <c r="T1253" s="6">
        <v>2.87</v>
      </c>
      <c r="U1253" s="6">
        <v>2.98</v>
      </c>
      <c r="V1253" s="6">
        <v>3.21</v>
      </c>
      <c r="W1253" s="19">
        <v>0.91169999999999995</v>
      </c>
      <c r="X1253" s="6">
        <v>44.99</v>
      </c>
      <c r="Y1253" s="21">
        <v>1038385.08062299</v>
      </c>
      <c r="Z1253" s="6">
        <v>24874</v>
      </c>
      <c r="AA1253" s="6">
        <v>11.926124563811699</v>
      </c>
    </row>
    <row r="1254" spans="1:27" x14ac:dyDescent="0.25">
      <c r="A1254" s="7" t="str">
        <f t="shared" si="19"/>
        <v>3928Swedish Cherry Hill424122075930 CARDIAC REHAB</v>
      </c>
      <c r="B1254" s="7"/>
      <c r="C1254" s="29" t="s">
        <v>185</v>
      </c>
      <c r="D1254" s="29" t="s">
        <v>521</v>
      </c>
      <c r="E1254" s="29" t="s">
        <v>186</v>
      </c>
      <c r="F1254" s="29">
        <v>3928</v>
      </c>
      <c r="G1254" s="4" t="s">
        <v>617</v>
      </c>
      <c r="H1254" s="5">
        <v>4241</v>
      </c>
      <c r="I1254" s="4" t="s">
        <v>178</v>
      </c>
      <c r="J1254" s="4" t="s">
        <v>60</v>
      </c>
      <c r="K1254" s="4" t="s">
        <v>650</v>
      </c>
      <c r="L1254" s="4" t="s">
        <v>77</v>
      </c>
      <c r="M1254" s="6">
        <v>846</v>
      </c>
      <c r="N1254" s="6">
        <v>5769</v>
      </c>
      <c r="O1254" s="19">
        <v>0.5806</v>
      </c>
      <c r="P1254" s="7"/>
      <c r="Q1254" s="6">
        <v>1.37</v>
      </c>
      <c r="R1254" s="19">
        <v>0.66669999999999996</v>
      </c>
      <c r="S1254" s="20">
        <v>32</v>
      </c>
      <c r="T1254" s="6">
        <v>0.86</v>
      </c>
      <c r="U1254" s="6">
        <v>1.1499999999999999</v>
      </c>
      <c r="V1254" s="6">
        <v>1.25</v>
      </c>
      <c r="W1254" s="19">
        <v>0.86480000000000001</v>
      </c>
      <c r="X1254" s="6">
        <v>4.4000000000000004</v>
      </c>
      <c r="Y1254" s="21">
        <v>61766.880774901903</v>
      </c>
      <c r="Z1254" s="6">
        <v>1506</v>
      </c>
      <c r="AA1254" s="6">
        <v>0.72183796653809795</v>
      </c>
    </row>
    <row r="1255" spans="1:27" x14ac:dyDescent="0.25">
      <c r="A1255" s="7" t="str">
        <f t="shared" si="19"/>
        <v>3928Swedish Cherry Hill411022077200 RESPIRATORY THERAPY</v>
      </c>
      <c r="B1255" s="7"/>
      <c r="C1255" s="29" t="s">
        <v>185</v>
      </c>
      <c r="D1255" s="29" t="s">
        <v>521</v>
      </c>
      <c r="E1255" s="29" t="s">
        <v>186</v>
      </c>
      <c r="F1255" s="29">
        <v>3928</v>
      </c>
      <c r="G1255" s="4" t="s">
        <v>617</v>
      </c>
      <c r="H1255" s="5">
        <v>4110</v>
      </c>
      <c r="I1255" s="4" t="s">
        <v>145</v>
      </c>
      <c r="J1255" s="4" t="s">
        <v>44</v>
      </c>
      <c r="K1255" s="4" t="s">
        <v>668</v>
      </c>
      <c r="L1255" s="4" t="s">
        <v>45</v>
      </c>
      <c r="M1255" s="6">
        <v>22473.54</v>
      </c>
      <c r="N1255" s="6">
        <v>24379.64</v>
      </c>
      <c r="O1255" s="19">
        <v>0.68520000000000003</v>
      </c>
      <c r="P1255" s="6">
        <v>1.64</v>
      </c>
      <c r="Q1255" s="6">
        <v>1.71</v>
      </c>
      <c r="R1255" s="19">
        <v>3.7699999999999997E-2</v>
      </c>
      <c r="S1255" s="20">
        <v>55</v>
      </c>
      <c r="T1255" s="6">
        <v>2.31</v>
      </c>
      <c r="U1255" s="6">
        <v>2.5099999999999998</v>
      </c>
      <c r="V1255" s="6">
        <v>2.74</v>
      </c>
      <c r="W1255" s="19">
        <v>0.89749999999999996</v>
      </c>
      <c r="X1255" s="6">
        <v>22.36</v>
      </c>
      <c r="Y1255" s="21">
        <v>-853429.51906260499</v>
      </c>
      <c r="Z1255" s="6">
        <v>-21545</v>
      </c>
      <c r="AA1255" s="6">
        <v>-10.329984258105601</v>
      </c>
    </row>
    <row r="1256" spans="1:27" x14ac:dyDescent="0.25">
      <c r="A1256" s="7" t="str">
        <f t="shared" si="19"/>
        <v>3929Swedish Edmonds422423075600 ECHOCARDIOLOGY</v>
      </c>
      <c r="B1256" s="7"/>
      <c r="C1256" s="29" t="s">
        <v>185</v>
      </c>
      <c r="D1256" s="29" t="s">
        <v>521</v>
      </c>
      <c r="E1256" s="29" t="s">
        <v>186</v>
      </c>
      <c r="F1256" s="29">
        <v>3929</v>
      </c>
      <c r="G1256" s="4" t="s">
        <v>669</v>
      </c>
      <c r="H1256" s="5">
        <v>4224</v>
      </c>
      <c r="I1256" s="4" t="s">
        <v>275</v>
      </c>
      <c r="J1256" s="4" t="s">
        <v>60</v>
      </c>
      <c r="K1256" s="4" t="s">
        <v>683</v>
      </c>
      <c r="L1256" s="4" t="s">
        <v>99</v>
      </c>
      <c r="M1256" s="7"/>
      <c r="N1256" s="6">
        <v>13528.49</v>
      </c>
      <c r="O1256" s="19">
        <v>0.375</v>
      </c>
      <c r="P1256" s="7"/>
      <c r="Q1256" s="6">
        <v>0.39</v>
      </c>
      <c r="R1256" s="19">
        <v>0.57140000000000002</v>
      </c>
      <c r="S1256" s="20">
        <v>9</v>
      </c>
      <c r="T1256" s="6">
        <v>0.33</v>
      </c>
      <c r="U1256" s="6">
        <v>0.36</v>
      </c>
      <c r="V1256" s="6">
        <v>0.39</v>
      </c>
      <c r="W1256" s="19">
        <v>0.86</v>
      </c>
      <c r="X1256" s="6">
        <v>2.96</v>
      </c>
      <c r="Y1256" s="21">
        <v>23709.068161999701</v>
      </c>
      <c r="Z1256" s="6">
        <v>511</v>
      </c>
      <c r="AA1256" s="6">
        <v>0.24480182326830199</v>
      </c>
    </row>
    <row r="1257" spans="1:27" x14ac:dyDescent="0.25">
      <c r="A1257" s="7" t="str">
        <f t="shared" si="19"/>
        <v>3929Swedish Edmonds339923086116, 23085302 LABORATORY ADMIN, PT ACCTS LAB OUTREACH</v>
      </c>
      <c r="B1257" s="7"/>
      <c r="C1257" s="29" t="s">
        <v>185</v>
      </c>
      <c r="D1257" s="29" t="s">
        <v>521</v>
      </c>
      <c r="E1257" s="29" t="s">
        <v>186</v>
      </c>
      <c r="F1257" s="29">
        <v>3929</v>
      </c>
      <c r="G1257" s="4" t="s">
        <v>669</v>
      </c>
      <c r="H1257" s="5">
        <v>3399</v>
      </c>
      <c r="I1257" s="4" t="s">
        <v>52</v>
      </c>
      <c r="J1257" s="4" t="s">
        <v>53</v>
      </c>
      <c r="K1257" s="4" t="s">
        <v>697</v>
      </c>
      <c r="L1257" s="4" t="s">
        <v>55</v>
      </c>
      <c r="M1257" s="6">
        <v>9185.32</v>
      </c>
      <c r="N1257" s="6">
        <v>9942.27</v>
      </c>
      <c r="O1257" s="19">
        <v>0.44440000000000002</v>
      </c>
      <c r="P1257" s="6">
        <v>3.67</v>
      </c>
      <c r="Q1257" s="6">
        <v>2.87</v>
      </c>
      <c r="R1257" s="19">
        <v>1</v>
      </c>
      <c r="S1257" s="20">
        <v>10</v>
      </c>
      <c r="T1257" s="6">
        <v>1.24</v>
      </c>
      <c r="U1257" s="6">
        <v>1.37</v>
      </c>
      <c r="V1257" s="6">
        <v>1.74</v>
      </c>
      <c r="W1257" s="19">
        <v>0.88170000000000004</v>
      </c>
      <c r="X1257" s="6">
        <v>15.55</v>
      </c>
      <c r="Y1257" s="21">
        <v>567693.288749372</v>
      </c>
      <c r="Z1257" s="6">
        <v>16984</v>
      </c>
      <c r="AA1257" s="6">
        <v>8.1431518997549102</v>
      </c>
    </row>
    <row r="1258" spans="1:27" x14ac:dyDescent="0.25">
      <c r="A1258" s="7" t="str">
        <f t="shared" si="19"/>
        <v>3929Swedish Edmonds304023074291 EYE SURGERY</v>
      </c>
      <c r="B1258" s="7"/>
      <c r="C1258" s="29" t="s">
        <v>185</v>
      </c>
      <c r="D1258" s="29" t="s">
        <v>521</v>
      </c>
      <c r="E1258" s="29" t="s">
        <v>186</v>
      </c>
      <c r="F1258" s="29">
        <v>3929</v>
      </c>
      <c r="G1258" s="4" t="s">
        <v>669</v>
      </c>
      <c r="H1258" s="5">
        <v>3040</v>
      </c>
      <c r="I1258" s="4" t="s">
        <v>277</v>
      </c>
      <c r="J1258" s="4" t="s">
        <v>47</v>
      </c>
      <c r="K1258" s="4" t="s">
        <v>679</v>
      </c>
      <c r="L1258" s="4" t="s">
        <v>88</v>
      </c>
      <c r="M1258" s="6">
        <v>319.89999999999998</v>
      </c>
      <c r="N1258" s="6">
        <v>297.25</v>
      </c>
      <c r="O1258" s="19">
        <v>0.2</v>
      </c>
      <c r="P1258" s="6">
        <v>24.55</v>
      </c>
      <c r="Q1258" s="6">
        <v>21.36</v>
      </c>
      <c r="R1258" s="19">
        <v>0.3</v>
      </c>
      <c r="S1258" s="20">
        <v>11</v>
      </c>
      <c r="T1258" s="6">
        <v>20.239999999999998</v>
      </c>
      <c r="U1258" s="6">
        <v>22.83</v>
      </c>
      <c r="V1258" s="6">
        <v>24.77</v>
      </c>
      <c r="W1258" s="19">
        <v>0.86070000000000002</v>
      </c>
      <c r="X1258" s="6">
        <v>3.55</v>
      </c>
      <c r="Y1258" s="21">
        <v>-25150.195946314499</v>
      </c>
      <c r="Z1258" s="6">
        <v>-480</v>
      </c>
      <c r="AA1258" s="6">
        <v>-0.230281410704335</v>
      </c>
    </row>
    <row r="1259" spans="1:27" x14ac:dyDescent="0.25">
      <c r="A1259" s="7" t="str">
        <f t="shared" si="19"/>
        <v>3929Swedish Edmonds5608Centralized Scheduling (N)</v>
      </c>
      <c r="B1259" s="7"/>
      <c r="C1259" s="29" t="s">
        <v>185</v>
      </c>
      <c r="D1259" s="29" t="s">
        <v>521</v>
      </c>
      <c r="E1259" s="29" t="s">
        <v>186</v>
      </c>
      <c r="F1259" s="29">
        <v>3929</v>
      </c>
      <c r="G1259" s="4" t="s">
        <v>669</v>
      </c>
      <c r="H1259" s="5">
        <v>5608</v>
      </c>
      <c r="I1259" s="4" t="s">
        <v>257</v>
      </c>
      <c r="J1259" s="4" t="s">
        <v>12</v>
      </c>
      <c r="K1259" s="4" t="s">
        <v>597</v>
      </c>
      <c r="L1259" s="4" t="s">
        <v>18</v>
      </c>
      <c r="M1259" s="6">
        <v>14737.7</v>
      </c>
      <c r="N1259" s="6">
        <v>17352.55</v>
      </c>
      <c r="O1259" s="19">
        <v>0.47760000000000002</v>
      </c>
      <c r="P1259" s="6">
        <v>1.1100000000000001</v>
      </c>
      <c r="Q1259" s="6">
        <v>1.45</v>
      </c>
      <c r="R1259" s="19">
        <v>0.9153</v>
      </c>
      <c r="S1259" s="20">
        <v>11</v>
      </c>
      <c r="T1259" s="6">
        <v>0.42</v>
      </c>
      <c r="U1259" s="6">
        <v>0.46</v>
      </c>
      <c r="V1259" s="6">
        <v>0.77</v>
      </c>
      <c r="W1259" s="19">
        <v>0.89100000000000001</v>
      </c>
      <c r="X1259" s="6">
        <v>13.53</v>
      </c>
      <c r="Y1259" s="21">
        <v>449681.695132792</v>
      </c>
      <c r="Z1259" s="6">
        <v>19261</v>
      </c>
      <c r="AA1259" s="6">
        <v>9.2347189006083692</v>
      </c>
    </row>
    <row r="1260" spans="1:27" x14ac:dyDescent="0.25">
      <c r="A1260" s="7" t="str">
        <f t="shared" si="19"/>
        <v>3929Swedish Edmonds335023075000/23075020/23075090/23075400 LAB MICROBIOLOGY BLOOD</v>
      </c>
      <c r="B1260" s="7"/>
      <c r="C1260" s="29" t="s">
        <v>185</v>
      </c>
      <c r="D1260" s="29" t="s">
        <v>521</v>
      </c>
      <c r="E1260" s="29" t="s">
        <v>186</v>
      </c>
      <c r="F1260" s="29">
        <v>3929</v>
      </c>
      <c r="G1260" s="4" t="s">
        <v>669</v>
      </c>
      <c r="H1260" s="5">
        <v>3350</v>
      </c>
      <c r="I1260" s="4" t="s">
        <v>93</v>
      </c>
      <c r="J1260" s="4" t="s">
        <v>53</v>
      </c>
      <c r="K1260" s="4" t="s">
        <v>682</v>
      </c>
      <c r="L1260" s="4" t="s">
        <v>94</v>
      </c>
      <c r="M1260" s="6">
        <v>8087</v>
      </c>
      <c r="N1260" s="6">
        <v>8678.66</v>
      </c>
      <c r="O1260" s="19">
        <v>0.54549999999999998</v>
      </c>
      <c r="P1260" s="6">
        <v>14.2</v>
      </c>
      <c r="Q1260" s="6">
        <v>12.25</v>
      </c>
      <c r="R1260" s="19">
        <v>0</v>
      </c>
      <c r="S1260" s="20">
        <v>12</v>
      </c>
      <c r="T1260" s="6">
        <v>12.59</v>
      </c>
      <c r="U1260" s="6">
        <v>12.91</v>
      </c>
      <c r="V1260" s="6">
        <v>13.51</v>
      </c>
      <c r="W1260" s="19">
        <v>0.89459999999999995</v>
      </c>
      <c r="X1260" s="6">
        <v>57.12</v>
      </c>
      <c r="Y1260" s="21">
        <v>-176229.22986126001</v>
      </c>
      <c r="Z1260" s="6">
        <v>-6107</v>
      </c>
      <c r="AA1260" s="6">
        <v>-2.92794949985778</v>
      </c>
    </row>
    <row r="1261" spans="1:27" x14ac:dyDescent="0.25">
      <c r="A1261" s="7" t="str">
        <f t="shared" si="19"/>
        <v>3929Swedish Edmonds121423061731 SURGERY ONCOLOGY</v>
      </c>
      <c r="B1261" s="7"/>
      <c r="C1261" s="29" t="s">
        <v>185</v>
      </c>
      <c r="D1261" s="29" t="s">
        <v>521</v>
      </c>
      <c r="E1261" s="29" t="s">
        <v>186</v>
      </c>
      <c r="F1261" s="29">
        <v>3929</v>
      </c>
      <c r="G1261" s="4" t="s">
        <v>669</v>
      </c>
      <c r="H1261" s="5">
        <v>1214</v>
      </c>
      <c r="I1261" s="4" t="s">
        <v>109</v>
      </c>
      <c r="J1261" s="4" t="s">
        <v>23</v>
      </c>
      <c r="K1261" s="4" t="s">
        <v>701</v>
      </c>
      <c r="L1261" s="4" t="s">
        <v>74</v>
      </c>
      <c r="M1261" s="6">
        <v>7944.42</v>
      </c>
      <c r="N1261" s="6">
        <v>8473</v>
      </c>
      <c r="O1261" s="19">
        <v>0.36359999999999998</v>
      </c>
      <c r="P1261" s="6">
        <v>11.4</v>
      </c>
      <c r="Q1261" s="6">
        <v>11.01</v>
      </c>
      <c r="R1261" s="19">
        <v>0.6</v>
      </c>
      <c r="S1261" s="20">
        <v>12</v>
      </c>
      <c r="T1261" s="6">
        <v>10.41</v>
      </c>
      <c r="U1261" s="6">
        <v>10.67</v>
      </c>
      <c r="V1261" s="6">
        <v>10.97</v>
      </c>
      <c r="W1261" s="19">
        <v>0.89190000000000003</v>
      </c>
      <c r="X1261" s="6">
        <v>50.28</v>
      </c>
      <c r="Y1261" s="21">
        <v>145361.545607857</v>
      </c>
      <c r="Z1261" s="6">
        <v>3505</v>
      </c>
      <c r="AA1261" s="6">
        <v>1.68029638070136</v>
      </c>
    </row>
    <row r="1262" spans="1:27" x14ac:dyDescent="0.25">
      <c r="A1262" s="7" t="str">
        <f t="shared" si="19"/>
        <v>3929Swedish Edmonds101323060100 INTENSIVE CARE</v>
      </c>
      <c r="B1262" s="7"/>
      <c r="C1262" s="29" t="s">
        <v>185</v>
      </c>
      <c r="D1262" s="29" t="s">
        <v>521</v>
      </c>
      <c r="E1262" s="29" t="s">
        <v>186</v>
      </c>
      <c r="F1262" s="29">
        <v>3929</v>
      </c>
      <c r="G1262" s="4" t="s">
        <v>669</v>
      </c>
      <c r="H1262" s="5">
        <v>1013</v>
      </c>
      <c r="I1262" s="4" t="s">
        <v>73</v>
      </c>
      <c r="J1262" s="4" t="s">
        <v>23</v>
      </c>
      <c r="K1262" s="4" t="s">
        <v>700</v>
      </c>
      <c r="L1262" s="4" t="s">
        <v>74</v>
      </c>
      <c r="M1262" s="6">
        <v>2535</v>
      </c>
      <c r="N1262" s="6">
        <v>2931</v>
      </c>
      <c r="O1262" s="19">
        <v>0.5</v>
      </c>
      <c r="P1262" s="6">
        <v>20.91</v>
      </c>
      <c r="Q1262" s="6">
        <v>18.690000000000001</v>
      </c>
      <c r="R1262" s="19">
        <v>0.16669999999999999</v>
      </c>
      <c r="S1262" s="20">
        <v>13</v>
      </c>
      <c r="T1262" s="6">
        <v>18.760000000000002</v>
      </c>
      <c r="U1262" s="6">
        <v>19.22</v>
      </c>
      <c r="V1262" s="6">
        <v>21.18</v>
      </c>
      <c r="W1262" s="19">
        <v>0.87670000000000003</v>
      </c>
      <c r="X1262" s="6">
        <v>30.04</v>
      </c>
      <c r="Y1262" s="21">
        <v>-85550.842143390604</v>
      </c>
      <c r="Z1262" s="6">
        <v>-1602</v>
      </c>
      <c r="AA1262" s="6">
        <v>-0.76820206495677801</v>
      </c>
    </row>
    <row r="1263" spans="1:27" x14ac:dyDescent="0.25">
      <c r="A1263" s="7" t="str">
        <f t="shared" si="19"/>
        <v>3929Swedish Edmonds127023063800 FAMILY CHILDBIRTH/23074501 OB ANESTHESIA</v>
      </c>
      <c r="B1263" s="7"/>
      <c r="C1263" s="29" t="s">
        <v>185</v>
      </c>
      <c r="D1263" s="29" t="s">
        <v>521</v>
      </c>
      <c r="E1263" s="29" t="s">
        <v>186</v>
      </c>
      <c r="F1263" s="29">
        <v>3929</v>
      </c>
      <c r="G1263" s="4" t="s">
        <v>669</v>
      </c>
      <c r="H1263" s="5">
        <v>1270</v>
      </c>
      <c r="I1263" s="4" t="s">
        <v>199</v>
      </c>
      <c r="J1263" s="4" t="s">
        <v>23</v>
      </c>
      <c r="K1263" s="4" t="s">
        <v>705</v>
      </c>
      <c r="L1263" s="4" t="s">
        <v>86</v>
      </c>
      <c r="M1263" s="6">
        <v>1148</v>
      </c>
      <c r="N1263" s="6">
        <v>1170</v>
      </c>
      <c r="O1263" s="19">
        <v>0.16669999999999999</v>
      </c>
      <c r="P1263" s="6">
        <v>64.39</v>
      </c>
      <c r="Q1263" s="6">
        <v>68.69</v>
      </c>
      <c r="R1263" s="19">
        <v>0.58330000000000004</v>
      </c>
      <c r="S1263" s="20">
        <v>13</v>
      </c>
      <c r="T1263" s="6">
        <v>57.12</v>
      </c>
      <c r="U1263" s="6">
        <v>58.53</v>
      </c>
      <c r="V1263" s="6">
        <v>62.83</v>
      </c>
      <c r="W1263" s="19">
        <v>0.87450000000000006</v>
      </c>
      <c r="X1263" s="6">
        <v>44.18</v>
      </c>
      <c r="Y1263" s="21">
        <v>682184.76705312799</v>
      </c>
      <c r="Z1263" s="6">
        <v>13839</v>
      </c>
      <c r="AA1263" s="6">
        <v>6.6349462068380198</v>
      </c>
    </row>
    <row r="1264" spans="1:27" x14ac:dyDescent="0.25">
      <c r="A1264" s="7" t="str">
        <f t="shared" si="19"/>
        <v>3929Swedish Edmonds111123061790 PROGRESSIVE CARE UNIT</v>
      </c>
      <c r="B1264" s="7"/>
      <c r="C1264" s="29" t="s">
        <v>185</v>
      </c>
      <c r="D1264" s="29" t="s">
        <v>521</v>
      </c>
      <c r="E1264" s="29" t="s">
        <v>186</v>
      </c>
      <c r="F1264" s="29">
        <v>3929</v>
      </c>
      <c r="G1264" s="4" t="s">
        <v>669</v>
      </c>
      <c r="H1264" s="5">
        <v>1111</v>
      </c>
      <c r="I1264" s="4" t="s">
        <v>146</v>
      </c>
      <c r="J1264" s="4" t="s">
        <v>23</v>
      </c>
      <c r="K1264" s="4" t="s">
        <v>703</v>
      </c>
      <c r="L1264" s="4" t="s">
        <v>74</v>
      </c>
      <c r="M1264" s="6">
        <v>10677.38</v>
      </c>
      <c r="N1264" s="6">
        <v>12086</v>
      </c>
      <c r="O1264" s="19">
        <v>0.83330000000000004</v>
      </c>
      <c r="P1264" s="6">
        <v>13.31</v>
      </c>
      <c r="Q1264" s="6">
        <v>13.46</v>
      </c>
      <c r="R1264" s="19">
        <v>1</v>
      </c>
      <c r="S1264" s="20">
        <v>13</v>
      </c>
      <c r="T1264" s="6">
        <v>12.28</v>
      </c>
      <c r="U1264" s="6">
        <v>12.35</v>
      </c>
      <c r="V1264" s="6">
        <v>12.5</v>
      </c>
      <c r="W1264" s="19">
        <v>0.92079999999999995</v>
      </c>
      <c r="X1264" s="6">
        <v>84.91</v>
      </c>
      <c r="Y1264" s="21">
        <v>691474.80203219503</v>
      </c>
      <c r="Z1264" s="6">
        <v>14996</v>
      </c>
      <c r="AA1264" s="6">
        <v>7.1900708994061402</v>
      </c>
    </row>
    <row r="1265" spans="1:27" x14ac:dyDescent="0.25">
      <c r="A1265" s="7" t="str">
        <f t="shared" si="19"/>
        <v>3929Swedish Edmonds521023084400 ENVIRONMENTAL SERVICES</v>
      </c>
      <c r="B1265" s="7"/>
      <c r="C1265" s="29" t="s">
        <v>185</v>
      </c>
      <c r="D1265" s="29" t="s">
        <v>521</v>
      </c>
      <c r="E1265" s="29" t="s">
        <v>186</v>
      </c>
      <c r="F1265" s="29">
        <v>3929</v>
      </c>
      <c r="G1265" s="4" t="s">
        <v>669</v>
      </c>
      <c r="H1265" s="5">
        <v>5210</v>
      </c>
      <c r="I1265" s="4" t="s">
        <v>293</v>
      </c>
      <c r="J1265" s="4" t="s">
        <v>50</v>
      </c>
      <c r="K1265" s="4" t="s">
        <v>691</v>
      </c>
      <c r="L1265" s="4" t="s">
        <v>51</v>
      </c>
      <c r="M1265" s="6">
        <v>380.58</v>
      </c>
      <c r="N1265" s="6">
        <v>429.61</v>
      </c>
      <c r="O1265" s="19">
        <v>0.46150000000000002</v>
      </c>
      <c r="P1265" s="6">
        <v>179.8</v>
      </c>
      <c r="Q1265" s="6">
        <v>167.65</v>
      </c>
      <c r="R1265" s="19">
        <v>0.3</v>
      </c>
      <c r="S1265" s="20">
        <v>14</v>
      </c>
      <c r="T1265" s="6">
        <v>167.59</v>
      </c>
      <c r="U1265" s="6">
        <v>168.87</v>
      </c>
      <c r="V1265" s="6">
        <v>170.21</v>
      </c>
      <c r="W1265" s="19">
        <v>0.89480000000000004</v>
      </c>
      <c r="X1265" s="6">
        <v>38.700000000000003</v>
      </c>
      <c r="Y1265" s="21">
        <v>-7436.2018275719101</v>
      </c>
      <c r="Z1265" s="6">
        <v>-361</v>
      </c>
      <c r="AA1265" s="6">
        <v>-0.173090433014188</v>
      </c>
    </row>
    <row r="1266" spans="1:27" x14ac:dyDescent="0.25">
      <c r="A1266" s="7" t="str">
        <f t="shared" si="19"/>
        <v>3929Swedish Edmonds441123077102 RETAIL PHARMACY</v>
      </c>
      <c r="B1266" s="7"/>
      <c r="C1266" s="29" t="s">
        <v>185</v>
      </c>
      <c r="D1266" s="29" t="s">
        <v>521</v>
      </c>
      <c r="E1266" s="29" t="s">
        <v>186</v>
      </c>
      <c r="F1266" s="29">
        <v>3929</v>
      </c>
      <c r="G1266" s="4" t="s">
        <v>669</v>
      </c>
      <c r="H1266" s="5">
        <v>4411</v>
      </c>
      <c r="I1266" s="4" t="s">
        <v>154</v>
      </c>
      <c r="J1266" s="4" t="s">
        <v>37</v>
      </c>
      <c r="K1266" s="4" t="s">
        <v>717</v>
      </c>
      <c r="L1266" s="4" t="s">
        <v>155</v>
      </c>
      <c r="M1266" s="6">
        <v>67377</v>
      </c>
      <c r="N1266" s="6">
        <v>59628</v>
      </c>
      <c r="O1266" s="19">
        <v>0.3846</v>
      </c>
      <c r="P1266" s="6">
        <v>0.49</v>
      </c>
      <c r="Q1266" s="6">
        <v>0.41</v>
      </c>
      <c r="R1266" s="19">
        <v>1</v>
      </c>
      <c r="S1266" s="20">
        <v>14</v>
      </c>
      <c r="T1266" s="6">
        <v>0.21</v>
      </c>
      <c r="U1266" s="6">
        <v>0.22</v>
      </c>
      <c r="V1266" s="6">
        <v>0.24</v>
      </c>
      <c r="W1266" s="19">
        <v>0.92390000000000005</v>
      </c>
      <c r="X1266" s="6">
        <v>12.71</v>
      </c>
      <c r="Y1266" s="21">
        <v>529768.26386541896</v>
      </c>
      <c r="Z1266" s="6">
        <v>12311</v>
      </c>
      <c r="AA1266" s="6">
        <v>5.90236730557148</v>
      </c>
    </row>
    <row r="1267" spans="1:27" x14ac:dyDescent="0.25">
      <c r="A1267" s="7" t="str">
        <f t="shared" si="19"/>
        <v>3929Swedish Edmonds191123087201 NURSING SUPPORT SERVICES</v>
      </c>
      <c r="B1267" s="7"/>
      <c r="C1267" s="29" t="s">
        <v>185</v>
      </c>
      <c r="D1267" s="29" t="s">
        <v>521</v>
      </c>
      <c r="E1267" s="29" t="s">
        <v>186</v>
      </c>
      <c r="F1267" s="29">
        <v>3929</v>
      </c>
      <c r="G1267" s="4" t="s">
        <v>669</v>
      </c>
      <c r="H1267" s="5">
        <v>1911</v>
      </c>
      <c r="I1267" s="4" t="s">
        <v>171</v>
      </c>
      <c r="J1267" s="4" t="s">
        <v>23</v>
      </c>
      <c r="K1267" s="4" t="s">
        <v>709</v>
      </c>
      <c r="L1267" s="4" t="s">
        <v>35</v>
      </c>
      <c r="M1267" s="6">
        <v>471</v>
      </c>
      <c r="N1267" s="6">
        <v>460</v>
      </c>
      <c r="O1267" s="19">
        <v>0.46150000000000002</v>
      </c>
      <c r="P1267" s="6">
        <v>61.81</v>
      </c>
      <c r="Q1267" s="6">
        <v>64.2</v>
      </c>
      <c r="R1267" s="19">
        <v>0.9</v>
      </c>
      <c r="S1267" s="20">
        <v>14</v>
      </c>
      <c r="T1267" s="6">
        <v>26.27</v>
      </c>
      <c r="U1267" s="6">
        <v>26.63</v>
      </c>
      <c r="V1267" s="6">
        <v>28.81</v>
      </c>
      <c r="W1267" s="19">
        <v>0.86950000000000005</v>
      </c>
      <c r="X1267" s="6">
        <v>13.14</v>
      </c>
      <c r="Y1267" s="21">
        <v>615879.27207063604</v>
      </c>
      <c r="Z1267" s="6">
        <v>13318</v>
      </c>
      <c r="AA1267" s="6">
        <v>6.3852765860397804</v>
      </c>
    </row>
    <row r="1268" spans="1:27" x14ac:dyDescent="0.25">
      <c r="A1268" s="7" t="str">
        <f t="shared" si="19"/>
        <v>3929Swedish Edmonds121023061770 MEDICAL ORTHOPEDICS</v>
      </c>
      <c r="B1268" s="7"/>
      <c r="C1268" s="29" t="s">
        <v>185</v>
      </c>
      <c r="D1268" s="29" t="s">
        <v>521</v>
      </c>
      <c r="E1268" s="29" t="s">
        <v>186</v>
      </c>
      <c r="F1268" s="29">
        <v>3929</v>
      </c>
      <c r="G1268" s="4" t="s">
        <v>669</v>
      </c>
      <c r="H1268" s="5">
        <v>1210</v>
      </c>
      <c r="I1268" s="4" t="s">
        <v>147</v>
      </c>
      <c r="J1268" s="4" t="s">
        <v>23</v>
      </c>
      <c r="K1268" s="4" t="s">
        <v>702</v>
      </c>
      <c r="L1268" s="4" t="s">
        <v>74</v>
      </c>
      <c r="M1268" s="6">
        <v>8502.0400000000009</v>
      </c>
      <c r="N1268" s="6">
        <v>9482</v>
      </c>
      <c r="O1268" s="19">
        <v>0.3846</v>
      </c>
      <c r="P1268" s="6">
        <v>11.13</v>
      </c>
      <c r="Q1268" s="6">
        <v>11.69</v>
      </c>
      <c r="R1268" s="19">
        <v>1</v>
      </c>
      <c r="S1268" s="20">
        <v>14</v>
      </c>
      <c r="T1268" s="6">
        <v>9.86</v>
      </c>
      <c r="U1268" s="6">
        <v>10.119999999999999</v>
      </c>
      <c r="V1268" s="6">
        <v>10.23</v>
      </c>
      <c r="W1268" s="19">
        <v>0.91620000000000001</v>
      </c>
      <c r="X1268" s="6">
        <v>58.19</v>
      </c>
      <c r="Y1268" s="21">
        <v>708954.63810035097</v>
      </c>
      <c r="Z1268" s="6">
        <v>16632</v>
      </c>
      <c r="AA1268" s="6">
        <v>7.9744371518251302</v>
      </c>
    </row>
    <row r="1269" spans="1:27" x14ac:dyDescent="0.25">
      <c r="A1269" s="7" t="str">
        <f t="shared" si="19"/>
        <v>3929Swedish Edmonds511223083300 CAFETERIA</v>
      </c>
      <c r="B1269" s="7"/>
      <c r="C1269" s="29" t="s">
        <v>185</v>
      </c>
      <c r="D1269" s="29" t="s">
        <v>521</v>
      </c>
      <c r="E1269" s="29" t="s">
        <v>186</v>
      </c>
      <c r="F1269" s="29">
        <v>3929</v>
      </c>
      <c r="G1269" s="4" t="s">
        <v>669</v>
      </c>
      <c r="H1269" s="5">
        <v>5112</v>
      </c>
      <c r="I1269" s="4" t="s">
        <v>281</v>
      </c>
      <c r="J1269" s="4" t="s">
        <v>65</v>
      </c>
      <c r="K1269" s="4" t="s">
        <v>689</v>
      </c>
      <c r="L1269" s="4" t="s">
        <v>282</v>
      </c>
      <c r="M1269" s="6">
        <v>393790.16</v>
      </c>
      <c r="N1269" s="6">
        <v>401647.88</v>
      </c>
      <c r="O1269" s="19">
        <v>0.57140000000000002</v>
      </c>
      <c r="P1269" s="6">
        <v>0.18</v>
      </c>
      <c r="Q1269" s="6">
        <v>0.17</v>
      </c>
      <c r="R1269" s="19">
        <v>0.61539999999999995</v>
      </c>
      <c r="S1269" s="20">
        <v>15</v>
      </c>
      <c r="T1269" s="6">
        <v>0.14000000000000001</v>
      </c>
      <c r="U1269" s="6">
        <v>0.15</v>
      </c>
      <c r="V1269" s="6">
        <v>0.16</v>
      </c>
      <c r="W1269" s="19">
        <v>0.8901</v>
      </c>
      <c r="X1269" s="6">
        <v>36.659999999999997</v>
      </c>
      <c r="Y1269" s="21">
        <v>180397.59071196301</v>
      </c>
      <c r="Z1269" s="6">
        <v>8776</v>
      </c>
      <c r="AA1269" s="6">
        <v>4.2076541358824198</v>
      </c>
    </row>
    <row r="1270" spans="1:27" x14ac:dyDescent="0.25">
      <c r="A1270" s="7" t="str">
        <f t="shared" si="19"/>
        <v>3929Swedish Edmonds486123077800 IP SPEECH THERAPY</v>
      </c>
      <c r="B1270" s="7"/>
      <c r="C1270" s="29" t="s">
        <v>185</v>
      </c>
      <c r="D1270" s="29" t="s">
        <v>521</v>
      </c>
      <c r="E1270" s="29" t="s">
        <v>186</v>
      </c>
      <c r="F1270" s="29">
        <v>3929</v>
      </c>
      <c r="G1270" s="4" t="s">
        <v>669</v>
      </c>
      <c r="H1270" s="5">
        <v>4861</v>
      </c>
      <c r="I1270" s="4" t="s">
        <v>125</v>
      </c>
      <c r="J1270" s="4" t="s">
        <v>41</v>
      </c>
      <c r="K1270" s="4" t="s">
        <v>685</v>
      </c>
      <c r="L1270" s="4" t="s">
        <v>79</v>
      </c>
      <c r="M1270" s="6">
        <v>168.11</v>
      </c>
      <c r="N1270" s="6">
        <v>197.5</v>
      </c>
      <c r="O1270" s="19">
        <v>0.5333</v>
      </c>
      <c r="P1270" s="6">
        <v>34.49</v>
      </c>
      <c r="Q1270" s="6">
        <v>28.43</v>
      </c>
      <c r="R1270" s="19">
        <v>0.57140000000000002</v>
      </c>
      <c r="S1270" s="20">
        <v>16</v>
      </c>
      <c r="T1270" s="6">
        <v>23.39</v>
      </c>
      <c r="U1270" s="6">
        <v>23.57</v>
      </c>
      <c r="V1270" s="6">
        <v>27.23</v>
      </c>
      <c r="W1270" s="19">
        <v>0.90390000000000004</v>
      </c>
      <c r="X1270" s="6">
        <v>2.99</v>
      </c>
      <c r="Y1270" s="21">
        <v>49445.030593479401</v>
      </c>
      <c r="Z1270" s="6">
        <v>1086</v>
      </c>
      <c r="AA1270" s="6">
        <v>0.52081030980999399</v>
      </c>
    </row>
    <row r="1271" spans="1:27" x14ac:dyDescent="0.25">
      <c r="A1271" s="7" t="str">
        <f t="shared" si="19"/>
        <v>3929Swedish Edmonds1830Centralized Telemetry (N)</v>
      </c>
      <c r="B1271" s="7"/>
      <c r="C1271" s="29" t="s">
        <v>185</v>
      </c>
      <c r="D1271" s="29" t="s">
        <v>521</v>
      </c>
      <c r="E1271" s="29" t="s">
        <v>186</v>
      </c>
      <c r="F1271" s="29">
        <v>3929</v>
      </c>
      <c r="G1271" s="4" t="s">
        <v>669</v>
      </c>
      <c r="H1271" s="5">
        <v>1830</v>
      </c>
      <c r="I1271" s="4" t="s">
        <v>22</v>
      </c>
      <c r="J1271" s="4" t="s">
        <v>23</v>
      </c>
      <c r="K1271" s="4" t="s">
        <v>598</v>
      </c>
      <c r="L1271" s="4" t="s">
        <v>24</v>
      </c>
      <c r="M1271" s="6">
        <v>12416</v>
      </c>
      <c r="N1271" s="6">
        <v>14321</v>
      </c>
      <c r="O1271" s="19">
        <v>0.6</v>
      </c>
      <c r="P1271" s="6">
        <v>1.03</v>
      </c>
      <c r="Q1271" s="6">
        <v>1.23</v>
      </c>
      <c r="R1271" s="19">
        <v>0.4667</v>
      </c>
      <c r="S1271" s="20">
        <v>16</v>
      </c>
      <c r="T1271" s="6">
        <v>0.73</v>
      </c>
      <c r="U1271" s="6">
        <v>0.8</v>
      </c>
      <c r="V1271" s="6">
        <v>1.23</v>
      </c>
      <c r="W1271" s="19">
        <v>0.86639999999999995</v>
      </c>
      <c r="X1271" s="6">
        <v>9.74</v>
      </c>
      <c r="Y1271" s="21">
        <v>176422.480439565</v>
      </c>
      <c r="Z1271" s="6">
        <v>7091</v>
      </c>
      <c r="AA1271" s="6">
        <v>3.3999446851091801</v>
      </c>
    </row>
    <row r="1272" spans="1:27" x14ac:dyDescent="0.25">
      <c r="A1272" s="7" t="str">
        <f t="shared" si="19"/>
        <v>3929Swedish Edmonds423023075700 CARDIAC CATHERIZATION</v>
      </c>
      <c r="B1272" s="7"/>
      <c r="C1272" s="29" t="s">
        <v>185</v>
      </c>
      <c r="D1272" s="29" t="s">
        <v>521</v>
      </c>
      <c r="E1272" s="29" t="s">
        <v>186</v>
      </c>
      <c r="F1272" s="29">
        <v>3929</v>
      </c>
      <c r="G1272" s="4" t="s">
        <v>669</v>
      </c>
      <c r="H1272" s="5">
        <v>4230</v>
      </c>
      <c r="I1272" s="4" t="s">
        <v>96</v>
      </c>
      <c r="J1272" s="4" t="s">
        <v>60</v>
      </c>
      <c r="K1272" s="4" t="s">
        <v>684</v>
      </c>
      <c r="L1272" s="4" t="s">
        <v>97</v>
      </c>
      <c r="M1272" s="6">
        <v>80550</v>
      </c>
      <c r="N1272" s="6">
        <v>88110</v>
      </c>
      <c r="O1272" s="19">
        <v>0.4375</v>
      </c>
      <c r="P1272" s="6">
        <v>0.11</v>
      </c>
      <c r="Q1272" s="6">
        <v>0.11</v>
      </c>
      <c r="R1272" s="7"/>
      <c r="S1272" s="20">
        <v>17</v>
      </c>
      <c r="T1272" s="6">
        <v>0.22</v>
      </c>
      <c r="U1272" s="6">
        <v>0.23</v>
      </c>
      <c r="V1272" s="6">
        <v>0.24</v>
      </c>
      <c r="W1272" s="19">
        <v>0.90549999999999997</v>
      </c>
      <c r="X1272" s="6">
        <v>5.1100000000000003</v>
      </c>
      <c r="Y1272" s="21">
        <v>-644646.98051373404</v>
      </c>
      <c r="Z1272" s="6">
        <v>-11722</v>
      </c>
      <c r="AA1272" s="6">
        <v>-5.6203216742908699</v>
      </c>
    </row>
    <row r="1273" spans="1:27" x14ac:dyDescent="0.25">
      <c r="A1273" s="7" t="str">
        <f t="shared" si="19"/>
        <v>3929Swedish Edmonds344023076390 MAMMOGRAPHY</v>
      </c>
      <c r="B1273" s="7"/>
      <c r="C1273" s="29" t="s">
        <v>185</v>
      </c>
      <c r="D1273" s="29" t="s">
        <v>521</v>
      </c>
      <c r="E1273" s="29" t="s">
        <v>186</v>
      </c>
      <c r="F1273" s="29">
        <v>3929</v>
      </c>
      <c r="G1273" s="4" t="s">
        <v>669</v>
      </c>
      <c r="H1273" s="5">
        <v>3440</v>
      </c>
      <c r="I1273" s="4" t="s">
        <v>119</v>
      </c>
      <c r="J1273" s="4" t="s">
        <v>57</v>
      </c>
      <c r="K1273" s="4" t="s">
        <v>712</v>
      </c>
      <c r="L1273" s="4" t="s">
        <v>99</v>
      </c>
      <c r="M1273" s="6">
        <v>19243.52</v>
      </c>
      <c r="N1273" s="6">
        <v>26817.27</v>
      </c>
      <c r="O1273" s="19">
        <v>0.625</v>
      </c>
      <c r="P1273" s="6">
        <v>0.47</v>
      </c>
      <c r="Q1273" s="6">
        <v>0.37</v>
      </c>
      <c r="R1273" s="19">
        <v>0.125</v>
      </c>
      <c r="S1273" s="20">
        <v>17</v>
      </c>
      <c r="T1273" s="6">
        <v>0.47</v>
      </c>
      <c r="U1273" s="6">
        <v>0.5</v>
      </c>
      <c r="V1273" s="6">
        <v>0.56999999999999995</v>
      </c>
      <c r="W1273" s="19">
        <v>0.90229999999999999</v>
      </c>
      <c r="X1273" s="6">
        <v>5.34</v>
      </c>
      <c r="Y1273" s="21">
        <v>-166249.289912673</v>
      </c>
      <c r="Z1273" s="6">
        <v>-3723</v>
      </c>
      <c r="AA1273" s="6">
        <v>-1.7849491697901101</v>
      </c>
    </row>
    <row r="1274" spans="1:27" x14ac:dyDescent="0.25">
      <c r="A1274" s="7" t="str">
        <f t="shared" si="19"/>
        <v>3929Swedish Edmonds5925Patient Escort (Transport) Service (N)</v>
      </c>
      <c r="B1274" s="7"/>
      <c r="C1274" s="29" t="s">
        <v>185</v>
      </c>
      <c r="D1274" s="29" t="s">
        <v>521</v>
      </c>
      <c r="E1274" s="29" t="s">
        <v>186</v>
      </c>
      <c r="F1274" s="29">
        <v>3929</v>
      </c>
      <c r="G1274" s="4" t="s">
        <v>669</v>
      </c>
      <c r="H1274" s="5">
        <v>5925</v>
      </c>
      <c r="I1274" s="4" t="s">
        <v>135</v>
      </c>
      <c r="J1274" s="4" t="s">
        <v>136</v>
      </c>
      <c r="K1274" s="4" t="s">
        <v>672</v>
      </c>
      <c r="L1274" s="4" t="s">
        <v>137</v>
      </c>
      <c r="M1274" s="6">
        <v>232.12</v>
      </c>
      <c r="N1274" s="6">
        <v>175.56</v>
      </c>
      <c r="O1274" s="19">
        <v>0.4375</v>
      </c>
      <c r="P1274" s="6">
        <v>78.39</v>
      </c>
      <c r="Q1274" s="6">
        <v>107.71</v>
      </c>
      <c r="R1274" s="19">
        <v>0.875</v>
      </c>
      <c r="S1274" s="20">
        <v>17</v>
      </c>
      <c r="T1274" s="6">
        <v>46.28</v>
      </c>
      <c r="U1274" s="6">
        <v>49.21</v>
      </c>
      <c r="V1274" s="6">
        <v>54.98</v>
      </c>
      <c r="W1274" s="19">
        <v>0.89559999999999995</v>
      </c>
      <c r="X1274" s="6">
        <v>10.15</v>
      </c>
      <c r="Y1274" s="21">
        <v>362174.66174931102</v>
      </c>
      <c r="Z1274" s="6">
        <v>11524</v>
      </c>
      <c r="AA1274" s="6">
        <v>5.5249864316708797</v>
      </c>
    </row>
    <row r="1275" spans="1:27" x14ac:dyDescent="0.25">
      <c r="A1275" s="7" t="str">
        <f t="shared" si="19"/>
        <v>3929Swedish Edmonds554023084700 TELECOMMUNICATIONS</v>
      </c>
      <c r="B1275" s="7"/>
      <c r="C1275" s="29" t="s">
        <v>185</v>
      </c>
      <c r="D1275" s="29" t="s">
        <v>521</v>
      </c>
      <c r="E1275" s="29" t="s">
        <v>186</v>
      </c>
      <c r="F1275" s="29">
        <v>3929</v>
      </c>
      <c r="G1275" s="4" t="s">
        <v>669</v>
      </c>
      <c r="H1275" s="5">
        <v>5540</v>
      </c>
      <c r="I1275" s="4" t="s">
        <v>693</v>
      </c>
      <c r="J1275" s="4" t="s">
        <v>68</v>
      </c>
      <c r="K1275" s="4" t="s">
        <v>694</v>
      </c>
      <c r="L1275" s="4" t="s">
        <v>18</v>
      </c>
      <c r="M1275" s="6">
        <v>14737.7</v>
      </c>
      <c r="N1275" s="6">
        <v>17352.55</v>
      </c>
      <c r="O1275" s="19">
        <v>0.23530000000000001</v>
      </c>
      <c r="P1275" s="6">
        <v>0.61</v>
      </c>
      <c r="Q1275" s="6">
        <v>0.53</v>
      </c>
      <c r="R1275" s="19">
        <v>0.4118</v>
      </c>
      <c r="S1275" s="20">
        <v>18</v>
      </c>
      <c r="T1275" s="6">
        <v>0.46</v>
      </c>
      <c r="U1275" s="6">
        <v>0.47</v>
      </c>
      <c r="V1275" s="6">
        <v>0.56999999999999995</v>
      </c>
      <c r="W1275" s="19">
        <v>0.86360000000000003</v>
      </c>
      <c r="X1275" s="6">
        <v>5.0999999999999996</v>
      </c>
      <c r="Y1275" s="21">
        <v>26982.392037303402</v>
      </c>
      <c r="Z1275" s="6">
        <v>1193</v>
      </c>
      <c r="AA1275" s="6">
        <v>0.57210145097309395</v>
      </c>
    </row>
    <row r="1276" spans="1:27" x14ac:dyDescent="0.25">
      <c r="A1276" s="7" t="str">
        <f t="shared" si="19"/>
        <v>3929Swedish Edmonds229823070701, 23078780 WOUND OSTOMY CLINIC, HYPERBARIC OXYGEN CHAMBER</v>
      </c>
      <c r="B1276" s="7"/>
      <c r="C1276" s="29" t="s">
        <v>185</v>
      </c>
      <c r="D1276" s="29" t="s">
        <v>521</v>
      </c>
      <c r="E1276" s="29" t="s">
        <v>186</v>
      </c>
      <c r="F1276" s="29">
        <v>3929</v>
      </c>
      <c r="G1276" s="4" t="s">
        <v>669</v>
      </c>
      <c r="H1276" s="5">
        <v>2298</v>
      </c>
      <c r="I1276" s="4" t="s">
        <v>198</v>
      </c>
      <c r="J1276" s="4" t="s">
        <v>176</v>
      </c>
      <c r="K1276" s="4" t="s">
        <v>698</v>
      </c>
      <c r="L1276" s="4" t="s">
        <v>77</v>
      </c>
      <c r="M1276" s="6">
        <v>7481</v>
      </c>
      <c r="N1276" s="6">
        <v>8537</v>
      </c>
      <c r="O1276" s="19">
        <v>0.58819999999999995</v>
      </c>
      <c r="P1276" s="6">
        <v>1.68</v>
      </c>
      <c r="Q1276" s="6">
        <v>1.74</v>
      </c>
      <c r="R1276" s="19">
        <v>0.5</v>
      </c>
      <c r="S1276" s="20">
        <v>18</v>
      </c>
      <c r="T1276" s="6">
        <v>1.36</v>
      </c>
      <c r="U1276" s="6">
        <v>1.58</v>
      </c>
      <c r="V1276" s="6">
        <v>1.74</v>
      </c>
      <c r="W1276" s="19">
        <v>0.90649999999999997</v>
      </c>
      <c r="X1276" s="6">
        <v>7.86</v>
      </c>
      <c r="Y1276" s="21">
        <v>67114.420529498602</v>
      </c>
      <c r="Z1276" s="6">
        <v>1514</v>
      </c>
      <c r="AA1276" s="6">
        <v>0.72584207576817095</v>
      </c>
    </row>
    <row r="1277" spans="1:27" x14ac:dyDescent="0.25">
      <c r="A1277" s="7" t="str">
        <f t="shared" si="19"/>
        <v>3929Swedish Edmonds585023087550, 23083600 CARE COORDINATION, ED SOCIAL WORKERS</v>
      </c>
      <c r="B1277" s="7"/>
      <c r="C1277" s="29" t="s">
        <v>185</v>
      </c>
      <c r="D1277" s="29" t="s">
        <v>521</v>
      </c>
      <c r="E1277" s="29" t="s">
        <v>186</v>
      </c>
      <c r="F1277" s="29">
        <v>3929</v>
      </c>
      <c r="G1277" s="4" t="s">
        <v>669</v>
      </c>
      <c r="H1277" s="5">
        <v>5850</v>
      </c>
      <c r="I1277" s="4" t="s">
        <v>172</v>
      </c>
      <c r="J1277" s="4" t="s">
        <v>26</v>
      </c>
      <c r="K1277" s="4" t="s">
        <v>670</v>
      </c>
      <c r="L1277" s="4" t="s">
        <v>33</v>
      </c>
      <c r="M1277" s="6">
        <v>19370</v>
      </c>
      <c r="N1277" s="6">
        <v>40176</v>
      </c>
      <c r="O1277" s="19">
        <v>0.52939999999999998</v>
      </c>
      <c r="P1277" s="6">
        <v>1.9</v>
      </c>
      <c r="Q1277" s="6">
        <v>0.98</v>
      </c>
      <c r="R1277" s="19">
        <v>0.4667</v>
      </c>
      <c r="S1277" s="20">
        <v>18</v>
      </c>
      <c r="T1277" s="6">
        <v>0.85</v>
      </c>
      <c r="U1277" s="6">
        <v>0.9</v>
      </c>
      <c r="V1277" s="6">
        <v>0.99</v>
      </c>
      <c r="W1277" s="19">
        <v>0.89339999999999997</v>
      </c>
      <c r="X1277" s="6">
        <v>21.17</v>
      </c>
      <c r="Y1277" s="21">
        <v>164701.80651825099</v>
      </c>
      <c r="Z1277" s="6">
        <v>3681</v>
      </c>
      <c r="AA1277" s="6">
        <v>1.7650997088395599</v>
      </c>
    </row>
    <row r="1278" spans="1:27" x14ac:dyDescent="0.25">
      <c r="A1278" s="7" t="str">
        <f t="shared" si="19"/>
        <v>3929Swedish Edmonds302023074270 RECOVERY</v>
      </c>
      <c r="B1278" s="7"/>
      <c r="C1278" s="29" t="s">
        <v>185</v>
      </c>
      <c r="D1278" s="29" t="s">
        <v>521</v>
      </c>
      <c r="E1278" s="29" t="s">
        <v>186</v>
      </c>
      <c r="F1278" s="29">
        <v>3929</v>
      </c>
      <c r="G1278" s="4" t="s">
        <v>669</v>
      </c>
      <c r="H1278" s="5">
        <v>3020</v>
      </c>
      <c r="I1278" s="4" t="s">
        <v>89</v>
      </c>
      <c r="J1278" s="4" t="s">
        <v>47</v>
      </c>
      <c r="K1278" s="4" t="s">
        <v>678</v>
      </c>
      <c r="L1278" s="4" t="s">
        <v>90</v>
      </c>
      <c r="M1278" s="6">
        <v>3966.31</v>
      </c>
      <c r="N1278" s="6">
        <v>2895.46</v>
      </c>
      <c r="O1278" s="19">
        <v>0.44440000000000002</v>
      </c>
      <c r="P1278" s="6">
        <v>3.22</v>
      </c>
      <c r="Q1278" s="6">
        <v>4.72</v>
      </c>
      <c r="R1278" s="19">
        <v>0.58819999999999995</v>
      </c>
      <c r="S1278" s="20">
        <v>19</v>
      </c>
      <c r="T1278" s="6">
        <v>3.94</v>
      </c>
      <c r="U1278" s="6">
        <v>4.22</v>
      </c>
      <c r="V1278" s="6">
        <v>4.6399999999999997</v>
      </c>
      <c r="W1278" s="19">
        <v>0.90600000000000003</v>
      </c>
      <c r="X1278" s="6">
        <v>7.25</v>
      </c>
      <c r="Y1278" s="21">
        <v>99669.638218975495</v>
      </c>
      <c r="Z1278" s="6">
        <v>1635</v>
      </c>
      <c r="AA1278" s="6">
        <v>0.78378736589671105</v>
      </c>
    </row>
    <row r="1279" spans="1:27" x14ac:dyDescent="0.25">
      <c r="A1279" s="7" t="str">
        <f t="shared" si="19"/>
        <v>3929Swedish Edmonds349923086107, 23076395, MEDICAL IMAGING ADMIN, CARDIAC IMAGING SUPPORT</v>
      </c>
      <c r="B1279" s="7"/>
      <c r="C1279" s="29" t="s">
        <v>185</v>
      </c>
      <c r="D1279" s="29" t="s">
        <v>521</v>
      </c>
      <c r="E1279" s="29" t="s">
        <v>186</v>
      </c>
      <c r="F1279" s="29">
        <v>3929</v>
      </c>
      <c r="G1279" s="4" t="s">
        <v>669</v>
      </c>
      <c r="H1279" s="5">
        <v>3499</v>
      </c>
      <c r="I1279" s="4" t="s">
        <v>56</v>
      </c>
      <c r="J1279" s="4" t="s">
        <v>57</v>
      </c>
      <c r="K1279" s="4" t="s">
        <v>696</v>
      </c>
      <c r="L1279" s="4" t="s">
        <v>58</v>
      </c>
      <c r="M1279" s="6">
        <v>198761.72</v>
      </c>
      <c r="N1279" s="6">
        <v>209145.96</v>
      </c>
      <c r="O1279" s="19">
        <v>0.55559999999999998</v>
      </c>
      <c r="P1279" s="6">
        <v>0.1</v>
      </c>
      <c r="Q1279" s="6">
        <v>0.08</v>
      </c>
      <c r="R1279" s="19">
        <v>0.72219999999999995</v>
      </c>
      <c r="S1279" s="20">
        <v>19</v>
      </c>
      <c r="T1279" s="6">
        <v>0.05</v>
      </c>
      <c r="U1279" s="6">
        <v>0.06</v>
      </c>
      <c r="V1279" s="6">
        <v>7.0000000000000007E-2</v>
      </c>
      <c r="W1279" s="19">
        <v>0.88160000000000005</v>
      </c>
      <c r="X1279" s="6">
        <v>9.4700000000000006</v>
      </c>
      <c r="Y1279" s="21">
        <v>189839.96659409901</v>
      </c>
      <c r="Z1279" s="6">
        <v>5518</v>
      </c>
      <c r="AA1279" s="6">
        <v>2.6453983373254601</v>
      </c>
    </row>
    <row r="1280" spans="1:27" x14ac:dyDescent="0.25">
      <c r="A1280" s="7" t="str">
        <f t="shared" si="19"/>
        <v>3929Swedish Edmonds181023087340 PICC NURSING TEAM</v>
      </c>
      <c r="B1280" s="7"/>
      <c r="C1280" s="29" t="s">
        <v>185</v>
      </c>
      <c r="D1280" s="29" t="s">
        <v>521</v>
      </c>
      <c r="E1280" s="29" t="s">
        <v>186</v>
      </c>
      <c r="F1280" s="29">
        <v>3929</v>
      </c>
      <c r="G1280" s="4" t="s">
        <v>669</v>
      </c>
      <c r="H1280" s="5">
        <v>1810</v>
      </c>
      <c r="I1280" s="4" t="s">
        <v>162</v>
      </c>
      <c r="J1280" s="4" t="s">
        <v>23</v>
      </c>
      <c r="K1280" s="4" t="s">
        <v>710</v>
      </c>
      <c r="L1280" s="4" t="s">
        <v>163</v>
      </c>
      <c r="M1280" s="6">
        <v>0.83</v>
      </c>
      <c r="N1280" s="6">
        <v>5.55</v>
      </c>
      <c r="O1280" s="19">
        <v>0.22220000000000001</v>
      </c>
      <c r="P1280" s="6">
        <v>7659.61</v>
      </c>
      <c r="Q1280" s="6">
        <v>1231.55</v>
      </c>
      <c r="R1280" s="19">
        <v>0.88890000000000002</v>
      </c>
      <c r="S1280" s="20">
        <v>19</v>
      </c>
      <c r="T1280" s="6">
        <v>136.79</v>
      </c>
      <c r="U1280" s="6">
        <v>181.27</v>
      </c>
      <c r="V1280" s="6">
        <v>447.86</v>
      </c>
      <c r="W1280" s="19">
        <v>0.89629999999999999</v>
      </c>
      <c r="X1280" s="6">
        <v>3.67</v>
      </c>
      <c r="Y1280" s="21">
        <v>336806.45890415797</v>
      </c>
      <c r="Z1280" s="6">
        <v>6532</v>
      </c>
      <c r="AA1280" s="6">
        <v>3.1318371925119499</v>
      </c>
    </row>
    <row r="1281" spans="1:27" x14ac:dyDescent="0.25">
      <c r="A1281" s="7" t="str">
        <f t="shared" si="19"/>
        <v>3929Swedish Edmonds341123076300 MEDICAL IMAGING</v>
      </c>
      <c r="B1281" s="7"/>
      <c r="C1281" s="29" t="s">
        <v>185</v>
      </c>
      <c r="D1281" s="29" t="s">
        <v>521</v>
      </c>
      <c r="E1281" s="29" t="s">
        <v>186</v>
      </c>
      <c r="F1281" s="29">
        <v>3929</v>
      </c>
      <c r="G1281" s="4" t="s">
        <v>669</v>
      </c>
      <c r="H1281" s="5">
        <v>3411</v>
      </c>
      <c r="I1281" s="4" t="s">
        <v>117</v>
      </c>
      <c r="J1281" s="4" t="s">
        <v>57</v>
      </c>
      <c r="K1281" s="4" t="s">
        <v>711</v>
      </c>
      <c r="L1281" s="4" t="s">
        <v>99</v>
      </c>
      <c r="M1281" s="6">
        <v>28377.25</v>
      </c>
      <c r="N1281" s="6">
        <v>30680.62</v>
      </c>
      <c r="O1281" s="19">
        <v>0.5</v>
      </c>
      <c r="P1281" s="6">
        <v>0.84</v>
      </c>
      <c r="Q1281" s="6">
        <v>0.91</v>
      </c>
      <c r="R1281" s="19">
        <v>0.83330000000000004</v>
      </c>
      <c r="S1281" s="20">
        <v>19</v>
      </c>
      <c r="T1281" s="6">
        <v>0.59</v>
      </c>
      <c r="U1281" s="6">
        <v>0.62</v>
      </c>
      <c r="V1281" s="6">
        <v>0.68</v>
      </c>
      <c r="W1281" s="19">
        <v>0.89649999999999996</v>
      </c>
      <c r="X1281" s="6">
        <v>14.89</v>
      </c>
      <c r="Y1281" s="21">
        <v>390542.32744075102</v>
      </c>
      <c r="Z1281" s="6">
        <v>9838</v>
      </c>
      <c r="AA1281" s="6">
        <v>4.7168912728191499</v>
      </c>
    </row>
    <row r="1282" spans="1:27" x14ac:dyDescent="0.25">
      <c r="A1282" s="7" t="str">
        <f t="shared" si="19"/>
        <v>3929Swedish Edmonds307023074701 STERILE PROCESSING</v>
      </c>
      <c r="B1282" s="7"/>
      <c r="C1282" s="29" t="s">
        <v>185</v>
      </c>
      <c r="D1282" s="29" t="s">
        <v>521</v>
      </c>
      <c r="E1282" s="29" t="s">
        <v>186</v>
      </c>
      <c r="F1282" s="29">
        <v>3929</v>
      </c>
      <c r="G1282" s="4" t="s">
        <v>669</v>
      </c>
      <c r="H1282" s="5">
        <v>3070</v>
      </c>
      <c r="I1282" s="4" t="s">
        <v>91</v>
      </c>
      <c r="J1282" s="4" t="s">
        <v>47</v>
      </c>
      <c r="K1282" s="4" t="s">
        <v>681</v>
      </c>
      <c r="L1282" s="4" t="s">
        <v>92</v>
      </c>
      <c r="M1282" s="6">
        <v>1800</v>
      </c>
      <c r="N1282" s="6">
        <v>1889.47</v>
      </c>
      <c r="O1282" s="19">
        <v>0.52629999999999999</v>
      </c>
      <c r="P1282" s="6">
        <v>10.25</v>
      </c>
      <c r="Q1282" s="6">
        <v>10.5</v>
      </c>
      <c r="R1282" s="19">
        <v>0.16669999999999999</v>
      </c>
      <c r="S1282" s="20">
        <v>20</v>
      </c>
      <c r="T1282" s="6">
        <v>11.37</v>
      </c>
      <c r="U1282" s="6">
        <v>14.95</v>
      </c>
      <c r="V1282" s="6">
        <v>17.3</v>
      </c>
      <c r="W1282" s="19">
        <v>0.88229999999999997</v>
      </c>
      <c r="X1282" s="6">
        <v>10.81</v>
      </c>
      <c r="Y1282" s="21">
        <v>-243699.485365998</v>
      </c>
      <c r="Z1282" s="6">
        <v>-9469</v>
      </c>
      <c r="AA1282" s="6">
        <v>-4.5401658837763597</v>
      </c>
    </row>
    <row r="1283" spans="1:27" x14ac:dyDescent="0.25">
      <c r="A1283" s="7" t="str">
        <f t="shared" ref="A1283:A1346" si="20">F1283&amp;G1283&amp;H1283&amp;K1283</f>
        <v>3929Swedish Edmonds432023078740 SLEEP LAB</v>
      </c>
      <c r="B1283" s="7"/>
      <c r="C1283" s="29" t="s">
        <v>185</v>
      </c>
      <c r="D1283" s="29" t="s">
        <v>521</v>
      </c>
      <c r="E1283" s="29" t="s">
        <v>186</v>
      </c>
      <c r="F1283" s="29">
        <v>3929</v>
      </c>
      <c r="G1283" s="4" t="s">
        <v>669</v>
      </c>
      <c r="H1283" s="5">
        <v>4320</v>
      </c>
      <c r="I1283" s="4" t="s">
        <v>166</v>
      </c>
      <c r="J1283" s="4" t="s">
        <v>116</v>
      </c>
      <c r="K1283" s="4" t="s">
        <v>688</v>
      </c>
      <c r="L1283" s="4" t="s">
        <v>99</v>
      </c>
      <c r="M1283" s="6">
        <v>7652.7</v>
      </c>
      <c r="N1283" s="6">
        <v>9490.75</v>
      </c>
      <c r="O1283" s="19">
        <v>0.45</v>
      </c>
      <c r="P1283" s="6">
        <v>0.92</v>
      </c>
      <c r="Q1283" s="6">
        <v>0.85</v>
      </c>
      <c r="R1283" s="19">
        <v>0.29409999999999997</v>
      </c>
      <c r="S1283" s="20">
        <v>21</v>
      </c>
      <c r="T1283" s="6">
        <v>0.85</v>
      </c>
      <c r="U1283" s="6">
        <v>0.86</v>
      </c>
      <c r="V1283" s="6">
        <v>0.9</v>
      </c>
      <c r="W1283" s="19">
        <v>0.91549999999999998</v>
      </c>
      <c r="X1283" s="6">
        <v>4.25</v>
      </c>
      <c r="Y1283" s="21">
        <v>-1959.75056931017</v>
      </c>
      <c r="Z1283" s="6">
        <v>-51</v>
      </c>
      <c r="AA1283" s="6">
        <v>-2.4534189237487999E-2</v>
      </c>
    </row>
    <row r="1284" spans="1:27" x14ac:dyDescent="0.25">
      <c r="A1284" s="7" t="str">
        <f t="shared" si="20"/>
        <v>3929Swedish Edmonds2299Ambulatory Services Administration (N)</v>
      </c>
      <c r="B1284" s="7"/>
      <c r="C1284" s="29" t="s">
        <v>185</v>
      </c>
      <c r="D1284" s="29" t="s">
        <v>521</v>
      </c>
      <c r="E1284" s="29" t="s">
        <v>186</v>
      </c>
      <c r="F1284" s="29">
        <v>3929</v>
      </c>
      <c r="G1284" s="4" t="s">
        <v>669</v>
      </c>
      <c r="H1284" s="5">
        <v>2299</v>
      </c>
      <c r="I1284" s="4" t="s">
        <v>187</v>
      </c>
      <c r="J1284" s="4" t="s">
        <v>176</v>
      </c>
      <c r="K1284" s="4" t="s">
        <v>666</v>
      </c>
      <c r="L1284" s="4" t="s">
        <v>188</v>
      </c>
      <c r="M1284" s="6">
        <v>22438</v>
      </c>
      <c r="N1284" s="6">
        <v>25089</v>
      </c>
      <c r="O1284" s="19">
        <v>0.6</v>
      </c>
      <c r="P1284" s="6">
        <v>0.51</v>
      </c>
      <c r="Q1284" s="6">
        <v>0.49</v>
      </c>
      <c r="R1284" s="19">
        <v>0.47370000000000001</v>
      </c>
      <c r="S1284" s="20">
        <v>21</v>
      </c>
      <c r="T1284" s="6">
        <v>0.38</v>
      </c>
      <c r="U1284" s="6">
        <v>0.41</v>
      </c>
      <c r="V1284" s="6">
        <v>0.49</v>
      </c>
      <c r="W1284" s="19">
        <v>0.89129999999999998</v>
      </c>
      <c r="X1284" s="6">
        <v>6.69</v>
      </c>
      <c r="Y1284" s="21">
        <v>65293.905944494101</v>
      </c>
      <c r="Z1284" s="6">
        <v>2412</v>
      </c>
      <c r="AA1284" s="6">
        <v>1.15660771081991</v>
      </c>
    </row>
    <row r="1285" spans="1:27" x14ac:dyDescent="0.25">
      <c r="A1285" s="7" t="str">
        <f t="shared" si="20"/>
        <v>3929Swedish Edmonds303023074300 AMBULATORY SURGERY</v>
      </c>
      <c r="B1285" s="7"/>
      <c r="C1285" s="29" t="s">
        <v>185</v>
      </c>
      <c r="D1285" s="29" t="s">
        <v>521</v>
      </c>
      <c r="E1285" s="29" t="s">
        <v>186</v>
      </c>
      <c r="F1285" s="29">
        <v>3929</v>
      </c>
      <c r="G1285" s="4" t="s">
        <v>669</v>
      </c>
      <c r="H1285" s="5">
        <v>3030</v>
      </c>
      <c r="I1285" s="4" t="s">
        <v>80</v>
      </c>
      <c r="J1285" s="4" t="s">
        <v>47</v>
      </c>
      <c r="K1285" s="4" t="s">
        <v>680</v>
      </c>
      <c r="L1285" s="4" t="s">
        <v>81</v>
      </c>
      <c r="M1285" s="6">
        <v>9262.59</v>
      </c>
      <c r="N1285" s="6">
        <v>18936</v>
      </c>
      <c r="O1285" s="19">
        <v>0.52380000000000004</v>
      </c>
      <c r="P1285" s="6">
        <v>2.39</v>
      </c>
      <c r="Q1285" s="6">
        <v>1.1000000000000001</v>
      </c>
      <c r="R1285" s="19">
        <v>0</v>
      </c>
      <c r="S1285" s="20">
        <v>22</v>
      </c>
      <c r="T1285" s="6">
        <v>1.85</v>
      </c>
      <c r="U1285" s="6">
        <v>1.99</v>
      </c>
      <c r="V1285" s="6">
        <v>2.2400000000000002</v>
      </c>
      <c r="W1285" s="19">
        <v>0.87319999999999998</v>
      </c>
      <c r="X1285" s="6">
        <v>11.49</v>
      </c>
      <c r="Y1285" s="21">
        <v>-859733.53525636799</v>
      </c>
      <c r="Z1285" s="6">
        <v>-19190</v>
      </c>
      <c r="AA1285" s="6">
        <v>-9.2007271250990303</v>
      </c>
    </row>
    <row r="1286" spans="1:27" x14ac:dyDescent="0.25">
      <c r="A1286" s="7" t="str">
        <f t="shared" si="20"/>
        <v>3929Swedish Edmonds139023063400 PSYCHIATRY</v>
      </c>
      <c r="B1286" s="7"/>
      <c r="C1286" s="29" t="s">
        <v>185</v>
      </c>
      <c r="D1286" s="29" t="s">
        <v>521</v>
      </c>
      <c r="E1286" s="29" t="s">
        <v>186</v>
      </c>
      <c r="F1286" s="29">
        <v>3929</v>
      </c>
      <c r="G1286" s="4" t="s">
        <v>669</v>
      </c>
      <c r="H1286" s="5">
        <v>1390</v>
      </c>
      <c r="I1286" s="4" t="s">
        <v>174</v>
      </c>
      <c r="J1286" s="4" t="s">
        <v>23</v>
      </c>
      <c r="K1286" s="4" t="s">
        <v>704</v>
      </c>
      <c r="L1286" s="4" t="s">
        <v>114</v>
      </c>
      <c r="M1286" s="6">
        <v>8130</v>
      </c>
      <c r="N1286" s="6">
        <v>8169</v>
      </c>
      <c r="O1286" s="19">
        <v>0.42859999999999998</v>
      </c>
      <c r="P1286" s="6">
        <v>7.5</v>
      </c>
      <c r="Q1286" s="6">
        <v>7.64</v>
      </c>
      <c r="R1286" s="19">
        <v>9.5200000000000007E-2</v>
      </c>
      <c r="S1286" s="20">
        <v>22</v>
      </c>
      <c r="T1286" s="6">
        <v>8.58</v>
      </c>
      <c r="U1286" s="6">
        <v>9</v>
      </c>
      <c r="V1286" s="6">
        <v>9.91</v>
      </c>
      <c r="W1286" s="19">
        <v>0.89939999999999998</v>
      </c>
      <c r="X1286" s="6">
        <v>33.340000000000003</v>
      </c>
      <c r="Y1286" s="21">
        <v>-527541.02588909306</v>
      </c>
      <c r="Z1286" s="6">
        <v>-12207</v>
      </c>
      <c r="AA1286" s="6">
        <v>-5.8528351780636001</v>
      </c>
    </row>
    <row r="1287" spans="1:27" x14ac:dyDescent="0.25">
      <c r="A1287" s="7" t="str">
        <f t="shared" si="20"/>
        <v>3929Swedish Edmonds661023086100 ADMINISTRATION</v>
      </c>
      <c r="B1287" s="7"/>
      <c r="C1287" s="29" t="s">
        <v>185</v>
      </c>
      <c r="D1287" s="29" t="s">
        <v>521</v>
      </c>
      <c r="E1287" s="29" t="s">
        <v>186</v>
      </c>
      <c r="F1287" s="29">
        <v>3929</v>
      </c>
      <c r="G1287" s="4" t="s">
        <v>669</v>
      </c>
      <c r="H1287" s="5">
        <v>6610</v>
      </c>
      <c r="I1287" s="4" t="s">
        <v>72</v>
      </c>
      <c r="J1287" s="4" t="s">
        <v>72</v>
      </c>
      <c r="K1287" s="4" t="s">
        <v>695</v>
      </c>
      <c r="L1287" s="4" t="s">
        <v>14</v>
      </c>
      <c r="M1287" s="6">
        <v>147.38</v>
      </c>
      <c r="N1287" s="6">
        <v>173.53</v>
      </c>
      <c r="O1287" s="19">
        <v>0.61899999999999999</v>
      </c>
      <c r="P1287" s="6">
        <v>58.72</v>
      </c>
      <c r="Q1287" s="6">
        <v>34.83</v>
      </c>
      <c r="R1287" s="19">
        <v>5.2600000000000001E-2</v>
      </c>
      <c r="S1287" s="20">
        <v>22</v>
      </c>
      <c r="T1287" s="6">
        <v>60.31</v>
      </c>
      <c r="U1287" s="6">
        <v>62.58</v>
      </c>
      <c r="V1287" s="6">
        <v>71.22</v>
      </c>
      <c r="W1287" s="19">
        <v>0.88019999999999998</v>
      </c>
      <c r="X1287" s="6">
        <v>3.3</v>
      </c>
      <c r="Y1287" s="21">
        <v>-567711.34273254604</v>
      </c>
      <c r="Z1287" s="6">
        <v>-5455</v>
      </c>
      <c r="AA1287" s="6">
        <v>-2.6153019756468701</v>
      </c>
    </row>
    <row r="1288" spans="1:27" x14ac:dyDescent="0.25">
      <c r="A1288" s="7" t="str">
        <f t="shared" si="20"/>
        <v>3929Swedish Edmonds511123083400 NUTRITION SERVICES</v>
      </c>
      <c r="B1288" s="7"/>
      <c r="C1288" s="29" t="s">
        <v>185</v>
      </c>
      <c r="D1288" s="29" t="s">
        <v>521</v>
      </c>
      <c r="E1288" s="29" t="s">
        <v>186</v>
      </c>
      <c r="F1288" s="29">
        <v>3929</v>
      </c>
      <c r="G1288" s="4" t="s">
        <v>669</v>
      </c>
      <c r="H1288" s="5">
        <v>5111</v>
      </c>
      <c r="I1288" s="4" t="s">
        <v>64</v>
      </c>
      <c r="J1288" s="4" t="s">
        <v>65</v>
      </c>
      <c r="K1288" s="4" t="s">
        <v>690</v>
      </c>
      <c r="L1288" s="4" t="s">
        <v>67</v>
      </c>
      <c r="M1288" s="6">
        <v>10745</v>
      </c>
      <c r="N1288" s="6">
        <v>11286</v>
      </c>
      <c r="O1288" s="19">
        <v>0.52380000000000004</v>
      </c>
      <c r="P1288" s="6">
        <v>0.38</v>
      </c>
      <c r="Q1288" s="6">
        <v>0.37</v>
      </c>
      <c r="R1288" s="19">
        <v>0.15</v>
      </c>
      <c r="S1288" s="20">
        <v>22</v>
      </c>
      <c r="T1288" s="6">
        <v>0.39</v>
      </c>
      <c r="U1288" s="6">
        <v>0.44</v>
      </c>
      <c r="V1288" s="6">
        <v>0.46</v>
      </c>
      <c r="W1288" s="19">
        <v>0.92410000000000003</v>
      </c>
      <c r="X1288" s="6">
        <v>2.16</v>
      </c>
      <c r="Y1288" s="21">
        <v>-23908.754985237902</v>
      </c>
      <c r="Z1288" s="6">
        <v>-869</v>
      </c>
      <c r="AA1288" s="6">
        <v>-0.41645114089902602</v>
      </c>
    </row>
    <row r="1289" spans="1:27" x14ac:dyDescent="0.25">
      <c r="A1289" s="7" t="str">
        <f t="shared" si="20"/>
        <v>3929Swedish Edmonds221023070709 PAIN/23070740 NEPHROLOGIST/23070747 ENDO Specialty Clinic</v>
      </c>
      <c r="B1289" s="7"/>
      <c r="C1289" s="29" t="s">
        <v>185</v>
      </c>
      <c r="D1289" s="29" t="s">
        <v>521</v>
      </c>
      <c r="E1289" s="29" t="s">
        <v>186</v>
      </c>
      <c r="F1289" s="29">
        <v>3929</v>
      </c>
      <c r="G1289" s="4" t="s">
        <v>669</v>
      </c>
      <c r="H1289" s="5">
        <v>2210</v>
      </c>
      <c r="I1289" s="4" t="s">
        <v>511</v>
      </c>
      <c r="J1289" s="4" t="s">
        <v>176</v>
      </c>
      <c r="K1289" s="4" t="s">
        <v>673</v>
      </c>
      <c r="L1289" s="4" t="s">
        <v>77</v>
      </c>
      <c r="M1289" s="6">
        <v>9967</v>
      </c>
      <c r="N1289" s="6">
        <v>10083</v>
      </c>
      <c r="O1289" s="19">
        <v>0.5</v>
      </c>
      <c r="P1289" s="6">
        <v>0.62</v>
      </c>
      <c r="Q1289" s="6">
        <v>0.61</v>
      </c>
      <c r="R1289" s="19">
        <v>9.0899999999999995E-2</v>
      </c>
      <c r="S1289" s="20">
        <v>23</v>
      </c>
      <c r="T1289" s="6">
        <v>0.84</v>
      </c>
      <c r="U1289" s="6">
        <v>0.94</v>
      </c>
      <c r="V1289" s="6">
        <v>1.36</v>
      </c>
      <c r="W1289" s="19">
        <v>0.95009999999999994</v>
      </c>
      <c r="X1289" s="6">
        <v>3.12</v>
      </c>
      <c r="Y1289" s="21">
        <v>-107645.770362715</v>
      </c>
      <c r="Z1289" s="6">
        <v>-3468</v>
      </c>
      <c r="AA1289" s="6">
        <v>-1.66295683574252</v>
      </c>
    </row>
    <row r="1290" spans="1:27" x14ac:dyDescent="0.25">
      <c r="A1290" s="7" t="str">
        <f t="shared" si="20"/>
        <v>3929Swedish Edmonds3412Interventional Radiology (N)</v>
      </c>
      <c r="B1290" s="7"/>
      <c r="C1290" s="29" t="s">
        <v>185</v>
      </c>
      <c r="D1290" s="29" t="s">
        <v>521</v>
      </c>
      <c r="E1290" s="29" t="s">
        <v>186</v>
      </c>
      <c r="F1290" s="29">
        <v>3929</v>
      </c>
      <c r="G1290" s="4" t="s">
        <v>669</v>
      </c>
      <c r="H1290" s="5">
        <v>3412</v>
      </c>
      <c r="I1290" s="4" t="s">
        <v>118</v>
      </c>
      <c r="J1290" s="4" t="s">
        <v>57</v>
      </c>
      <c r="K1290" s="4" t="s">
        <v>671</v>
      </c>
      <c r="L1290" s="4" t="s">
        <v>99</v>
      </c>
      <c r="M1290" s="6">
        <v>47087.21</v>
      </c>
      <c r="N1290" s="6">
        <v>43199.95</v>
      </c>
      <c r="O1290" s="19">
        <v>0.5</v>
      </c>
      <c r="P1290" s="6">
        <v>0.28000000000000003</v>
      </c>
      <c r="Q1290" s="6">
        <v>0.3</v>
      </c>
      <c r="R1290" s="19">
        <v>0.95450000000000002</v>
      </c>
      <c r="S1290" s="20">
        <v>23</v>
      </c>
      <c r="T1290" s="6">
        <v>0.17</v>
      </c>
      <c r="U1290" s="6">
        <v>0.18</v>
      </c>
      <c r="V1290" s="6">
        <v>0.2</v>
      </c>
      <c r="W1290" s="19">
        <v>0.90239999999999998</v>
      </c>
      <c r="X1290" s="6">
        <v>6.85</v>
      </c>
      <c r="Y1290" s="21">
        <v>299588.64329837199</v>
      </c>
      <c r="Z1290" s="6">
        <v>5670</v>
      </c>
      <c r="AA1290" s="6">
        <v>2.7185279267432998</v>
      </c>
    </row>
    <row r="1291" spans="1:27" x14ac:dyDescent="0.25">
      <c r="A1291" s="7" t="str">
        <f t="shared" si="20"/>
        <v>3929Swedish Edmonds441023077100 PHARMACY</v>
      </c>
      <c r="B1291" s="7"/>
      <c r="C1291" s="29" t="s">
        <v>185</v>
      </c>
      <c r="D1291" s="29" t="s">
        <v>521</v>
      </c>
      <c r="E1291" s="29" t="s">
        <v>186</v>
      </c>
      <c r="F1291" s="29">
        <v>3929</v>
      </c>
      <c r="G1291" s="4" t="s">
        <v>669</v>
      </c>
      <c r="H1291" s="5">
        <v>4410</v>
      </c>
      <c r="I1291" s="4" t="s">
        <v>37</v>
      </c>
      <c r="J1291" s="4" t="s">
        <v>37</v>
      </c>
      <c r="K1291" s="4" t="s">
        <v>716</v>
      </c>
      <c r="L1291" s="4" t="s">
        <v>100</v>
      </c>
      <c r="M1291" s="6">
        <v>19859.39</v>
      </c>
      <c r="N1291" s="6">
        <v>24857.82</v>
      </c>
      <c r="O1291" s="19">
        <v>0.60870000000000002</v>
      </c>
      <c r="P1291" s="6">
        <v>1.83</v>
      </c>
      <c r="Q1291" s="6">
        <v>1.43</v>
      </c>
      <c r="R1291" s="19">
        <v>0.1905</v>
      </c>
      <c r="S1291" s="20">
        <v>24</v>
      </c>
      <c r="T1291" s="6">
        <v>1.48</v>
      </c>
      <c r="U1291" s="6">
        <v>1.63</v>
      </c>
      <c r="V1291" s="6">
        <v>1.83</v>
      </c>
      <c r="W1291" s="19">
        <v>0.91190000000000004</v>
      </c>
      <c r="X1291" s="6">
        <v>18.68</v>
      </c>
      <c r="Y1291" s="21">
        <v>-262969.376760363</v>
      </c>
      <c r="Z1291" s="6">
        <v>-5472</v>
      </c>
      <c r="AA1291" s="6">
        <v>-2.6235307035412201</v>
      </c>
    </row>
    <row r="1292" spans="1:27" x14ac:dyDescent="0.25">
      <c r="A1292" s="7" t="str">
        <f t="shared" si="20"/>
        <v>3929Swedish Edmonds4899Rehabilitation Services Administration (N)</v>
      </c>
      <c r="B1292" s="7"/>
      <c r="C1292" s="29" t="s">
        <v>185</v>
      </c>
      <c r="D1292" s="29" t="s">
        <v>521</v>
      </c>
      <c r="E1292" s="29" t="s">
        <v>186</v>
      </c>
      <c r="F1292" s="29">
        <v>3929</v>
      </c>
      <c r="G1292" s="4" t="s">
        <v>669</v>
      </c>
      <c r="H1292" s="5">
        <v>4899</v>
      </c>
      <c r="I1292" s="4" t="s">
        <v>40</v>
      </c>
      <c r="J1292" s="4" t="s">
        <v>41</v>
      </c>
      <c r="K1292" s="4" t="s">
        <v>615</v>
      </c>
      <c r="L1292" s="4" t="s">
        <v>43</v>
      </c>
      <c r="M1292" s="6">
        <v>1083.29</v>
      </c>
      <c r="N1292" s="6">
        <v>1171.55</v>
      </c>
      <c r="O1292" s="19">
        <v>0.56520000000000004</v>
      </c>
      <c r="P1292" s="6">
        <v>3.55</v>
      </c>
      <c r="Q1292" s="6">
        <v>3.17</v>
      </c>
      <c r="R1292" s="19">
        <v>0.26090000000000002</v>
      </c>
      <c r="S1292" s="20">
        <v>24</v>
      </c>
      <c r="T1292" s="6">
        <v>3.13</v>
      </c>
      <c r="U1292" s="6">
        <v>3.56</v>
      </c>
      <c r="V1292" s="6">
        <v>4.6900000000000004</v>
      </c>
      <c r="W1292" s="19">
        <v>0.86060000000000003</v>
      </c>
      <c r="X1292" s="6">
        <v>2.0699999999999998</v>
      </c>
      <c r="Y1292" s="21">
        <v>-19172.003551608999</v>
      </c>
      <c r="Z1292" s="6">
        <v>-529</v>
      </c>
      <c r="AA1292" s="6">
        <v>-0.25358007373807001</v>
      </c>
    </row>
    <row r="1293" spans="1:27" x14ac:dyDescent="0.25">
      <c r="A1293" s="7" t="str">
        <f t="shared" si="20"/>
        <v>3929Swedish Edmonds422023075910 CARDIO VASCULAR DIAGNOSTICS (U)</v>
      </c>
      <c r="B1293" s="7"/>
      <c r="C1293" s="29" t="s">
        <v>185</v>
      </c>
      <c r="D1293" s="29" t="s">
        <v>521</v>
      </c>
      <c r="E1293" s="29" t="s">
        <v>186</v>
      </c>
      <c r="F1293" s="29">
        <v>3929</v>
      </c>
      <c r="G1293" s="4" t="s">
        <v>669</v>
      </c>
      <c r="H1293" s="5">
        <v>4220</v>
      </c>
      <c r="I1293" s="4" t="s">
        <v>98</v>
      </c>
      <c r="J1293" s="4" t="s">
        <v>60</v>
      </c>
      <c r="K1293" s="4" t="s">
        <v>708</v>
      </c>
      <c r="L1293" s="4" t="s">
        <v>99</v>
      </c>
      <c r="M1293" s="6">
        <v>22466.48</v>
      </c>
      <c r="N1293" s="6">
        <v>21791.39</v>
      </c>
      <c r="O1293" s="19">
        <v>0.54959999999999998</v>
      </c>
      <c r="P1293" s="6">
        <v>0.28000000000000003</v>
      </c>
      <c r="Q1293" s="6">
        <v>0.25</v>
      </c>
      <c r="R1293" s="19">
        <v>0.10680000000000001</v>
      </c>
      <c r="S1293" s="20">
        <v>25</v>
      </c>
      <c r="T1293" s="6">
        <v>0.28999999999999998</v>
      </c>
      <c r="U1293" s="6">
        <v>0.34</v>
      </c>
      <c r="V1293" s="6">
        <v>0.37</v>
      </c>
      <c r="W1293" s="19">
        <v>0.91200000000000003</v>
      </c>
      <c r="X1293" s="6">
        <v>2.82</v>
      </c>
      <c r="Y1293" s="21">
        <v>-106805.642570307</v>
      </c>
      <c r="Z1293" s="6">
        <v>-2242</v>
      </c>
      <c r="AA1293" s="6">
        <v>-1.0750870758187101</v>
      </c>
    </row>
    <row r="1294" spans="1:27" x14ac:dyDescent="0.25">
      <c r="A1294" s="7" t="str">
        <f t="shared" si="20"/>
        <v>3929Swedish Edmonds471023078400 OP PSYCH</v>
      </c>
      <c r="B1294" s="7"/>
      <c r="C1294" s="29" t="s">
        <v>185</v>
      </c>
      <c r="D1294" s="29" t="s">
        <v>521</v>
      </c>
      <c r="E1294" s="29" t="s">
        <v>186</v>
      </c>
      <c r="F1294" s="29">
        <v>3929</v>
      </c>
      <c r="G1294" s="4" t="s">
        <v>669</v>
      </c>
      <c r="H1294" s="5">
        <v>4710</v>
      </c>
      <c r="I1294" s="4" t="s">
        <v>267</v>
      </c>
      <c r="J1294" s="4" t="s">
        <v>268</v>
      </c>
      <c r="K1294" s="4" t="s">
        <v>687</v>
      </c>
      <c r="L1294" s="4" t="s">
        <v>269</v>
      </c>
      <c r="M1294" s="6">
        <v>3844</v>
      </c>
      <c r="N1294" s="6">
        <v>4625</v>
      </c>
      <c r="O1294" s="19">
        <v>0.44</v>
      </c>
      <c r="P1294" s="6">
        <v>0.93</v>
      </c>
      <c r="Q1294" s="6">
        <v>1.1299999999999999</v>
      </c>
      <c r="R1294" s="19">
        <v>4.3499999999999997E-2</v>
      </c>
      <c r="S1294" s="20">
        <v>26</v>
      </c>
      <c r="T1294" s="6">
        <v>1.76</v>
      </c>
      <c r="U1294" s="6">
        <v>1.88</v>
      </c>
      <c r="V1294" s="6">
        <v>2.11</v>
      </c>
      <c r="W1294" s="19">
        <v>0.91969999999999996</v>
      </c>
      <c r="X1294" s="6">
        <v>2.72</v>
      </c>
      <c r="Y1294" s="21">
        <v>-131012.469274394</v>
      </c>
      <c r="Z1294" s="6">
        <v>-3781</v>
      </c>
      <c r="AA1294" s="6">
        <v>-1.81285220213389</v>
      </c>
    </row>
    <row r="1295" spans="1:27" x14ac:dyDescent="0.25">
      <c r="A1295" s="7" t="str">
        <f t="shared" si="20"/>
        <v>3929Swedish Edmonds229923070739 SPECIALTY CLINIC SUPPORT</v>
      </c>
      <c r="B1295" s="7"/>
      <c r="C1295" s="29" t="s">
        <v>185</v>
      </c>
      <c r="D1295" s="29" t="s">
        <v>521</v>
      </c>
      <c r="E1295" s="29" t="s">
        <v>186</v>
      </c>
      <c r="F1295" s="29">
        <v>3929</v>
      </c>
      <c r="G1295" s="4" t="s">
        <v>669</v>
      </c>
      <c r="H1295" s="5">
        <v>2299</v>
      </c>
      <c r="I1295" s="4" t="s">
        <v>187</v>
      </c>
      <c r="J1295" s="4" t="s">
        <v>176</v>
      </c>
      <c r="K1295" s="4" t="s">
        <v>675</v>
      </c>
      <c r="L1295" s="4" t="s">
        <v>188</v>
      </c>
      <c r="M1295" s="6">
        <v>9967</v>
      </c>
      <c r="N1295" s="6">
        <v>10083</v>
      </c>
      <c r="O1295" s="19">
        <v>0.6</v>
      </c>
      <c r="P1295" s="6">
        <v>1.01</v>
      </c>
      <c r="Q1295" s="6">
        <v>0.51</v>
      </c>
      <c r="R1295" s="19">
        <v>0.73909999999999998</v>
      </c>
      <c r="S1295" s="20">
        <v>26</v>
      </c>
      <c r="T1295" s="6">
        <v>0.27</v>
      </c>
      <c r="U1295" s="6">
        <v>0.28999999999999998</v>
      </c>
      <c r="V1295" s="6">
        <v>0.31</v>
      </c>
      <c r="W1295" s="19">
        <v>0.9294</v>
      </c>
      <c r="X1295" s="6">
        <v>2.66</v>
      </c>
      <c r="Y1295" s="21">
        <v>106482.874612709</v>
      </c>
      <c r="Z1295" s="6">
        <v>2402</v>
      </c>
      <c r="AA1295" s="6">
        <v>1.15154188472625</v>
      </c>
    </row>
    <row r="1296" spans="1:27" x14ac:dyDescent="0.25">
      <c r="A1296" s="7" t="str">
        <f t="shared" si="20"/>
        <v>3929Swedish Edmonds3099Surgical Services Administration (N)</v>
      </c>
      <c r="B1296" s="7"/>
      <c r="C1296" s="29" t="s">
        <v>185</v>
      </c>
      <c r="D1296" s="29" t="s">
        <v>521</v>
      </c>
      <c r="E1296" s="29" t="s">
        <v>186</v>
      </c>
      <c r="F1296" s="29">
        <v>3929</v>
      </c>
      <c r="G1296" s="4" t="s">
        <v>669</v>
      </c>
      <c r="H1296" s="5">
        <v>3099</v>
      </c>
      <c r="I1296" s="4" t="s">
        <v>46</v>
      </c>
      <c r="J1296" s="4" t="s">
        <v>47</v>
      </c>
      <c r="K1296" s="4" t="s">
        <v>699</v>
      </c>
      <c r="L1296" s="4" t="s">
        <v>49</v>
      </c>
      <c r="M1296" s="6">
        <v>5148</v>
      </c>
      <c r="N1296" s="6">
        <v>5192</v>
      </c>
      <c r="O1296" s="19">
        <v>0.56000000000000005</v>
      </c>
      <c r="P1296" s="6">
        <v>1.52</v>
      </c>
      <c r="Q1296" s="6">
        <v>1.86</v>
      </c>
      <c r="R1296" s="19">
        <v>0.76</v>
      </c>
      <c r="S1296" s="20">
        <v>26</v>
      </c>
      <c r="T1296" s="6">
        <v>0.95</v>
      </c>
      <c r="U1296" s="6">
        <v>1.19</v>
      </c>
      <c r="V1296" s="6">
        <v>1.49</v>
      </c>
      <c r="W1296" s="19">
        <v>0.86760000000000004</v>
      </c>
      <c r="X1296" s="6">
        <v>5.36</v>
      </c>
      <c r="Y1296" s="21">
        <v>150960.77458926401</v>
      </c>
      <c r="Z1296" s="6">
        <v>4058</v>
      </c>
      <c r="AA1296" s="6">
        <v>1.94563252504767</v>
      </c>
    </row>
    <row r="1297" spans="1:27" x14ac:dyDescent="0.25">
      <c r="A1297" s="7" t="str">
        <f t="shared" si="20"/>
        <v>3929Swedish Edmonds201023070100 EMERGENCY SERVICES</v>
      </c>
      <c r="B1297" s="7"/>
      <c r="C1297" s="29" t="s">
        <v>185</v>
      </c>
      <c r="D1297" s="29" t="s">
        <v>521</v>
      </c>
      <c r="E1297" s="29" t="s">
        <v>186</v>
      </c>
      <c r="F1297" s="29">
        <v>3929</v>
      </c>
      <c r="G1297" s="4" t="s">
        <v>669</v>
      </c>
      <c r="H1297" s="5">
        <v>2010</v>
      </c>
      <c r="I1297" s="4" t="s">
        <v>75</v>
      </c>
      <c r="J1297" s="4" t="s">
        <v>76</v>
      </c>
      <c r="K1297" s="4" t="s">
        <v>706</v>
      </c>
      <c r="L1297" s="4" t="s">
        <v>77</v>
      </c>
      <c r="M1297" s="6">
        <v>42897</v>
      </c>
      <c r="N1297" s="6">
        <v>45837</v>
      </c>
      <c r="O1297" s="19">
        <v>0.53849999999999998</v>
      </c>
      <c r="P1297" s="6">
        <v>2.76</v>
      </c>
      <c r="Q1297" s="6">
        <v>2.78</v>
      </c>
      <c r="R1297" s="19">
        <v>0.26090000000000002</v>
      </c>
      <c r="S1297" s="20">
        <v>27</v>
      </c>
      <c r="T1297" s="6">
        <v>2.72</v>
      </c>
      <c r="U1297" s="6">
        <v>2.86</v>
      </c>
      <c r="V1297" s="6">
        <v>3.33</v>
      </c>
      <c r="W1297" s="19">
        <v>0.91020000000000001</v>
      </c>
      <c r="X1297" s="6">
        <v>67.37</v>
      </c>
      <c r="Y1297" s="21">
        <v>-159472.43989264101</v>
      </c>
      <c r="Z1297" s="6">
        <v>-3514</v>
      </c>
      <c r="AA1297" s="6">
        <v>-1.68474826872217</v>
      </c>
    </row>
    <row r="1298" spans="1:27" x14ac:dyDescent="0.25">
      <c r="A1298" s="7" t="str">
        <f t="shared" si="20"/>
        <v>3929Swedish Edmonds464023072320 AMBULATORY INFUSION CENTER</v>
      </c>
      <c r="B1298" s="7"/>
      <c r="C1298" s="29" t="s">
        <v>185</v>
      </c>
      <c r="D1298" s="29" t="s">
        <v>521</v>
      </c>
      <c r="E1298" s="29" t="s">
        <v>186</v>
      </c>
      <c r="F1298" s="29">
        <v>3929</v>
      </c>
      <c r="G1298" s="4" t="s">
        <v>669</v>
      </c>
      <c r="H1298" s="5">
        <v>4640</v>
      </c>
      <c r="I1298" s="4" t="s">
        <v>82</v>
      </c>
      <c r="J1298" s="4" t="s">
        <v>83</v>
      </c>
      <c r="K1298" s="4" t="s">
        <v>676</v>
      </c>
      <c r="L1298" s="4" t="s">
        <v>84</v>
      </c>
      <c r="M1298" s="6">
        <v>3144</v>
      </c>
      <c r="N1298" s="6">
        <v>3356</v>
      </c>
      <c r="O1298" s="19">
        <v>0.53849999999999998</v>
      </c>
      <c r="P1298" s="6">
        <v>1.6</v>
      </c>
      <c r="Q1298" s="6">
        <v>1.36</v>
      </c>
      <c r="R1298" s="19">
        <v>3.85E-2</v>
      </c>
      <c r="S1298" s="20">
        <v>27</v>
      </c>
      <c r="T1298" s="6">
        <v>1.89</v>
      </c>
      <c r="U1298" s="6">
        <v>2.08</v>
      </c>
      <c r="V1298" s="6">
        <v>2.23</v>
      </c>
      <c r="W1298" s="19">
        <v>0.9133</v>
      </c>
      <c r="X1298" s="6">
        <v>2.4</v>
      </c>
      <c r="Y1298" s="21">
        <v>-133140.06544538101</v>
      </c>
      <c r="Z1298" s="6">
        <v>-2637</v>
      </c>
      <c r="AA1298" s="6">
        <v>-1.26454440264345</v>
      </c>
    </row>
    <row r="1299" spans="1:27" x14ac:dyDescent="0.25">
      <c r="A1299" s="7" t="str">
        <f t="shared" si="20"/>
        <v>3929Swedish Edmonds224123070710 INTERNAL MEDICINE CLINIC</v>
      </c>
      <c r="B1299" s="7"/>
      <c r="C1299" s="29" t="s">
        <v>185</v>
      </c>
      <c r="D1299" s="29" t="s">
        <v>521</v>
      </c>
      <c r="E1299" s="29" t="s">
        <v>186</v>
      </c>
      <c r="F1299" s="29">
        <v>3929</v>
      </c>
      <c r="G1299" s="4" t="s">
        <v>669</v>
      </c>
      <c r="H1299" s="5">
        <v>2241</v>
      </c>
      <c r="I1299" s="4" t="s">
        <v>190</v>
      </c>
      <c r="J1299" s="4" t="s">
        <v>176</v>
      </c>
      <c r="K1299" s="4" t="s">
        <v>674</v>
      </c>
      <c r="L1299" s="4" t="s">
        <v>77</v>
      </c>
      <c r="M1299" s="6">
        <v>14957</v>
      </c>
      <c r="N1299" s="6">
        <v>16552</v>
      </c>
      <c r="O1299" s="19">
        <v>0.44440000000000002</v>
      </c>
      <c r="P1299" s="6">
        <v>0.83</v>
      </c>
      <c r="Q1299" s="6">
        <v>0.83</v>
      </c>
      <c r="R1299" s="19">
        <v>7.4099999999999999E-2</v>
      </c>
      <c r="S1299" s="20">
        <v>28</v>
      </c>
      <c r="T1299" s="6">
        <v>1.19</v>
      </c>
      <c r="U1299" s="6">
        <v>1.29</v>
      </c>
      <c r="V1299" s="6">
        <v>1.62</v>
      </c>
      <c r="W1299" s="19">
        <v>0.89180000000000004</v>
      </c>
      <c r="X1299" s="6">
        <v>7.42</v>
      </c>
      <c r="Y1299" s="21">
        <v>-245576.980147717</v>
      </c>
      <c r="Z1299" s="6">
        <v>-8467</v>
      </c>
      <c r="AA1299" s="6">
        <v>-4.0594446614723303</v>
      </c>
    </row>
    <row r="1300" spans="1:27" x14ac:dyDescent="0.25">
      <c r="A1300" s="7" t="str">
        <f t="shared" si="20"/>
        <v>3929Swedish Edmonds482523077900 IP OCCUPATIONAL THERAPY</v>
      </c>
      <c r="B1300" s="7"/>
      <c r="C1300" s="29" t="s">
        <v>185</v>
      </c>
      <c r="D1300" s="29" t="s">
        <v>521</v>
      </c>
      <c r="E1300" s="29" t="s">
        <v>186</v>
      </c>
      <c r="F1300" s="29">
        <v>3929</v>
      </c>
      <c r="G1300" s="4" t="s">
        <v>669</v>
      </c>
      <c r="H1300" s="5">
        <v>4825</v>
      </c>
      <c r="I1300" s="4" t="s">
        <v>128</v>
      </c>
      <c r="J1300" s="4" t="s">
        <v>41</v>
      </c>
      <c r="K1300" s="4" t="s">
        <v>686</v>
      </c>
      <c r="L1300" s="4" t="s">
        <v>79</v>
      </c>
      <c r="M1300" s="6">
        <v>174.77</v>
      </c>
      <c r="N1300" s="6">
        <v>195.86</v>
      </c>
      <c r="O1300" s="19">
        <v>0.51849999999999996</v>
      </c>
      <c r="P1300" s="6">
        <v>33.28</v>
      </c>
      <c r="Q1300" s="6">
        <v>33.619999999999997</v>
      </c>
      <c r="R1300" s="19">
        <v>0.88890000000000002</v>
      </c>
      <c r="S1300" s="20">
        <v>28</v>
      </c>
      <c r="T1300" s="6">
        <v>22.33</v>
      </c>
      <c r="U1300" s="6">
        <v>23.03</v>
      </c>
      <c r="V1300" s="6">
        <v>24.95</v>
      </c>
      <c r="W1300" s="19">
        <v>0.82140000000000002</v>
      </c>
      <c r="X1300" s="6">
        <v>3.85</v>
      </c>
      <c r="Y1300" s="21">
        <v>108881.08827608101</v>
      </c>
      <c r="Z1300" s="6">
        <v>2539</v>
      </c>
      <c r="AA1300" s="6">
        <v>1.2171073721610901</v>
      </c>
    </row>
    <row r="1301" spans="1:27" x14ac:dyDescent="0.25">
      <c r="A1301" s="7" t="str">
        <f t="shared" si="20"/>
        <v>3929Swedish Edmonds342023076800 CT SCANNING/23076850 PET CT</v>
      </c>
      <c r="B1301" s="7"/>
      <c r="C1301" s="29" t="s">
        <v>185</v>
      </c>
      <c r="D1301" s="29" t="s">
        <v>521</v>
      </c>
      <c r="E1301" s="29" t="s">
        <v>186</v>
      </c>
      <c r="F1301" s="29">
        <v>3929</v>
      </c>
      <c r="G1301" s="4" t="s">
        <v>669</v>
      </c>
      <c r="H1301" s="5">
        <v>3420</v>
      </c>
      <c r="I1301" s="4" t="s">
        <v>123</v>
      </c>
      <c r="J1301" s="4" t="s">
        <v>57</v>
      </c>
      <c r="K1301" s="4" t="s">
        <v>715</v>
      </c>
      <c r="L1301" s="4" t="s">
        <v>99</v>
      </c>
      <c r="M1301" s="6">
        <v>52870.07</v>
      </c>
      <c r="N1301" s="6">
        <v>54981.68</v>
      </c>
      <c r="O1301" s="19">
        <v>0.60709999999999997</v>
      </c>
      <c r="P1301" s="6">
        <v>0.25</v>
      </c>
      <c r="Q1301" s="6">
        <v>0.27</v>
      </c>
      <c r="R1301" s="19">
        <v>0.46429999999999999</v>
      </c>
      <c r="S1301" s="20">
        <v>29</v>
      </c>
      <c r="T1301" s="6">
        <v>0.24</v>
      </c>
      <c r="U1301" s="6">
        <v>0.25</v>
      </c>
      <c r="V1301" s="6">
        <v>0.27</v>
      </c>
      <c r="W1301" s="19">
        <v>0.90429999999999999</v>
      </c>
      <c r="X1301" s="6">
        <v>7.86</v>
      </c>
      <c r="Y1301" s="21">
        <v>54324.812229670097</v>
      </c>
      <c r="Z1301" s="6">
        <v>1194</v>
      </c>
      <c r="AA1301" s="6">
        <v>0.57224703952499401</v>
      </c>
    </row>
    <row r="1302" spans="1:27" x14ac:dyDescent="0.25">
      <c r="A1302" s="7" t="str">
        <f t="shared" si="20"/>
        <v>3929Swedish Edmonds481523077700 PHYSICAL THERAPY</v>
      </c>
      <c r="B1302" s="7"/>
      <c r="C1302" s="29" t="s">
        <v>185</v>
      </c>
      <c r="D1302" s="29" t="s">
        <v>521</v>
      </c>
      <c r="E1302" s="29" t="s">
        <v>186</v>
      </c>
      <c r="F1302" s="29">
        <v>3929</v>
      </c>
      <c r="G1302" s="4" t="s">
        <v>669</v>
      </c>
      <c r="H1302" s="5">
        <v>4815</v>
      </c>
      <c r="I1302" s="4" t="s">
        <v>280</v>
      </c>
      <c r="J1302" s="4" t="s">
        <v>41</v>
      </c>
      <c r="K1302" s="4" t="s">
        <v>719</v>
      </c>
      <c r="L1302" s="4" t="s">
        <v>79</v>
      </c>
      <c r="M1302" s="6">
        <v>740.41</v>
      </c>
      <c r="N1302" s="6">
        <v>778.19</v>
      </c>
      <c r="O1302" s="19">
        <v>0.46429999999999999</v>
      </c>
      <c r="P1302" s="6">
        <v>28.19</v>
      </c>
      <c r="Q1302" s="6">
        <v>27.7</v>
      </c>
      <c r="R1302" s="19">
        <v>0.74070000000000003</v>
      </c>
      <c r="S1302" s="20">
        <v>29</v>
      </c>
      <c r="T1302" s="6">
        <v>21.81</v>
      </c>
      <c r="U1302" s="6">
        <v>22.63</v>
      </c>
      <c r="V1302" s="6">
        <v>24.77</v>
      </c>
      <c r="W1302" s="19">
        <v>0.8629</v>
      </c>
      <c r="X1302" s="6">
        <v>12.01</v>
      </c>
      <c r="Y1302" s="21">
        <v>201554.658395854</v>
      </c>
      <c r="Z1302" s="6">
        <v>4641</v>
      </c>
      <c r="AA1302" s="6">
        <v>2.22506625143208</v>
      </c>
    </row>
    <row r="1303" spans="1:27" x14ac:dyDescent="0.25">
      <c r="A1303" s="7" t="str">
        <f t="shared" si="20"/>
        <v>3929Swedish Edmonds4490Pharmacy Administration and Support (N)</v>
      </c>
      <c r="B1303" s="7"/>
      <c r="C1303" s="29" t="s">
        <v>185</v>
      </c>
      <c r="D1303" s="29" t="s">
        <v>521</v>
      </c>
      <c r="E1303" s="29" t="s">
        <v>186</v>
      </c>
      <c r="F1303" s="29">
        <v>3929</v>
      </c>
      <c r="G1303" s="4" t="s">
        <v>669</v>
      </c>
      <c r="H1303" s="5">
        <v>4490</v>
      </c>
      <c r="I1303" s="4" t="s">
        <v>36</v>
      </c>
      <c r="J1303" s="4" t="s">
        <v>37</v>
      </c>
      <c r="K1303" s="4" t="s">
        <v>667</v>
      </c>
      <c r="L1303" s="4" t="s">
        <v>39</v>
      </c>
      <c r="M1303" s="6">
        <v>22388.04</v>
      </c>
      <c r="N1303" s="6">
        <v>26460.9</v>
      </c>
      <c r="O1303" s="19">
        <v>0.5161</v>
      </c>
      <c r="P1303" s="6">
        <v>0.56000000000000005</v>
      </c>
      <c r="Q1303" s="6">
        <v>0.37</v>
      </c>
      <c r="R1303" s="19">
        <v>0.8276</v>
      </c>
      <c r="S1303" s="20">
        <v>32</v>
      </c>
      <c r="T1303" s="6">
        <v>0.17</v>
      </c>
      <c r="U1303" s="6">
        <v>0.21</v>
      </c>
      <c r="V1303" s="6">
        <v>0.28000000000000003</v>
      </c>
      <c r="W1303" s="19">
        <v>0.88180000000000003</v>
      </c>
      <c r="X1303" s="6">
        <v>5.31</v>
      </c>
      <c r="Y1303" s="21">
        <v>257290.398227614</v>
      </c>
      <c r="Z1303" s="6">
        <v>4773</v>
      </c>
      <c r="AA1303" s="6">
        <v>2.2886435106883498</v>
      </c>
    </row>
    <row r="1304" spans="1:27" x14ac:dyDescent="0.25">
      <c r="A1304" s="7" t="str">
        <f t="shared" si="20"/>
        <v>3929Swedish Edmonds500123084500 FACILITY MANAGEMENT/23084560 CONSTRUCTION/23084602 GROUNDS MAINTENANCE</v>
      </c>
      <c r="B1304" s="7"/>
      <c r="C1304" s="29" t="s">
        <v>185</v>
      </c>
      <c r="D1304" s="29" t="s">
        <v>521</v>
      </c>
      <c r="E1304" s="29" t="s">
        <v>186</v>
      </c>
      <c r="F1304" s="29">
        <v>3929</v>
      </c>
      <c r="G1304" s="4" t="s">
        <v>669</v>
      </c>
      <c r="H1304" s="5">
        <v>5001</v>
      </c>
      <c r="I1304" s="4" t="s">
        <v>141</v>
      </c>
      <c r="J1304" s="4" t="s">
        <v>62</v>
      </c>
      <c r="K1304" s="4" t="s">
        <v>692</v>
      </c>
      <c r="L1304" s="4" t="s">
        <v>63</v>
      </c>
      <c r="M1304" s="6">
        <v>502.34</v>
      </c>
      <c r="N1304" s="6">
        <v>597.13</v>
      </c>
      <c r="O1304" s="19">
        <v>0.3871</v>
      </c>
      <c r="P1304" s="6">
        <v>29.04</v>
      </c>
      <c r="Q1304" s="6">
        <v>22.9</v>
      </c>
      <c r="R1304" s="19">
        <v>0</v>
      </c>
      <c r="S1304" s="20">
        <v>32</v>
      </c>
      <c r="T1304" s="6">
        <v>30.93</v>
      </c>
      <c r="U1304" s="6">
        <v>35.85</v>
      </c>
      <c r="V1304" s="6">
        <v>39.840000000000003</v>
      </c>
      <c r="W1304" s="19">
        <v>0.88370000000000004</v>
      </c>
      <c r="X1304" s="6">
        <v>7.44</v>
      </c>
      <c r="Y1304" s="21">
        <v>-392160.668545514</v>
      </c>
      <c r="Z1304" s="6">
        <v>-8707</v>
      </c>
      <c r="AA1304" s="6">
        <v>-4.1745223674542196</v>
      </c>
    </row>
    <row r="1305" spans="1:27" x14ac:dyDescent="0.25">
      <c r="A1305" s="7" t="str">
        <f t="shared" si="20"/>
        <v>3929Swedish Edmonds463023077610 ENDOSCOPY CLINIC</v>
      </c>
      <c r="B1305" s="7"/>
      <c r="C1305" s="29" t="s">
        <v>185</v>
      </c>
      <c r="D1305" s="29" t="s">
        <v>521</v>
      </c>
      <c r="E1305" s="29" t="s">
        <v>186</v>
      </c>
      <c r="F1305" s="29">
        <v>3929</v>
      </c>
      <c r="G1305" s="4" t="s">
        <v>669</v>
      </c>
      <c r="H1305" s="5">
        <v>4630</v>
      </c>
      <c r="I1305" s="4" t="s">
        <v>104</v>
      </c>
      <c r="J1305" s="4" t="s">
        <v>83</v>
      </c>
      <c r="K1305" s="4" t="s">
        <v>718</v>
      </c>
      <c r="L1305" s="4" t="s">
        <v>99</v>
      </c>
      <c r="M1305" s="6">
        <v>29424.42</v>
      </c>
      <c r="N1305" s="6">
        <v>40295.85</v>
      </c>
      <c r="O1305" s="19">
        <v>0.51519999999999999</v>
      </c>
      <c r="P1305" s="6">
        <v>0.53</v>
      </c>
      <c r="Q1305" s="6">
        <v>0.47</v>
      </c>
      <c r="R1305" s="19">
        <v>0.4194</v>
      </c>
      <c r="S1305" s="20">
        <v>34</v>
      </c>
      <c r="T1305" s="6">
        <v>0.36</v>
      </c>
      <c r="U1305" s="6">
        <v>0.45</v>
      </c>
      <c r="V1305" s="6">
        <v>0.47</v>
      </c>
      <c r="W1305" s="19">
        <v>0.88880000000000003</v>
      </c>
      <c r="X1305" s="6">
        <v>10.15</v>
      </c>
      <c r="Y1305" s="21">
        <v>35214.842746217699</v>
      </c>
      <c r="Z1305" s="6">
        <v>768</v>
      </c>
      <c r="AA1305" s="6">
        <v>0.36824124086666599</v>
      </c>
    </row>
    <row r="1306" spans="1:27" x14ac:dyDescent="0.25">
      <c r="A1306" s="7" t="str">
        <f t="shared" si="20"/>
        <v>3929Swedish Edmonds345023076700 ULTRASOUND</v>
      </c>
      <c r="B1306" s="7"/>
      <c r="C1306" s="29" t="s">
        <v>185</v>
      </c>
      <c r="D1306" s="29" t="s">
        <v>521</v>
      </c>
      <c r="E1306" s="29" t="s">
        <v>186</v>
      </c>
      <c r="F1306" s="29">
        <v>3929</v>
      </c>
      <c r="G1306" s="4" t="s">
        <v>669</v>
      </c>
      <c r="H1306" s="5">
        <v>3450</v>
      </c>
      <c r="I1306" s="4" t="s">
        <v>122</v>
      </c>
      <c r="J1306" s="4" t="s">
        <v>57</v>
      </c>
      <c r="K1306" s="4" t="s">
        <v>714</v>
      </c>
      <c r="L1306" s="4" t="s">
        <v>99</v>
      </c>
      <c r="M1306" s="6">
        <v>15691.11</v>
      </c>
      <c r="N1306" s="6">
        <v>16626.900000000001</v>
      </c>
      <c r="O1306" s="19">
        <v>0.69699999999999995</v>
      </c>
      <c r="P1306" s="6">
        <v>0.64</v>
      </c>
      <c r="Q1306" s="6">
        <v>0.64</v>
      </c>
      <c r="R1306" s="19">
        <v>0.96430000000000005</v>
      </c>
      <c r="S1306" s="20">
        <v>34</v>
      </c>
      <c r="T1306" s="6">
        <v>0.48</v>
      </c>
      <c r="U1306" s="6">
        <v>0.48</v>
      </c>
      <c r="V1306" s="6">
        <v>0.51</v>
      </c>
      <c r="W1306" s="19">
        <v>0.89090000000000003</v>
      </c>
      <c r="X1306" s="6">
        <v>5.73</v>
      </c>
      <c r="Y1306" s="21">
        <v>169447.02649345901</v>
      </c>
      <c r="Z1306" s="6">
        <v>2993</v>
      </c>
      <c r="AA1306" s="6">
        <v>1.4349154042251699</v>
      </c>
    </row>
    <row r="1307" spans="1:27" x14ac:dyDescent="0.25">
      <c r="A1307" s="7" t="str">
        <f t="shared" si="20"/>
        <v>3929Swedish Edmonds343023076600 MRI</v>
      </c>
      <c r="B1307" s="7"/>
      <c r="C1307" s="29" t="s">
        <v>185</v>
      </c>
      <c r="D1307" s="29" t="s">
        <v>521</v>
      </c>
      <c r="E1307" s="29" t="s">
        <v>186</v>
      </c>
      <c r="F1307" s="29">
        <v>3929</v>
      </c>
      <c r="G1307" s="4" t="s">
        <v>669</v>
      </c>
      <c r="H1307" s="5">
        <v>3430</v>
      </c>
      <c r="I1307" s="4" t="s">
        <v>121</v>
      </c>
      <c r="J1307" s="4" t="s">
        <v>57</v>
      </c>
      <c r="K1307" s="4" t="s">
        <v>713</v>
      </c>
      <c r="L1307" s="4" t="s">
        <v>99</v>
      </c>
      <c r="M1307" s="6">
        <v>17398.37</v>
      </c>
      <c r="N1307" s="6">
        <v>17370.86</v>
      </c>
      <c r="O1307" s="19">
        <v>0.42499999999999999</v>
      </c>
      <c r="P1307" s="6">
        <v>0.34</v>
      </c>
      <c r="Q1307" s="6">
        <v>0.35</v>
      </c>
      <c r="R1307" s="19">
        <v>0.57499999999999996</v>
      </c>
      <c r="S1307" s="20">
        <v>41</v>
      </c>
      <c r="T1307" s="6">
        <v>0.28000000000000003</v>
      </c>
      <c r="U1307" s="6">
        <v>0.3</v>
      </c>
      <c r="V1307" s="6">
        <v>0.32</v>
      </c>
      <c r="W1307" s="19">
        <v>0.88600000000000001</v>
      </c>
      <c r="X1307" s="6">
        <v>3.27</v>
      </c>
      <c r="Y1307" s="21">
        <v>58398.8886972326</v>
      </c>
      <c r="Z1307" s="6">
        <v>938</v>
      </c>
      <c r="AA1307" s="6">
        <v>0.44994867987979198</v>
      </c>
    </row>
    <row r="1308" spans="1:27" x14ac:dyDescent="0.25">
      <c r="A1308" s="7" t="str">
        <f t="shared" si="20"/>
        <v>3929Swedish Edmonds301123074200 SURGERY</v>
      </c>
      <c r="B1308" s="7"/>
      <c r="C1308" s="29" t="s">
        <v>185</v>
      </c>
      <c r="D1308" s="29" t="s">
        <v>521</v>
      </c>
      <c r="E1308" s="29" t="s">
        <v>186</v>
      </c>
      <c r="F1308" s="29">
        <v>3929</v>
      </c>
      <c r="G1308" s="4" t="s">
        <v>669</v>
      </c>
      <c r="H1308" s="5">
        <v>3011</v>
      </c>
      <c r="I1308" s="4" t="s">
        <v>87</v>
      </c>
      <c r="J1308" s="4" t="s">
        <v>47</v>
      </c>
      <c r="K1308" s="4" t="s">
        <v>677</v>
      </c>
      <c r="L1308" s="4" t="s">
        <v>88</v>
      </c>
      <c r="M1308" s="6">
        <v>4631.99</v>
      </c>
      <c r="N1308" s="6">
        <v>4578.33</v>
      </c>
      <c r="O1308" s="19">
        <v>0.38640000000000002</v>
      </c>
      <c r="P1308" s="6">
        <v>11.74</v>
      </c>
      <c r="Q1308" s="6">
        <v>12.77</v>
      </c>
      <c r="R1308" s="19">
        <v>0.57779999999999998</v>
      </c>
      <c r="S1308" s="20">
        <v>45</v>
      </c>
      <c r="T1308" s="6">
        <v>10.7</v>
      </c>
      <c r="U1308" s="6">
        <v>10.93</v>
      </c>
      <c r="V1308" s="6">
        <v>12.01</v>
      </c>
      <c r="W1308" s="19">
        <v>0.90710000000000002</v>
      </c>
      <c r="X1308" s="6">
        <v>31</v>
      </c>
      <c r="Y1308" s="21">
        <v>403811.42987130798</v>
      </c>
      <c r="Z1308" s="6">
        <v>9491</v>
      </c>
      <c r="AA1308" s="6">
        <v>4.5503306827943497</v>
      </c>
    </row>
    <row r="1309" spans="1:27" x14ac:dyDescent="0.25">
      <c r="A1309" s="7" t="str">
        <f t="shared" si="20"/>
        <v>3929Swedish Edmonds411023077200 RESPIRATORY THERAPY</v>
      </c>
      <c r="B1309" s="7"/>
      <c r="C1309" s="29" t="s">
        <v>185</v>
      </c>
      <c r="D1309" s="29" t="s">
        <v>521</v>
      </c>
      <c r="E1309" s="29" t="s">
        <v>186</v>
      </c>
      <c r="F1309" s="29">
        <v>3929</v>
      </c>
      <c r="G1309" s="4" t="s">
        <v>669</v>
      </c>
      <c r="H1309" s="5">
        <v>4110</v>
      </c>
      <c r="I1309" s="4" t="s">
        <v>145</v>
      </c>
      <c r="J1309" s="4" t="s">
        <v>44</v>
      </c>
      <c r="K1309" s="4" t="s">
        <v>707</v>
      </c>
      <c r="L1309" s="4" t="s">
        <v>45</v>
      </c>
      <c r="M1309" s="6">
        <v>12854.62</v>
      </c>
      <c r="N1309" s="6">
        <v>15540.26</v>
      </c>
      <c r="O1309" s="19">
        <v>0.63639999999999997</v>
      </c>
      <c r="P1309" s="6">
        <v>1.87</v>
      </c>
      <c r="Q1309" s="6">
        <v>1.48</v>
      </c>
      <c r="R1309" s="19">
        <v>3.5099999999999999E-2</v>
      </c>
      <c r="S1309" s="20">
        <v>56</v>
      </c>
      <c r="T1309" s="6">
        <v>2.2200000000000002</v>
      </c>
      <c r="U1309" s="6">
        <v>2.62</v>
      </c>
      <c r="V1309" s="6">
        <v>2.95</v>
      </c>
      <c r="W1309" s="19">
        <v>0.89100000000000001</v>
      </c>
      <c r="X1309" s="6">
        <v>12.41</v>
      </c>
      <c r="Y1309" s="21">
        <v>-794284.00141917402</v>
      </c>
      <c r="Z1309" s="6">
        <v>-19813</v>
      </c>
      <c r="AA1309" s="6">
        <v>-9.4993769141554907</v>
      </c>
    </row>
    <row r="1310" spans="1:27" x14ac:dyDescent="0.25">
      <c r="A1310" s="7" t="str">
        <f t="shared" si="20"/>
        <v>3927Swedish First Hill451021077400 DIALYSIS/21077411 DIALYSIS TRAINING</v>
      </c>
      <c r="B1310" s="7"/>
      <c r="C1310" s="29" t="s">
        <v>185</v>
      </c>
      <c r="D1310" s="29" t="s">
        <v>521</v>
      </c>
      <c r="E1310" s="29" t="s">
        <v>186</v>
      </c>
      <c r="F1310" s="29">
        <v>3927</v>
      </c>
      <c r="G1310" s="4" t="s">
        <v>522</v>
      </c>
      <c r="H1310" s="5">
        <v>4510</v>
      </c>
      <c r="I1310" s="4" t="s">
        <v>101</v>
      </c>
      <c r="J1310" s="4" t="s">
        <v>102</v>
      </c>
      <c r="K1310" s="4" t="s">
        <v>608</v>
      </c>
      <c r="L1310" s="4" t="s">
        <v>103</v>
      </c>
      <c r="M1310" s="6">
        <v>2552</v>
      </c>
      <c r="N1310" s="6">
        <v>3104</v>
      </c>
      <c r="O1310" s="19">
        <v>0.42859999999999998</v>
      </c>
      <c r="P1310" s="6">
        <v>6.93</v>
      </c>
      <c r="Q1310" s="6">
        <v>6.96</v>
      </c>
      <c r="R1310" s="19">
        <v>0.71430000000000005</v>
      </c>
      <c r="S1310" s="20">
        <v>8</v>
      </c>
      <c r="T1310" s="6">
        <v>5.55</v>
      </c>
      <c r="U1310" s="6">
        <v>6</v>
      </c>
      <c r="V1310" s="6">
        <v>6.53</v>
      </c>
      <c r="W1310" s="19">
        <v>0.81830000000000003</v>
      </c>
      <c r="X1310" s="6">
        <v>12.69</v>
      </c>
      <c r="Y1310" s="21">
        <v>198772.07534771701</v>
      </c>
      <c r="Z1310" s="6">
        <v>3708</v>
      </c>
      <c r="AA1310" s="6">
        <v>1.7778941358862199</v>
      </c>
    </row>
    <row r="1311" spans="1:27" x14ac:dyDescent="0.25">
      <c r="A1311" s="7" t="str">
        <f t="shared" si="20"/>
        <v>3927Swedish First Hill123821061730 ONCOLOGY SERVICES</v>
      </c>
      <c r="B1311" s="7"/>
      <c r="C1311" s="29" t="s">
        <v>185</v>
      </c>
      <c r="D1311" s="29" t="s">
        <v>521</v>
      </c>
      <c r="E1311" s="29" t="s">
        <v>186</v>
      </c>
      <c r="F1311" s="29">
        <v>3927</v>
      </c>
      <c r="G1311" s="4" t="s">
        <v>522</v>
      </c>
      <c r="H1311" s="5">
        <v>1238</v>
      </c>
      <c r="I1311" s="4" t="s">
        <v>148</v>
      </c>
      <c r="J1311" s="4" t="s">
        <v>23</v>
      </c>
      <c r="K1311" s="4" t="s">
        <v>602</v>
      </c>
      <c r="L1311" s="4" t="s">
        <v>74</v>
      </c>
      <c r="M1311" s="6">
        <v>15175.25</v>
      </c>
      <c r="N1311" s="6">
        <v>15704</v>
      </c>
      <c r="O1311" s="19">
        <v>0.71430000000000005</v>
      </c>
      <c r="P1311" s="6">
        <v>10.09</v>
      </c>
      <c r="Q1311" s="6">
        <v>10.93</v>
      </c>
      <c r="R1311" s="19">
        <v>0.42859999999999998</v>
      </c>
      <c r="S1311" s="20">
        <v>8</v>
      </c>
      <c r="T1311" s="6">
        <v>9.65</v>
      </c>
      <c r="U1311" s="6">
        <v>10.32</v>
      </c>
      <c r="V1311" s="6">
        <v>11.19</v>
      </c>
      <c r="W1311" s="19">
        <v>0.89170000000000005</v>
      </c>
      <c r="X1311" s="6">
        <v>92.55</v>
      </c>
      <c r="Y1311" s="21">
        <v>471628.98287304002</v>
      </c>
      <c r="Z1311" s="6">
        <v>11283</v>
      </c>
      <c r="AA1311" s="6">
        <v>5.40963472062968</v>
      </c>
    </row>
    <row r="1312" spans="1:27" x14ac:dyDescent="0.25">
      <c r="A1312" s="7" t="str">
        <f t="shared" si="20"/>
        <v>3927Swedish First Hill466521074292, PREADMISSION CENTER</v>
      </c>
      <c r="B1312" s="7"/>
      <c r="C1312" s="29" t="s">
        <v>185</v>
      </c>
      <c r="D1312" s="29" t="s">
        <v>521</v>
      </c>
      <c r="E1312" s="29" t="s">
        <v>186</v>
      </c>
      <c r="F1312" s="29">
        <v>3927</v>
      </c>
      <c r="G1312" s="4" t="s">
        <v>522</v>
      </c>
      <c r="H1312" s="5">
        <v>4665</v>
      </c>
      <c r="I1312" s="4" t="s">
        <v>192</v>
      </c>
      <c r="J1312" s="4" t="s">
        <v>83</v>
      </c>
      <c r="K1312" s="4" t="s">
        <v>550</v>
      </c>
      <c r="L1312" s="4" t="s">
        <v>77</v>
      </c>
      <c r="M1312" s="6">
        <v>1406</v>
      </c>
      <c r="N1312" s="6">
        <v>1403</v>
      </c>
      <c r="O1312" s="19">
        <v>0</v>
      </c>
      <c r="P1312" s="6">
        <v>18.03</v>
      </c>
      <c r="Q1312" s="6">
        <v>21.45</v>
      </c>
      <c r="R1312" s="19">
        <v>1</v>
      </c>
      <c r="S1312" s="20">
        <v>8</v>
      </c>
      <c r="T1312" s="6">
        <v>1.91</v>
      </c>
      <c r="U1312" s="6">
        <v>2.4700000000000002</v>
      </c>
      <c r="V1312" s="6">
        <v>3.66</v>
      </c>
      <c r="W1312" s="19">
        <v>0.90049999999999997</v>
      </c>
      <c r="X1312" s="6">
        <v>16.07</v>
      </c>
      <c r="Y1312" s="21">
        <v>1388520.6155983901</v>
      </c>
      <c r="Z1312" s="6">
        <v>29669</v>
      </c>
      <c r="AA1312" s="6">
        <v>14.2249035808925</v>
      </c>
    </row>
    <row r="1313" spans="1:27" x14ac:dyDescent="0.25">
      <c r="A1313" s="7" t="str">
        <f t="shared" si="20"/>
        <v>3927Swedish First Hill422421075600 ECHOCARDIOLOGY</v>
      </c>
      <c r="B1313" s="7"/>
      <c r="C1313" s="29" t="s">
        <v>185</v>
      </c>
      <c r="D1313" s="29" t="s">
        <v>521</v>
      </c>
      <c r="E1313" s="29" t="s">
        <v>186</v>
      </c>
      <c r="F1313" s="29">
        <v>3927</v>
      </c>
      <c r="G1313" s="4" t="s">
        <v>522</v>
      </c>
      <c r="H1313" s="5">
        <v>4224</v>
      </c>
      <c r="I1313" s="4" t="s">
        <v>275</v>
      </c>
      <c r="J1313" s="4" t="s">
        <v>60</v>
      </c>
      <c r="K1313" s="4" t="s">
        <v>560</v>
      </c>
      <c r="L1313" s="4" t="s">
        <v>99</v>
      </c>
      <c r="M1313" s="7"/>
      <c r="N1313" s="6">
        <v>21386.55</v>
      </c>
      <c r="O1313" s="19">
        <v>0.625</v>
      </c>
      <c r="P1313" s="7"/>
      <c r="Q1313" s="6">
        <v>0.28000000000000003</v>
      </c>
      <c r="R1313" s="19">
        <v>0.25</v>
      </c>
      <c r="S1313" s="20">
        <v>9</v>
      </c>
      <c r="T1313" s="6">
        <v>0.28000000000000003</v>
      </c>
      <c r="U1313" s="6">
        <v>0.34</v>
      </c>
      <c r="V1313" s="6">
        <v>0.38</v>
      </c>
      <c r="W1313" s="19">
        <v>0.88019999999999998</v>
      </c>
      <c r="X1313" s="6">
        <v>3.3</v>
      </c>
      <c r="Y1313" s="21">
        <v>-83483.187134540902</v>
      </c>
      <c r="Z1313" s="6">
        <v>-1378</v>
      </c>
      <c r="AA1313" s="6">
        <v>-0.66083219197143395</v>
      </c>
    </row>
    <row r="1314" spans="1:27" x14ac:dyDescent="0.25">
      <c r="A1314" s="7" t="str">
        <f t="shared" si="20"/>
        <v>3927Swedish First Hill121221061705 NEPHROLOGY SURGICAL</v>
      </c>
      <c r="B1314" s="7"/>
      <c r="C1314" s="29" t="s">
        <v>185</v>
      </c>
      <c r="D1314" s="29" t="s">
        <v>521</v>
      </c>
      <c r="E1314" s="29" t="s">
        <v>186</v>
      </c>
      <c r="F1314" s="29">
        <v>3927</v>
      </c>
      <c r="G1314" s="4" t="s">
        <v>522</v>
      </c>
      <c r="H1314" s="5">
        <v>1212</v>
      </c>
      <c r="I1314" s="4" t="s">
        <v>160</v>
      </c>
      <c r="J1314" s="4" t="s">
        <v>23</v>
      </c>
      <c r="K1314" s="4" t="s">
        <v>527</v>
      </c>
      <c r="L1314" s="4" t="s">
        <v>74</v>
      </c>
      <c r="M1314" s="6">
        <v>8372.58</v>
      </c>
      <c r="N1314" s="6">
        <v>8614</v>
      </c>
      <c r="O1314" s="19">
        <v>0.5</v>
      </c>
      <c r="P1314" s="6">
        <v>9.85</v>
      </c>
      <c r="Q1314" s="6">
        <v>10.28</v>
      </c>
      <c r="R1314" s="19">
        <v>0.4</v>
      </c>
      <c r="S1314" s="20">
        <v>9</v>
      </c>
      <c r="T1314" s="6">
        <v>10.039999999999999</v>
      </c>
      <c r="U1314" s="6">
        <v>10.18</v>
      </c>
      <c r="V1314" s="6">
        <v>10.69</v>
      </c>
      <c r="W1314" s="19">
        <v>0.88890000000000002</v>
      </c>
      <c r="X1314" s="6">
        <v>47.91</v>
      </c>
      <c r="Y1314" s="21">
        <v>52134.281435967001</v>
      </c>
      <c r="Z1314" s="6">
        <v>1275</v>
      </c>
      <c r="AA1314" s="6">
        <v>0.61144226519793698</v>
      </c>
    </row>
    <row r="1315" spans="1:27" x14ac:dyDescent="0.25">
      <c r="A1315" s="7" t="str">
        <f t="shared" si="20"/>
        <v>3927Swedish First Hill226421074001 PERINATAL CLINIC</v>
      </c>
      <c r="B1315" s="7"/>
      <c r="C1315" s="29" t="s">
        <v>185</v>
      </c>
      <c r="D1315" s="29" t="s">
        <v>521</v>
      </c>
      <c r="E1315" s="29" t="s">
        <v>186</v>
      </c>
      <c r="F1315" s="29">
        <v>3927</v>
      </c>
      <c r="G1315" s="4" t="s">
        <v>522</v>
      </c>
      <c r="H1315" s="5">
        <v>2264</v>
      </c>
      <c r="I1315" s="4" t="s">
        <v>191</v>
      </c>
      <c r="J1315" s="4" t="s">
        <v>176</v>
      </c>
      <c r="K1315" s="4" t="s">
        <v>543</v>
      </c>
      <c r="L1315" s="4" t="s">
        <v>77</v>
      </c>
      <c r="M1315" s="6">
        <v>9839</v>
      </c>
      <c r="N1315" s="6">
        <v>10467</v>
      </c>
      <c r="O1315" s="19">
        <v>0.5</v>
      </c>
      <c r="P1315" s="6">
        <v>3.2</v>
      </c>
      <c r="Q1315" s="6">
        <v>2.79</v>
      </c>
      <c r="R1315" s="19">
        <v>0.875</v>
      </c>
      <c r="S1315" s="20">
        <v>9</v>
      </c>
      <c r="T1315" s="6">
        <v>1.75</v>
      </c>
      <c r="U1315" s="6">
        <v>2.16</v>
      </c>
      <c r="V1315" s="6">
        <v>2.46</v>
      </c>
      <c r="W1315" s="19">
        <v>0.93220000000000003</v>
      </c>
      <c r="X1315" s="6">
        <v>15.04</v>
      </c>
      <c r="Y1315" s="21">
        <v>299567.98987874499</v>
      </c>
      <c r="Z1315" s="6">
        <v>7116</v>
      </c>
      <c r="AA1315" s="6">
        <v>3.4117319180763599</v>
      </c>
    </row>
    <row r="1316" spans="1:27" x14ac:dyDescent="0.25">
      <c r="A1316" s="7" t="str">
        <f t="shared" si="20"/>
        <v>3927Swedish First Hill625021070720 DIABETES EDUCATION CENTER</v>
      </c>
      <c r="B1316" s="7"/>
      <c r="C1316" s="29" t="s">
        <v>185</v>
      </c>
      <c r="D1316" s="29" t="s">
        <v>521</v>
      </c>
      <c r="E1316" s="29" t="s">
        <v>186</v>
      </c>
      <c r="F1316" s="29">
        <v>3927</v>
      </c>
      <c r="G1316" s="4" t="s">
        <v>522</v>
      </c>
      <c r="H1316" s="5">
        <v>6250</v>
      </c>
      <c r="I1316" s="4" t="s">
        <v>156</v>
      </c>
      <c r="J1316" s="4" t="s">
        <v>21</v>
      </c>
      <c r="K1316" s="4" t="s">
        <v>536</v>
      </c>
      <c r="L1316" s="4" t="s">
        <v>157</v>
      </c>
      <c r="M1316" s="7"/>
      <c r="N1316" s="6">
        <v>500</v>
      </c>
      <c r="O1316" s="19">
        <v>0.5</v>
      </c>
      <c r="P1316" s="7"/>
      <c r="Q1316" s="6">
        <v>20.61</v>
      </c>
      <c r="R1316" s="19">
        <v>1</v>
      </c>
      <c r="S1316" s="20">
        <v>9</v>
      </c>
      <c r="T1316" s="6">
        <v>3.06</v>
      </c>
      <c r="U1316" s="6">
        <v>4.18</v>
      </c>
      <c r="V1316" s="6">
        <v>5.36</v>
      </c>
      <c r="W1316" s="19">
        <v>0.90880000000000005</v>
      </c>
      <c r="X1316" s="6">
        <v>5.45</v>
      </c>
      <c r="Y1316" s="21">
        <v>428226.49280641403</v>
      </c>
      <c r="Z1316" s="6">
        <v>9067</v>
      </c>
      <c r="AA1316" s="6">
        <v>4.3473793376358296</v>
      </c>
    </row>
    <row r="1317" spans="1:27" x14ac:dyDescent="0.25">
      <c r="A1317" s="7" t="str">
        <f t="shared" si="20"/>
        <v>3927Swedish First Hill5645Tumor Disease Registries (N)</v>
      </c>
      <c r="B1317" s="7"/>
      <c r="C1317" s="29" t="s">
        <v>185</v>
      </c>
      <c r="D1317" s="29" t="s">
        <v>521</v>
      </c>
      <c r="E1317" s="29" t="s">
        <v>186</v>
      </c>
      <c r="F1317" s="29">
        <v>3927</v>
      </c>
      <c r="G1317" s="4" t="s">
        <v>522</v>
      </c>
      <c r="H1317" s="5">
        <v>5645</v>
      </c>
      <c r="I1317" s="4" t="s">
        <v>291</v>
      </c>
      <c r="J1317" s="4" t="s">
        <v>12</v>
      </c>
      <c r="K1317" s="4" t="s">
        <v>616</v>
      </c>
      <c r="L1317" s="4" t="s">
        <v>292</v>
      </c>
      <c r="M1317" s="6">
        <v>6802</v>
      </c>
      <c r="N1317" s="6">
        <v>4542</v>
      </c>
      <c r="O1317" s="19">
        <v>1</v>
      </c>
      <c r="P1317" s="6">
        <v>2.09</v>
      </c>
      <c r="Q1317" s="6">
        <v>3.39</v>
      </c>
      <c r="R1317" s="19">
        <v>0.25</v>
      </c>
      <c r="S1317" s="20">
        <v>10</v>
      </c>
      <c r="T1317" s="6">
        <v>3.39</v>
      </c>
      <c r="U1317" s="6">
        <v>3.79</v>
      </c>
      <c r="V1317" s="6">
        <v>4.18</v>
      </c>
      <c r="W1317" s="19">
        <v>0.92379999999999995</v>
      </c>
      <c r="X1317" s="6">
        <v>8</v>
      </c>
      <c r="Y1317" s="21">
        <v>-51315.350652484201</v>
      </c>
      <c r="Z1317" s="6">
        <v>-1949</v>
      </c>
      <c r="AA1317" s="6">
        <v>-0.93421790750016398</v>
      </c>
    </row>
    <row r="1318" spans="1:27" x14ac:dyDescent="0.25">
      <c r="A1318" s="7" t="str">
        <f t="shared" si="20"/>
        <v>3927Swedish First Hill344021076390 SCI BREAST CARE CENTER</v>
      </c>
      <c r="B1318" s="7"/>
      <c r="C1318" s="29" t="s">
        <v>185</v>
      </c>
      <c r="D1318" s="29" t="s">
        <v>521</v>
      </c>
      <c r="E1318" s="29" t="s">
        <v>186</v>
      </c>
      <c r="F1318" s="29">
        <v>3927</v>
      </c>
      <c r="G1318" s="4" t="s">
        <v>522</v>
      </c>
      <c r="H1318" s="5">
        <v>3440</v>
      </c>
      <c r="I1318" s="4" t="s">
        <v>119</v>
      </c>
      <c r="J1318" s="4" t="s">
        <v>57</v>
      </c>
      <c r="K1318" s="4" t="s">
        <v>564</v>
      </c>
      <c r="L1318" s="4" t="s">
        <v>99</v>
      </c>
      <c r="M1318" s="6">
        <v>58633.72</v>
      </c>
      <c r="N1318" s="6">
        <v>73970.17</v>
      </c>
      <c r="O1318" s="19">
        <v>0.55559999999999998</v>
      </c>
      <c r="P1318" s="6">
        <v>0.64</v>
      </c>
      <c r="Q1318" s="6">
        <v>0.44</v>
      </c>
      <c r="R1318" s="19">
        <v>0.22220000000000001</v>
      </c>
      <c r="S1318" s="20">
        <v>10</v>
      </c>
      <c r="T1318" s="6">
        <v>0.45</v>
      </c>
      <c r="U1318" s="6">
        <v>0.46</v>
      </c>
      <c r="V1318" s="6">
        <v>0.48</v>
      </c>
      <c r="W1318" s="19">
        <v>0.87409999999999999</v>
      </c>
      <c r="X1318" s="6">
        <v>18.059999999999999</v>
      </c>
      <c r="Y1318" s="21">
        <v>-49269.007415673499</v>
      </c>
      <c r="Z1318" s="6">
        <v>-1259</v>
      </c>
      <c r="AA1318" s="6">
        <v>-0.60386081715941498</v>
      </c>
    </row>
    <row r="1319" spans="1:27" x14ac:dyDescent="0.25">
      <c r="A1319" s="7" t="str">
        <f t="shared" si="20"/>
        <v>3927Swedish First Hill444021077105 ISSAQUAH CANCER PHARMACY</v>
      </c>
      <c r="B1319" s="7"/>
      <c r="C1319" s="29" t="s">
        <v>185</v>
      </c>
      <c r="D1319" s="29" t="s">
        <v>521</v>
      </c>
      <c r="E1319" s="29" t="s">
        <v>186</v>
      </c>
      <c r="F1319" s="29">
        <v>3927</v>
      </c>
      <c r="G1319" s="4" t="s">
        <v>522</v>
      </c>
      <c r="H1319" s="5">
        <v>4440</v>
      </c>
      <c r="I1319" s="4" t="s">
        <v>278</v>
      </c>
      <c r="J1319" s="4" t="s">
        <v>37</v>
      </c>
      <c r="K1319" s="4" t="s">
        <v>605</v>
      </c>
      <c r="L1319" s="4" t="s">
        <v>279</v>
      </c>
      <c r="M1319" s="6">
        <v>11096</v>
      </c>
      <c r="N1319" s="6">
        <v>11573</v>
      </c>
      <c r="O1319" s="19">
        <v>0.22220000000000001</v>
      </c>
      <c r="P1319" s="6">
        <v>0.38</v>
      </c>
      <c r="Q1319" s="6">
        <v>0.39</v>
      </c>
      <c r="R1319" s="19">
        <v>0.75</v>
      </c>
      <c r="S1319" s="20">
        <v>10</v>
      </c>
      <c r="T1319" s="6">
        <v>0.3</v>
      </c>
      <c r="U1319" s="6">
        <v>0.3</v>
      </c>
      <c r="V1319" s="6">
        <v>0.3</v>
      </c>
      <c r="W1319" s="19">
        <v>0.93700000000000006</v>
      </c>
      <c r="X1319" s="6">
        <v>2.33</v>
      </c>
      <c r="Y1319" s="21">
        <v>54251.646657314297</v>
      </c>
      <c r="Z1319" s="6">
        <v>1154</v>
      </c>
      <c r="AA1319" s="6">
        <v>0.55345678702803602</v>
      </c>
    </row>
    <row r="1320" spans="1:27" x14ac:dyDescent="0.25">
      <c r="A1320" s="7" t="str">
        <f t="shared" si="20"/>
        <v>3927Swedish First Hill127721060700-1 NEONATAL INTENSIVE CARE/INTERMEDIATE CARE</v>
      </c>
      <c r="B1320" s="7"/>
      <c r="C1320" s="29" t="s">
        <v>185</v>
      </c>
      <c r="D1320" s="29" t="s">
        <v>521</v>
      </c>
      <c r="E1320" s="29" t="s">
        <v>186</v>
      </c>
      <c r="F1320" s="29">
        <v>3927</v>
      </c>
      <c r="G1320" s="4" t="s">
        <v>522</v>
      </c>
      <c r="H1320" s="5">
        <v>1277</v>
      </c>
      <c r="I1320" s="4" t="s">
        <v>106</v>
      </c>
      <c r="J1320" s="4" t="s">
        <v>23</v>
      </c>
      <c r="K1320" s="4" t="s">
        <v>525</v>
      </c>
      <c r="L1320" s="4" t="s">
        <v>107</v>
      </c>
      <c r="M1320" s="6">
        <v>9371</v>
      </c>
      <c r="N1320" s="6">
        <v>22204</v>
      </c>
      <c r="O1320" s="19">
        <v>1</v>
      </c>
      <c r="P1320" s="6">
        <v>14.9</v>
      </c>
      <c r="Q1320" s="6">
        <v>12.31</v>
      </c>
      <c r="R1320" s="19">
        <v>0.2</v>
      </c>
      <c r="S1320" s="20">
        <v>11</v>
      </c>
      <c r="T1320" s="6">
        <v>12.34</v>
      </c>
      <c r="U1320" s="6">
        <v>12.88</v>
      </c>
      <c r="V1320" s="6">
        <v>13.56</v>
      </c>
      <c r="W1320" s="19">
        <v>0.89490000000000003</v>
      </c>
      <c r="X1320" s="6">
        <v>146.81</v>
      </c>
      <c r="Y1320" s="21">
        <v>-695378.47397324897</v>
      </c>
      <c r="Z1320" s="6">
        <v>-13373</v>
      </c>
      <c r="AA1320" s="6">
        <v>-6.4118608510882797</v>
      </c>
    </row>
    <row r="1321" spans="1:27" x14ac:dyDescent="0.25">
      <c r="A1321" s="7" t="str">
        <f t="shared" si="20"/>
        <v>3927Swedish First Hill127621063801 ANTEPARTUM</v>
      </c>
      <c r="B1321" s="7"/>
      <c r="C1321" s="29" t="s">
        <v>185</v>
      </c>
      <c r="D1321" s="29" t="s">
        <v>521</v>
      </c>
      <c r="E1321" s="29" t="s">
        <v>186</v>
      </c>
      <c r="F1321" s="29">
        <v>3927</v>
      </c>
      <c r="G1321" s="4" t="s">
        <v>522</v>
      </c>
      <c r="H1321" s="5">
        <v>1276</v>
      </c>
      <c r="I1321" s="4" t="s">
        <v>175</v>
      </c>
      <c r="J1321" s="4" t="s">
        <v>23</v>
      </c>
      <c r="K1321" s="4" t="s">
        <v>532</v>
      </c>
      <c r="L1321" s="4" t="s">
        <v>74</v>
      </c>
      <c r="M1321" s="6">
        <v>5163.67</v>
      </c>
      <c r="N1321" s="6">
        <v>5201</v>
      </c>
      <c r="O1321" s="19">
        <v>0.5</v>
      </c>
      <c r="P1321" s="6">
        <v>9.92</v>
      </c>
      <c r="Q1321" s="6">
        <v>9.99</v>
      </c>
      <c r="R1321" s="19">
        <v>0.2</v>
      </c>
      <c r="S1321" s="20">
        <v>11</v>
      </c>
      <c r="T1321" s="6">
        <v>10.19</v>
      </c>
      <c r="U1321" s="6">
        <v>10.83</v>
      </c>
      <c r="V1321" s="6">
        <v>11.97</v>
      </c>
      <c r="W1321" s="19">
        <v>0.85809999999999997</v>
      </c>
      <c r="X1321" s="6">
        <v>29.12</v>
      </c>
      <c r="Y1321" s="21">
        <v>-289807.911319573</v>
      </c>
      <c r="Z1321" s="6">
        <v>-4906</v>
      </c>
      <c r="AA1321" s="6">
        <v>-2.35208875134582</v>
      </c>
    </row>
    <row r="1322" spans="1:27" x14ac:dyDescent="0.25">
      <c r="A1322" s="7" t="str">
        <f t="shared" si="20"/>
        <v>3927Swedish First Hill227021070708 PAIN SERVICES</v>
      </c>
      <c r="B1322" s="7"/>
      <c r="C1322" s="29" t="s">
        <v>185</v>
      </c>
      <c r="D1322" s="29" t="s">
        <v>521</v>
      </c>
      <c r="E1322" s="29" t="s">
        <v>186</v>
      </c>
      <c r="F1322" s="29">
        <v>3927</v>
      </c>
      <c r="G1322" s="4" t="s">
        <v>522</v>
      </c>
      <c r="H1322" s="5">
        <v>2270</v>
      </c>
      <c r="I1322" s="4" t="s">
        <v>365</v>
      </c>
      <c r="J1322" s="4" t="s">
        <v>176</v>
      </c>
      <c r="K1322" s="4" t="s">
        <v>535</v>
      </c>
      <c r="L1322" s="4" t="s">
        <v>77</v>
      </c>
      <c r="M1322" s="6">
        <v>5660</v>
      </c>
      <c r="N1322" s="6">
        <v>5366</v>
      </c>
      <c r="O1322" s="19">
        <v>0.63639999999999997</v>
      </c>
      <c r="P1322" s="6">
        <v>2.64</v>
      </c>
      <c r="Q1322" s="6">
        <v>2.44</v>
      </c>
      <c r="R1322" s="19">
        <v>0.5</v>
      </c>
      <c r="S1322" s="20">
        <v>12</v>
      </c>
      <c r="T1322" s="6">
        <v>2.2599999999999998</v>
      </c>
      <c r="U1322" s="6">
        <v>2.38</v>
      </c>
      <c r="V1322" s="6">
        <v>2.44</v>
      </c>
      <c r="W1322" s="19">
        <v>0.86970000000000003</v>
      </c>
      <c r="X1322" s="6">
        <v>7.25</v>
      </c>
      <c r="Y1322" s="21">
        <v>18756.025709811202</v>
      </c>
      <c r="Z1322" s="6">
        <v>437</v>
      </c>
      <c r="AA1322" s="6">
        <v>0.20945442403783199</v>
      </c>
    </row>
    <row r="1323" spans="1:27" x14ac:dyDescent="0.25">
      <c r="A1323" s="7" t="str">
        <f t="shared" si="20"/>
        <v>3927Swedish First Hill226721076413 EASTSIDE MEDICAL ONCOLOGY</v>
      </c>
      <c r="B1323" s="7"/>
      <c r="C1323" s="29" t="s">
        <v>185</v>
      </c>
      <c r="D1323" s="29" t="s">
        <v>521</v>
      </c>
      <c r="E1323" s="29" t="s">
        <v>186</v>
      </c>
      <c r="F1323" s="29">
        <v>3927</v>
      </c>
      <c r="G1323" s="4" t="s">
        <v>522</v>
      </c>
      <c r="H1323" s="5">
        <v>2267</v>
      </c>
      <c r="I1323" s="4" t="s">
        <v>183</v>
      </c>
      <c r="J1323" s="4" t="s">
        <v>176</v>
      </c>
      <c r="K1323" s="4" t="s">
        <v>568</v>
      </c>
      <c r="L1323" s="4" t="s">
        <v>77</v>
      </c>
      <c r="M1323" s="6">
        <v>2083</v>
      </c>
      <c r="N1323" s="6">
        <v>1906</v>
      </c>
      <c r="O1323" s="7"/>
      <c r="P1323" s="6">
        <v>1.95</v>
      </c>
      <c r="Q1323" s="6">
        <v>2.35</v>
      </c>
      <c r="R1323" s="19">
        <v>0.69259999999999999</v>
      </c>
      <c r="S1323" s="20">
        <v>12</v>
      </c>
      <c r="T1323" s="6">
        <v>1.87</v>
      </c>
      <c r="U1323" s="6">
        <v>2.09</v>
      </c>
      <c r="V1323" s="6">
        <v>2.14</v>
      </c>
      <c r="W1323" s="19">
        <v>0.90780000000000005</v>
      </c>
      <c r="X1323" s="6">
        <v>2.38</v>
      </c>
      <c r="Y1323" s="21">
        <v>32120.241649822699</v>
      </c>
      <c r="Z1323" s="6">
        <v>576</v>
      </c>
      <c r="AA1323" s="6">
        <v>0.27608997569375798</v>
      </c>
    </row>
    <row r="1324" spans="1:27" x14ac:dyDescent="0.25">
      <c r="A1324" s="7" t="str">
        <f t="shared" si="20"/>
        <v>3927Swedish First Hill411021077200 RESPIRATORY THERAPY</v>
      </c>
      <c r="B1324" s="7"/>
      <c r="C1324" s="29" t="s">
        <v>185</v>
      </c>
      <c r="D1324" s="29" t="s">
        <v>521</v>
      </c>
      <c r="E1324" s="29" t="s">
        <v>186</v>
      </c>
      <c r="F1324" s="29">
        <v>3927</v>
      </c>
      <c r="G1324" s="4" t="s">
        <v>522</v>
      </c>
      <c r="H1324" s="5">
        <v>4110</v>
      </c>
      <c r="I1324" s="4" t="s">
        <v>145</v>
      </c>
      <c r="J1324" s="4" t="s">
        <v>44</v>
      </c>
      <c r="K1324" s="4" t="s">
        <v>612</v>
      </c>
      <c r="L1324" s="4" t="s">
        <v>45</v>
      </c>
      <c r="M1324" s="6">
        <v>45095.44</v>
      </c>
      <c r="N1324" s="6">
        <v>47943.21</v>
      </c>
      <c r="O1324" s="19">
        <v>1</v>
      </c>
      <c r="P1324" s="6">
        <v>2.2999999999999998</v>
      </c>
      <c r="Q1324" s="6">
        <v>2.61</v>
      </c>
      <c r="R1324" s="19">
        <v>0.36359999999999998</v>
      </c>
      <c r="S1324" s="20">
        <v>12</v>
      </c>
      <c r="T1324" s="6">
        <v>2.4</v>
      </c>
      <c r="U1324" s="6">
        <v>2.59</v>
      </c>
      <c r="V1324" s="6">
        <v>2.72</v>
      </c>
      <c r="W1324" s="19">
        <v>0.90329999999999999</v>
      </c>
      <c r="X1324" s="6">
        <v>66.67</v>
      </c>
      <c r="Y1324" s="21">
        <v>66645.2597823213</v>
      </c>
      <c r="Z1324" s="6">
        <v>1588</v>
      </c>
      <c r="AA1324" s="6">
        <v>0.76125816931148904</v>
      </c>
    </row>
    <row r="1325" spans="1:27" x14ac:dyDescent="0.25">
      <c r="A1325" s="7" t="str">
        <f t="shared" si="20"/>
        <v>3927Swedish First Hill221621070800 ANTICOAGULATION THERAPY SVCS</v>
      </c>
      <c r="B1325" s="7"/>
      <c r="C1325" s="29" t="s">
        <v>185</v>
      </c>
      <c r="D1325" s="29" t="s">
        <v>521</v>
      </c>
      <c r="E1325" s="29" t="s">
        <v>186</v>
      </c>
      <c r="F1325" s="29">
        <v>3927</v>
      </c>
      <c r="G1325" s="4" t="s">
        <v>522</v>
      </c>
      <c r="H1325" s="5">
        <v>2216</v>
      </c>
      <c r="I1325" s="4" t="s">
        <v>264</v>
      </c>
      <c r="J1325" s="4" t="s">
        <v>176</v>
      </c>
      <c r="K1325" s="4" t="s">
        <v>539</v>
      </c>
      <c r="L1325" s="4" t="s">
        <v>77</v>
      </c>
      <c r="M1325" s="6">
        <v>2615</v>
      </c>
      <c r="N1325" s="6">
        <v>4025</v>
      </c>
      <c r="O1325" s="19">
        <v>0.45450000000000002</v>
      </c>
      <c r="P1325" s="6">
        <v>2.96</v>
      </c>
      <c r="Q1325" s="6">
        <v>1.32</v>
      </c>
      <c r="R1325" s="19">
        <v>1</v>
      </c>
      <c r="S1325" s="20">
        <v>12</v>
      </c>
      <c r="T1325" s="6">
        <v>0.59</v>
      </c>
      <c r="U1325" s="6">
        <v>0.64</v>
      </c>
      <c r="V1325" s="6">
        <v>0.66</v>
      </c>
      <c r="W1325" s="19">
        <v>0.93730000000000002</v>
      </c>
      <c r="X1325" s="6">
        <v>2.74</v>
      </c>
      <c r="Y1325" s="21">
        <v>180062.960732754</v>
      </c>
      <c r="Z1325" s="6">
        <v>2967</v>
      </c>
      <c r="AA1325" s="6">
        <v>1.42230347532074</v>
      </c>
    </row>
    <row r="1326" spans="1:27" x14ac:dyDescent="0.25">
      <c r="A1326" s="7" t="str">
        <f t="shared" si="20"/>
        <v>3927Swedish First Hill512021083300 CAFETERIA/21083301 DOCTORS DINING ROOM/21083340 CATERING</v>
      </c>
      <c r="B1326" s="7"/>
      <c r="C1326" s="29" t="s">
        <v>185</v>
      </c>
      <c r="D1326" s="29" t="s">
        <v>521</v>
      </c>
      <c r="E1326" s="29" t="s">
        <v>186</v>
      </c>
      <c r="F1326" s="29">
        <v>3927</v>
      </c>
      <c r="G1326" s="4" t="s">
        <v>522</v>
      </c>
      <c r="H1326" s="5">
        <v>5120</v>
      </c>
      <c r="I1326" s="4" t="s">
        <v>126</v>
      </c>
      <c r="J1326" s="4" t="s">
        <v>65</v>
      </c>
      <c r="K1326" s="4" t="s">
        <v>584</v>
      </c>
      <c r="L1326" s="4" t="s">
        <v>127</v>
      </c>
      <c r="M1326" s="6">
        <v>665445.37</v>
      </c>
      <c r="N1326" s="6">
        <v>638728.07999999996</v>
      </c>
      <c r="O1326" s="19">
        <v>0.54549999999999998</v>
      </c>
      <c r="P1326" s="6">
        <v>0.09</v>
      </c>
      <c r="Q1326" s="6">
        <v>0.09</v>
      </c>
      <c r="R1326" s="19">
        <v>0.63639999999999997</v>
      </c>
      <c r="S1326" s="20">
        <v>12</v>
      </c>
      <c r="T1326" s="6">
        <v>0.06</v>
      </c>
      <c r="U1326" s="6">
        <v>7.0000000000000007E-2</v>
      </c>
      <c r="V1326" s="6">
        <v>0.08</v>
      </c>
      <c r="W1326" s="19">
        <v>0.86229999999999996</v>
      </c>
      <c r="X1326" s="6">
        <v>31.71</v>
      </c>
      <c r="Y1326" s="21">
        <v>346781.95209858799</v>
      </c>
      <c r="Z1326" s="6">
        <v>14287</v>
      </c>
      <c r="AA1326" s="6">
        <v>6.8498455793508803</v>
      </c>
    </row>
    <row r="1327" spans="1:27" x14ac:dyDescent="0.25">
      <c r="A1327" s="7" t="str">
        <f t="shared" si="20"/>
        <v>3927Swedish First Hill128521074000, 21063802 LABOR AND DELIVERY &amp; OB TRIAGE</v>
      </c>
      <c r="B1327" s="7"/>
      <c r="C1327" s="29" t="s">
        <v>185</v>
      </c>
      <c r="D1327" s="29" t="s">
        <v>521</v>
      </c>
      <c r="E1327" s="29" t="s">
        <v>186</v>
      </c>
      <c r="F1327" s="29">
        <v>3927</v>
      </c>
      <c r="G1327" s="4" t="s">
        <v>522</v>
      </c>
      <c r="H1327" s="5">
        <v>1285</v>
      </c>
      <c r="I1327" s="4" t="s">
        <v>85</v>
      </c>
      <c r="J1327" s="4" t="s">
        <v>23</v>
      </c>
      <c r="K1327" s="4" t="s">
        <v>542</v>
      </c>
      <c r="L1327" s="4" t="s">
        <v>86</v>
      </c>
      <c r="M1327" s="6">
        <v>5861</v>
      </c>
      <c r="N1327" s="6">
        <v>7123</v>
      </c>
      <c r="O1327" s="19">
        <v>1</v>
      </c>
      <c r="P1327" s="6">
        <v>32.65</v>
      </c>
      <c r="Q1327" s="6">
        <v>34.97</v>
      </c>
      <c r="R1327" s="19">
        <v>0.66669999999999996</v>
      </c>
      <c r="S1327" s="20">
        <v>13</v>
      </c>
      <c r="T1327" s="6">
        <v>32.31</v>
      </c>
      <c r="U1327" s="6">
        <v>32.909999999999997</v>
      </c>
      <c r="V1327" s="6">
        <v>34.090000000000003</v>
      </c>
      <c r="W1327" s="19">
        <v>0.88690000000000002</v>
      </c>
      <c r="X1327" s="6">
        <v>119.76</v>
      </c>
      <c r="Y1327" s="21">
        <v>-791806.205823294</v>
      </c>
      <c r="Z1327" s="6">
        <v>-14528</v>
      </c>
      <c r="AA1327" s="6">
        <v>-6.9655925513063899</v>
      </c>
    </row>
    <row r="1328" spans="1:27" x14ac:dyDescent="0.25">
      <c r="A1328" s="7" t="str">
        <f t="shared" si="20"/>
        <v>3927Swedish First Hill1830Centralized Telemetry (N)</v>
      </c>
      <c r="B1328" s="7"/>
      <c r="C1328" s="29" t="s">
        <v>185</v>
      </c>
      <c r="D1328" s="29" t="s">
        <v>521</v>
      </c>
      <c r="E1328" s="29" t="s">
        <v>186</v>
      </c>
      <c r="F1328" s="29">
        <v>3927</v>
      </c>
      <c r="G1328" s="4" t="s">
        <v>522</v>
      </c>
      <c r="H1328" s="5">
        <v>1830</v>
      </c>
      <c r="I1328" s="4" t="s">
        <v>22</v>
      </c>
      <c r="J1328" s="4" t="s">
        <v>23</v>
      </c>
      <c r="K1328" s="4" t="s">
        <v>598</v>
      </c>
      <c r="L1328" s="4" t="s">
        <v>24</v>
      </c>
      <c r="M1328" s="6">
        <v>21670</v>
      </c>
      <c r="N1328" s="6">
        <v>25940</v>
      </c>
      <c r="O1328" s="19">
        <v>0.5</v>
      </c>
      <c r="P1328" s="6">
        <v>0.13</v>
      </c>
      <c r="Q1328" s="6">
        <v>0.27</v>
      </c>
      <c r="R1328" s="7"/>
      <c r="S1328" s="20">
        <v>13</v>
      </c>
      <c r="T1328" s="6">
        <v>0.74</v>
      </c>
      <c r="U1328" s="6">
        <v>0.76</v>
      </c>
      <c r="V1328" s="6">
        <v>0.8</v>
      </c>
      <c r="W1328" s="19">
        <v>0.91390000000000005</v>
      </c>
      <c r="X1328" s="6">
        <v>3.64</v>
      </c>
      <c r="Y1328" s="21">
        <v>-329245.84861452901</v>
      </c>
      <c r="Z1328" s="6">
        <v>-13980</v>
      </c>
      <c r="AA1328" s="6">
        <v>-6.7026789910943902</v>
      </c>
    </row>
    <row r="1329" spans="1:27" x14ac:dyDescent="0.25">
      <c r="A1329" s="7" t="str">
        <f t="shared" si="20"/>
        <v>3927Swedish First Hill229021078622 ORGAN TRANSPLANT/78600 KIDNEY ACQ/78621 LIVER/74223-4 POST LIVER KIDNEY</v>
      </c>
      <c r="B1329" s="7"/>
      <c r="C1329" s="29" t="s">
        <v>185</v>
      </c>
      <c r="D1329" s="29" t="s">
        <v>521</v>
      </c>
      <c r="E1329" s="29" t="s">
        <v>186</v>
      </c>
      <c r="F1329" s="29">
        <v>3927</v>
      </c>
      <c r="G1329" s="4" t="s">
        <v>522</v>
      </c>
      <c r="H1329" s="5">
        <v>2290</v>
      </c>
      <c r="I1329" s="4" t="s">
        <v>582</v>
      </c>
      <c r="J1329" s="4" t="s">
        <v>176</v>
      </c>
      <c r="K1329" s="4" t="s">
        <v>583</v>
      </c>
      <c r="L1329" s="4" t="s">
        <v>77</v>
      </c>
      <c r="M1329" s="6">
        <v>3498</v>
      </c>
      <c r="N1329" s="6">
        <v>5293</v>
      </c>
      <c r="O1329" s="19">
        <v>0.5</v>
      </c>
      <c r="P1329" s="6">
        <v>12.02</v>
      </c>
      <c r="Q1329" s="6">
        <v>9.0399999999999991</v>
      </c>
      <c r="R1329" s="19">
        <v>0.66669999999999996</v>
      </c>
      <c r="S1329" s="20">
        <v>13</v>
      </c>
      <c r="T1329" s="6">
        <v>2.5499999999999998</v>
      </c>
      <c r="U1329" s="6">
        <v>3.32</v>
      </c>
      <c r="V1329" s="6">
        <v>6.5</v>
      </c>
      <c r="W1329" s="19">
        <v>0.92930000000000001</v>
      </c>
      <c r="X1329" s="6">
        <v>24.74</v>
      </c>
      <c r="Y1329" s="21">
        <v>1694342.60590668</v>
      </c>
      <c r="Z1329" s="6">
        <v>32691</v>
      </c>
      <c r="AA1329" s="6">
        <v>15.673655871825799</v>
      </c>
    </row>
    <row r="1330" spans="1:27" x14ac:dyDescent="0.25">
      <c r="A1330" s="7" t="str">
        <f t="shared" si="20"/>
        <v>3927Swedish First Hill511021083400 NUTRITION SERVICES</v>
      </c>
      <c r="B1330" s="7"/>
      <c r="C1330" s="29" t="s">
        <v>185</v>
      </c>
      <c r="D1330" s="29" t="s">
        <v>521</v>
      </c>
      <c r="E1330" s="29" t="s">
        <v>186</v>
      </c>
      <c r="F1330" s="29">
        <v>3927</v>
      </c>
      <c r="G1330" s="4" t="s">
        <v>522</v>
      </c>
      <c r="H1330" s="5">
        <v>5110</v>
      </c>
      <c r="I1330" s="4" t="s">
        <v>129</v>
      </c>
      <c r="J1330" s="4" t="s">
        <v>65</v>
      </c>
      <c r="K1330" s="4" t="s">
        <v>585</v>
      </c>
      <c r="L1330" s="4" t="s">
        <v>130</v>
      </c>
      <c r="M1330" s="6">
        <v>398602.43</v>
      </c>
      <c r="N1330" s="97">
        <v>479350.01</v>
      </c>
      <c r="O1330" s="19">
        <v>0.66669999999999996</v>
      </c>
      <c r="P1330" s="6">
        <v>0.4</v>
      </c>
      <c r="Q1330" s="6">
        <v>0.36</v>
      </c>
      <c r="R1330" s="19">
        <v>0.83330000000000004</v>
      </c>
      <c r="S1330" s="20">
        <v>13</v>
      </c>
      <c r="T1330" s="6">
        <v>0.19</v>
      </c>
      <c r="U1330" s="6">
        <v>0.21</v>
      </c>
      <c r="V1330" s="6">
        <v>0.31</v>
      </c>
      <c r="W1330" s="19">
        <v>0.88</v>
      </c>
      <c r="X1330" s="6">
        <v>94.37</v>
      </c>
      <c r="Y1330" s="21">
        <v>1832120.6495860899</v>
      </c>
      <c r="Z1330" s="6">
        <v>82438</v>
      </c>
      <c r="AA1330" s="6">
        <v>39.524939207242397</v>
      </c>
    </row>
    <row r="1331" spans="1:27" x14ac:dyDescent="0.25">
      <c r="A1331" s="7" t="str">
        <f t="shared" si="20"/>
        <v>3927Swedish First Hill306021074500 ANESTHESIA</v>
      </c>
      <c r="B1331" s="7"/>
      <c r="C1331" s="29" t="s">
        <v>185</v>
      </c>
      <c r="D1331" s="29" t="s">
        <v>521</v>
      </c>
      <c r="E1331" s="29" t="s">
        <v>186</v>
      </c>
      <c r="F1331" s="29">
        <v>3927</v>
      </c>
      <c r="G1331" s="4" t="s">
        <v>522</v>
      </c>
      <c r="H1331" s="5">
        <v>3060</v>
      </c>
      <c r="I1331" s="4" t="s">
        <v>180</v>
      </c>
      <c r="J1331" s="4" t="s">
        <v>47</v>
      </c>
      <c r="K1331" s="4" t="s">
        <v>558</v>
      </c>
      <c r="L1331" s="4" t="s">
        <v>181</v>
      </c>
      <c r="M1331" s="6">
        <v>33306.230000000003</v>
      </c>
      <c r="N1331" s="6">
        <v>36518.61</v>
      </c>
      <c r="O1331" s="19">
        <v>0.46150000000000002</v>
      </c>
      <c r="P1331" s="6">
        <v>0.73</v>
      </c>
      <c r="Q1331" s="6">
        <v>0.87</v>
      </c>
      <c r="R1331" s="19">
        <v>0.45450000000000002</v>
      </c>
      <c r="S1331" s="20">
        <v>14</v>
      </c>
      <c r="T1331" s="6">
        <v>0.74</v>
      </c>
      <c r="U1331" s="6">
        <v>0.74</v>
      </c>
      <c r="V1331" s="6">
        <v>0.95</v>
      </c>
      <c r="W1331" s="19">
        <v>0.86519999999999997</v>
      </c>
      <c r="X1331" s="6">
        <v>17.72</v>
      </c>
      <c r="Y1331" s="21">
        <v>215944.90631908199</v>
      </c>
      <c r="Z1331" s="6">
        <v>5724</v>
      </c>
      <c r="AA1331" s="6">
        <v>2.7446284437245398</v>
      </c>
    </row>
    <row r="1332" spans="1:27" x14ac:dyDescent="0.25">
      <c r="A1332" s="7" t="str">
        <f t="shared" si="20"/>
        <v>3927Swedish First Hill444021077109 FIRST HILL CANCER PHARMACY</v>
      </c>
      <c r="B1332" s="7"/>
      <c r="C1332" s="29" t="s">
        <v>185</v>
      </c>
      <c r="D1332" s="29" t="s">
        <v>521</v>
      </c>
      <c r="E1332" s="29" t="s">
        <v>186</v>
      </c>
      <c r="F1332" s="29">
        <v>3927</v>
      </c>
      <c r="G1332" s="4" t="s">
        <v>522</v>
      </c>
      <c r="H1332" s="5">
        <v>4440</v>
      </c>
      <c r="I1332" s="4" t="s">
        <v>278</v>
      </c>
      <c r="J1332" s="4" t="s">
        <v>37</v>
      </c>
      <c r="K1332" s="4" t="s">
        <v>606</v>
      </c>
      <c r="L1332" s="4" t="s">
        <v>279</v>
      </c>
      <c r="M1332" s="6">
        <v>0</v>
      </c>
      <c r="N1332" s="6">
        <v>62879</v>
      </c>
      <c r="O1332" s="19">
        <v>0.53849999999999998</v>
      </c>
      <c r="P1332" s="7"/>
      <c r="Q1332" s="6">
        <v>0.22</v>
      </c>
      <c r="R1332" s="19">
        <v>0.46150000000000002</v>
      </c>
      <c r="S1332" s="20">
        <v>14</v>
      </c>
      <c r="T1332" s="6">
        <v>0.11</v>
      </c>
      <c r="U1332" s="6">
        <v>0.13</v>
      </c>
      <c r="V1332" s="6">
        <v>0.23</v>
      </c>
      <c r="W1332" s="19">
        <v>0.92800000000000005</v>
      </c>
      <c r="X1332" s="6">
        <v>7.32</v>
      </c>
      <c r="Y1332" s="21">
        <v>347094.92667310499</v>
      </c>
      <c r="Z1332" s="6">
        <v>6459</v>
      </c>
      <c r="AA1332" s="6">
        <v>3.0967269485313</v>
      </c>
    </row>
    <row r="1333" spans="1:27" x14ac:dyDescent="0.25">
      <c r="A1333" s="7" t="str">
        <f t="shared" si="20"/>
        <v>3927Swedish First Hill401021076428 RADIATION ONCOLOGY</v>
      </c>
      <c r="B1333" s="7"/>
      <c r="C1333" s="29" t="s">
        <v>185</v>
      </c>
      <c r="D1333" s="29" t="s">
        <v>521</v>
      </c>
      <c r="E1333" s="29" t="s">
        <v>186</v>
      </c>
      <c r="F1333" s="29">
        <v>3927</v>
      </c>
      <c r="G1333" s="4" t="s">
        <v>522</v>
      </c>
      <c r="H1333" s="5">
        <v>4010</v>
      </c>
      <c r="I1333" s="4" t="s">
        <v>152</v>
      </c>
      <c r="J1333" s="4" t="s">
        <v>153</v>
      </c>
      <c r="K1333" s="4" t="s">
        <v>571</v>
      </c>
      <c r="L1333" s="4" t="s">
        <v>99</v>
      </c>
      <c r="M1333" s="6">
        <v>108147.13</v>
      </c>
      <c r="N1333" s="6">
        <v>78277.460000000006</v>
      </c>
      <c r="O1333" s="19">
        <v>0.46150000000000002</v>
      </c>
      <c r="P1333" s="6">
        <v>0.42</v>
      </c>
      <c r="Q1333" s="6">
        <v>0.53</v>
      </c>
      <c r="R1333" s="19">
        <v>0.84619999999999995</v>
      </c>
      <c r="S1333" s="20">
        <v>14</v>
      </c>
      <c r="T1333" s="6">
        <v>0.38</v>
      </c>
      <c r="U1333" s="6">
        <v>0.4</v>
      </c>
      <c r="V1333" s="6">
        <v>0.46</v>
      </c>
      <c r="W1333" s="19">
        <v>0.87290000000000001</v>
      </c>
      <c r="X1333" s="6">
        <v>22.67</v>
      </c>
      <c r="Y1333" s="21">
        <v>723440.22822273697</v>
      </c>
      <c r="Z1333" s="6">
        <v>11413</v>
      </c>
      <c r="AA1333" s="6">
        <v>5.4719034942693003</v>
      </c>
    </row>
    <row r="1334" spans="1:27" x14ac:dyDescent="0.25">
      <c r="A1334" s="7" t="str">
        <f t="shared" si="20"/>
        <v>3927Swedish First Hill302021074270 RECOVERY 2nd Level</v>
      </c>
      <c r="B1334" s="7"/>
      <c r="C1334" s="29" t="s">
        <v>185</v>
      </c>
      <c r="D1334" s="29" t="s">
        <v>521</v>
      </c>
      <c r="E1334" s="29" t="s">
        <v>186</v>
      </c>
      <c r="F1334" s="29">
        <v>3927</v>
      </c>
      <c r="G1334" s="4" t="s">
        <v>522</v>
      </c>
      <c r="H1334" s="5">
        <v>3020</v>
      </c>
      <c r="I1334" s="4" t="s">
        <v>89</v>
      </c>
      <c r="J1334" s="4" t="s">
        <v>47</v>
      </c>
      <c r="K1334" s="4" t="s">
        <v>547</v>
      </c>
      <c r="L1334" s="4" t="s">
        <v>90</v>
      </c>
      <c r="M1334" s="6">
        <v>8621.75</v>
      </c>
      <c r="N1334" s="6">
        <v>9511.81</v>
      </c>
      <c r="O1334" s="19">
        <v>0.53849999999999998</v>
      </c>
      <c r="P1334" s="6">
        <v>5.9</v>
      </c>
      <c r="Q1334" s="6">
        <v>5.29</v>
      </c>
      <c r="R1334" s="19">
        <v>0.92310000000000003</v>
      </c>
      <c r="S1334" s="20">
        <v>14</v>
      </c>
      <c r="T1334" s="6">
        <v>3.07</v>
      </c>
      <c r="U1334" s="6">
        <v>3.41</v>
      </c>
      <c r="V1334" s="6">
        <v>3.7</v>
      </c>
      <c r="W1334" s="19">
        <v>0.88190000000000002</v>
      </c>
      <c r="X1334" s="6">
        <v>27.43</v>
      </c>
      <c r="Y1334" s="21">
        <v>1032997.61253913</v>
      </c>
      <c r="Z1334" s="6">
        <v>20432</v>
      </c>
      <c r="AA1334" s="6">
        <v>9.7961816853682109</v>
      </c>
    </row>
    <row r="1335" spans="1:27" x14ac:dyDescent="0.25">
      <c r="A1335" s="7" t="str">
        <f t="shared" si="20"/>
        <v>3927Swedish First Hill5608Centralized Scheduling (N)</v>
      </c>
      <c r="B1335" s="7"/>
      <c r="C1335" s="29" t="s">
        <v>185</v>
      </c>
      <c r="D1335" s="29" t="s">
        <v>521</v>
      </c>
      <c r="E1335" s="29" t="s">
        <v>186</v>
      </c>
      <c r="F1335" s="29">
        <v>3927</v>
      </c>
      <c r="G1335" s="4" t="s">
        <v>522</v>
      </c>
      <c r="H1335" s="5">
        <v>5608</v>
      </c>
      <c r="I1335" s="4" t="s">
        <v>257</v>
      </c>
      <c r="J1335" s="4" t="s">
        <v>12</v>
      </c>
      <c r="K1335" s="4" t="s">
        <v>597</v>
      </c>
      <c r="L1335" s="4" t="s">
        <v>18</v>
      </c>
      <c r="M1335" s="6">
        <v>48703.86</v>
      </c>
      <c r="N1335" s="6">
        <v>51417.36</v>
      </c>
      <c r="O1335" s="19">
        <v>0.56020000000000003</v>
      </c>
      <c r="P1335" s="6">
        <v>3.15</v>
      </c>
      <c r="Q1335" s="6">
        <v>3.46</v>
      </c>
      <c r="R1335" s="19">
        <v>0.74539999999999995</v>
      </c>
      <c r="S1335" s="20">
        <v>14</v>
      </c>
      <c r="T1335" s="6">
        <v>1.0900000000000001</v>
      </c>
      <c r="U1335" s="6">
        <v>1.19</v>
      </c>
      <c r="V1335" s="6">
        <v>1.71</v>
      </c>
      <c r="W1335" s="19">
        <v>0.87760000000000005</v>
      </c>
      <c r="X1335" s="6">
        <v>97.39</v>
      </c>
      <c r="Y1335" s="21">
        <v>3174157.5256570601</v>
      </c>
      <c r="Z1335" s="6">
        <v>133407</v>
      </c>
      <c r="AA1335" s="6">
        <v>63.962162683173702</v>
      </c>
    </row>
    <row r="1336" spans="1:27" x14ac:dyDescent="0.25">
      <c r="A1336" s="7" t="str">
        <f t="shared" si="20"/>
        <v>3927Swedish First Hill303021074305 AMBULATORY SURGERY CENTER 1SE</v>
      </c>
      <c r="B1336" s="7"/>
      <c r="C1336" s="29" t="s">
        <v>185</v>
      </c>
      <c r="D1336" s="29" t="s">
        <v>521</v>
      </c>
      <c r="E1336" s="29" t="s">
        <v>186</v>
      </c>
      <c r="F1336" s="29">
        <v>3927</v>
      </c>
      <c r="G1336" s="4" t="s">
        <v>522</v>
      </c>
      <c r="H1336" s="5">
        <v>3030</v>
      </c>
      <c r="I1336" s="4" t="s">
        <v>80</v>
      </c>
      <c r="J1336" s="4" t="s">
        <v>47</v>
      </c>
      <c r="K1336" s="4" t="s">
        <v>557</v>
      </c>
      <c r="L1336" s="4" t="s">
        <v>81</v>
      </c>
      <c r="M1336" s="6">
        <v>24462.75</v>
      </c>
      <c r="N1336" s="6">
        <v>35230.68</v>
      </c>
      <c r="O1336" s="19">
        <v>0.92859999999999998</v>
      </c>
      <c r="P1336" s="6">
        <v>3.27</v>
      </c>
      <c r="Q1336" s="6">
        <v>2.14</v>
      </c>
      <c r="R1336" s="19">
        <v>0.57140000000000002</v>
      </c>
      <c r="S1336" s="20">
        <v>15</v>
      </c>
      <c r="T1336" s="6">
        <v>1.81</v>
      </c>
      <c r="U1336" s="6">
        <v>1.87</v>
      </c>
      <c r="V1336" s="6">
        <v>2.02</v>
      </c>
      <c r="W1336" s="19">
        <v>0.86019999999999996</v>
      </c>
      <c r="X1336" s="6">
        <v>42.16</v>
      </c>
      <c r="Y1336" s="21">
        <v>516556.57508717699</v>
      </c>
      <c r="Z1336" s="6">
        <v>11345</v>
      </c>
      <c r="AA1336" s="6">
        <v>5.4392660581058099</v>
      </c>
    </row>
    <row r="1337" spans="1:27" x14ac:dyDescent="0.25">
      <c r="A1337" s="7" t="str">
        <f t="shared" si="20"/>
        <v>3927Swedish First Hill463021077600 ENDOSCOPY</v>
      </c>
      <c r="B1337" s="7"/>
      <c r="C1337" s="29" t="s">
        <v>185</v>
      </c>
      <c r="D1337" s="29" t="s">
        <v>521</v>
      </c>
      <c r="E1337" s="29" t="s">
        <v>186</v>
      </c>
      <c r="F1337" s="29">
        <v>3927</v>
      </c>
      <c r="G1337" s="4" t="s">
        <v>522</v>
      </c>
      <c r="H1337" s="5">
        <v>4630</v>
      </c>
      <c r="I1337" s="4" t="s">
        <v>104</v>
      </c>
      <c r="J1337" s="4" t="s">
        <v>83</v>
      </c>
      <c r="K1337" s="4" t="s">
        <v>609</v>
      </c>
      <c r="L1337" s="4" t="s">
        <v>99</v>
      </c>
      <c r="M1337" s="6">
        <v>168936.09</v>
      </c>
      <c r="N1337" s="6">
        <v>212706.88</v>
      </c>
      <c r="O1337" s="19">
        <v>0.57140000000000002</v>
      </c>
      <c r="P1337" s="6">
        <v>0.38</v>
      </c>
      <c r="Q1337" s="6">
        <v>0.3</v>
      </c>
      <c r="R1337" s="19">
        <v>0.1429</v>
      </c>
      <c r="S1337" s="20">
        <v>15</v>
      </c>
      <c r="T1337" s="6">
        <v>0.33</v>
      </c>
      <c r="U1337" s="6">
        <v>0.36</v>
      </c>
      <c r="V1337" s="6">
        <v>0.4</v>
      </c>
      <c r="W1337" s="19">
        <v>0.91279999999999994</v>
      </c>
      <c r="X1337" s="6">
        <v>33.049999999999997</v>
      </c>
      <c r="Y1337" s="21">
        <v>-620677.05305131304</v>
      </c>
      <c r="Z1337" s="6">
        <v>-14957</v>
      </c>
      <c r="AA1337" s="6">
        <v>-7.1713428052305801</v>
      </c>
    </row>
    <row r="1338" spans="1:27" x14ac:dyDescent="0.25">
      <c r="A1338" s="7" t="str">
        <f t="shared" si="20"/>
        <v>3927Swedish First Hill481121077700 PHYSICAL THERAPY FH</v>
      </c>
      <c r="B1338" s="7"/>
      <c r="C1338" s="29" t="s">
        <v>185</v>
      </c>
      <c r="D1338" s="29" t="s">
        <v>521</v>
      </c>
      <c r="E1338" s="29" t="s">
        <v>186</v>
      </c>
      <c r="F1338" s="29">
        <v>3927</v>
      </c>
      <c r="G1338" s="4" t="s">
        <v>522</v>
      </c>
      <c r="H1338" s="5">
        <v>4811</v>
      </c>
      <c r="I1338" s="4" t="s">
        <v>124</v>
      </c>
      <c r="J1338" s="4" t="s">
        <v>41</v>
      </c>
      <c r="K1338" s="4" t="s">
        <v>610</v>
      </c>
      <c r="L1338" s="4" t="s">
        <v>79</v>
      </c>
      <c r="M1338" s="6">
        <v>1616.08</v>
      </c>
      <c r="N1338" s="6">
        <v>1842.48</v>
      </c>
      <c r="O1338" s="19">
        <v>0.5</v>
      </c>
      <c r="P1338" s="6">
        <v>24.9</v>
      </c>
      <c r="Q1338" s="6">
        <v>22.01</v>
      </c>
      <c r="R1338" s="19">
        <v>0.1429</v>
      </c>
      <c r="S1338" s="20">
        <v>15</v>
      </c>
      <c r="T1338" s="6">
        <v>23.2</v>
      </c>
      <c r="U1338" s="6">
        <v>24.48</v>
      </c>
      <c r="V1338" s="6">
        <v>25.23</v>
      </c>
      <c r="W1338" s="19">
        <v>0.87480000000000002</v>
      </c>
      <c r="X1338" s="6">
        <v>22.29</v>
      </c>
      <c r="Y1338" s="21">
        <v>-213461.61672485399</v>
      </c>
      <c r="Z1338" s="6">
        <v>-5069</v>
      </c>
      <c r="AA1338" s="6">
        <v>-2.4302910826634299</v>
      </c>
    </row>
    <row r="1339" spans="1:27" x14ac:dyDescent="0.25">
      <c r="A1339" s="7" t="str">
        <f t="shared" si="20"/>
        <v>3927Swedish First Hill121121061710 GENERAL MEDICAL</v>
      </c>
      <c r="B1339" s="7"/>
      <c r="C1339" s="29" t="s">
        <v>185</v>
      </c>
      <c r="D1339" s="29" t="s">
        <v>521</v>
      </c>
      <c r="E1339" s="29" t="s">
        <v>186</v>
      </c>
      <c r="F1339" s="29">
        <v>3927</v>
      </c>
      <c r="G1339" s="4" t="s">
        <v>522</v>
      </c>
      <c r="H1339" s="5">
        <v>1211</v>
      </c>
      <c r="I1339" s="4" t="s">
        <v>161</v>
      </c>
      <c r="J1339" s="4" t="s">
        <v>23</v>
      </c>
      <c r="K1339" s="4" t="s">
        <v>599</v>
      </c>
      <c r="L1339" s="4" t="s">
        <v>74</v>
      </c>
      <c r="M1339" s="6">
        <v>8020.04</v>
      </c>
      <c r="N1339" s="6">
        <v>8726</v>
      </c>
      <c r="O1339" s="19">
        <v>0.5</v>
      </c>
      <c r="P1339" s="6">
        <v>9.93</v>
      </c>
      <c r="Q1339" s="6">
        <v>10.15</v>
      </c>
      <c r="R1339" s="19">
        <v>0.15379999999999999</v>
      </c>
      <c r="S1339" s="20">
        <v>15</v>
      </c>
      <c r="T1339" s="6">
        <v>10.28</v>
      </c>
      <c r="U1339" s="6">
        <v>10.48</v>
      </c>
      <c r="V1339" s="6">
        <v>11.44</v>
      </c>
      <c r="W1339" s="19">
        <v>0.87050000000000005</v>
      </c>
      <c r="X1339" s="6">
        <v>48.9</v>
      </c>
      <c r="Y1339" s="21">
        <v>-127444.25995653401</v>
      </c>
      <c r="Z1339" s="6">
        <v>-3062</v>
      </c>
      <c r="AA1339" s="6">
        <v>-1.46813550283616</v>
      </c>
    </row>
    <row r="1340" spans="1:27" x14ac:dyDescent="0.25">
      <c r="A1340" s="7" t="str">
        <f t="shared" si="20"/>
        <v>3927Swedish First Hill226721076416 SCI ISSAQUAH</v>
      </c>
      <c r="B1340" s="7"/>
      <c r="C1340" s="29" t="s">
        <v>185</v>
      </c>
      <c r="D1340" s="29" t="s">
        <v>521</v>
      </c>
      <c r="E1340" s="29" t="s">
        <v>186</v>
      </c>
      <c r="F1340" s="29">
        <v>3927</v>
      </c>
      <c r="G1340" s="4" t="s">
        <v>522</v>
      </c>
      <c r="H1340" s="5">
        <v>2267</v>
      </c>
      <c r="I1340" s="4" t="s">
        <v>183</v>
      </c>
      <c r="J1340" s="4" t="s">
        <v>176</v>
      </c>
      <c r="K1340" s="4" t="s">
        <v>570</v>
      </c>
      <c r="L1340" s="4" t="s">
        <v>77</v>
      </c>
      <c r="M1340" s="6">
        <v>4220</v>
      </c>
      <c r="N1340" s="6">
        <v>6115</v>
      </c>
      <c r="O1340" s="19">
        <v>0.42859999999999998</v>
      </c>
      <c r="P1340" s="6">
        <v>2.0699999999999998</v>
      </c>
      <c r="Q1340" s="6">
        <v>1.71</v>
      </c>
      <c r="R1340" s="19">
        <v>0.1429</v>
      </c>
      <c r="S1340" s="20">
        <v>15</v>
      </c>
      <c r="T1340" s="6">
        <v>1.88</v>
      </c>
      <c r="U1340" s="6">
        <v>2.16</v>
      </c>
      <c r="V1340" s="6">
        <v>2.46</v>
      </c>
      <c r="W1340" s="19">
        <v>0.89739999999999998</v>
      </c>
      <c r="X1340" s="6">
        <v>5.6</v>
      </c>
      <c r="Y1340" s="21">
        <v>-172801.24756494199</v>
      </c>
      <c r="Z1340" s="6">
        <v>-3039</v>
      </c>
      <c r="AA1340" s="6">
        <v>-1.4568730734900499</v>
      </c>
    </row>
    <row r="1341" spans="1:27" x14ac:dyDescent="0.25">
      <c r="A1341" s="7" t="str">
        <f t="shared" si="20"/>
        <v>3927Swedish First Hill227621074296 SCI RECONSTRUCTIVE SURGERY</v>
      </c>
      <c r="B1341" s="7"/>
      <c r="C1341" s="29" t="s">
        <v>185</v>
      </c>
      <c r="D1341" s="29" t="s">
        <v>521</v>
      </c>
      <c r="E1341" s="29" t="s">
        <v>186</v>
      </c>
      <c r="F1341" s="29">
        <v>3927</v>
      </c>
      <c r="G1341" s="4" t="s">
        <v>522</v>
      </c>
      <c r="H1341" s="5">
        <v>2276</v>
      </c>
      <c r="I1341" s="4" t="s">
        <v>553</v>
      </c>
      <c r="J1341" s="4" t="s">
        <v>176</v>
      </c>
      <c r="K1341" s="4" t="s">
        <v>554</v>
      </c>
      <c r="L1341" s="4" t="s">
        <v>77</v>
      </c>
      <c r="M1341" s="6">
        <v>0</v>
      </c>
      <c r="N1341" s="6">
        <v>4042</v>
      </c>
      <c r="O1341" s="19">
        <v>0.42859999999999998</v>
      </c>
      <c r="P1341" s="7"/>
      <c r="Q1341" s="6">
        <v>1.18</v>
      </c>
      <c r="R1341" s="19">
        <v>0.1333</v>
      </c>
      <c r="S1341" s="20">
        <v>15</v>
      </c>
      <c r="T1341" s="6">
        <v>1.33</v>
      </c>
      <c r="U1341" s="6">
        <v>1.55</v>
      </c>
      <c r="V1341" s="6">
        <v>1.69</v>
      </c>
      <c r="W1341" s="19">
        <v>0.9476</v>
      </c>
      <c r="X1341" s="6">
        <v>2.42</v>
      </c>
      <c r="Y1341" s="21">
        <v>-81267.983796314496</v>
      </c>
      <c r="Z1341" s="6">
        <v>-1564</v>
      </c>
      <c r="AA1341" s="6">
        <v>-0.74994052628733898</v>
      </c>
    </row>
    <row r="1342" spans="1:27" x14ac:dyDescent="0.25">
      <c r="A1342" s="7" t="str">
        <f t="shared" si="20"/>
        <v>3927Swedish First Hill127221063800 POSTPARTUM</v>
      </c>
      <c r="B1342" s="7"/>
      <c r="C1342" s="29" t="s">
        <v>185</v>
      </c>
      <c r="D1342" s="29" t="s">
        <v>521</v>
      </c>
      <c r="E1342" s="29" t="s">
        <v>186</v>
      </c>
      <c r="F1342" s="29">
        <v>3927</v>
      </c>
      <c r="G1342" s="4" t="s">
        <v>522</v>
      </c>
      <c r="H1342" s="5">
        <v>1272</v>
      </c>
      <c r="I1342" s="4" t="s">
        <v>112</v>
      </c>
      <c r="J1342" s="4" t="s">
        <v>23</v>
      </c>
      <c r="K1342" s="4" t="s">
        <v>531</v>
      </c>
      <c r="L1342" s="4" t="s">
        <v>74</v>
      </c>
      <c r="M1342" s="6">
        <v>18358.29</v>
      </c>
      <c r="N1342" s="6">
        <v>23926</v>
      </c>
      <c r="O1342" s="19">
        <v>0.85709999999999997</v>
      </c>
      <c r="P1342" s="6">
        <v>8.06</v>
      </c>
      <c r="Q1342" s="6">
        <v>8.1199999999999992</v>
      </c>
      <c r="R1342" s="19">
        <v>0.61539999999999995</v>
      </c>
      <c r="S1342" s="20">
        <v>15</v>
      </c>
      <c r="T1342" s="6">
        <v>7.16</v>
      </c>
      <c r="U1342" s="6">
        <v>7.44</v>
      </c>
      <c r="V1342" s="6">
        <v>7.83</v>
      </c>
      <c r="W1342" s="19">
        <v>0.88039999999999996</v>
      </c>
      <c r="X1342" s="6">
        <v>106.12</v>
      </c>
      <c r="Y1342" s="21">
        <v>954017.57875762298</v>
      </c>
      <c r="Z1342" s="6">
        <v>19143</v>
      </c>
      <c r="AA1342" s="6">
        <v>9.1781822430001192</v>
      </c>
    </row>
    <row r="1343" spans="1:27" x14ac:dyDescent="0.25">
      <c r="A1343" s="7" t="str">
        <f t="shared" si="20"/>
        <v>3927Swedish First Hill444021077103 EDMONDS CANCER PHARMACY</v>
      </c>
      <c r="B1343" s="7"/>
      <c r="C1343" s="29" t="s">
        <v>185</v>
      </c>
      <c r="D1343" s="29" t="s">
        <v>521</v>
      </c>
      <c r="E1343" s="29" t="s">
        <v>186</v>
      </c>
      <c r="F1343" s="29">
        <v>3927</v>
      </c>
      <c r="G1343" s="4" t="s">
        <v>522</v>
      </c>
      <c r="H1343" s="5">
        <v>4440</v>
      </c>
      <c r="I1343" s="4" t="s">
        <v>278</v>
      </c>
      <c r="J1343" s="4" t="s">
        <v>37</v>
      </c>
      <c r="K1343" s="4" t="s">
        <v>603</v>
      </c>
      <c r="L1343" s="4" t="s">
        <v>279</v>
      </c>
      <c r="M1343" s="6">
        <v>18798</v>
      </c>
      <c r="N1343" s="6">
        <v>20632</v>
      </c>
      <c r="O1343" s="19">
        <v>0.4667</v>
      </c>
      <c r="P1343" s="6">
        <v>0.37</v>
      </c>
      <c r="Q1343" s="6">
        <v>0.28999999999999998</v>
      </c>
      <c r="R1343" s="19">
        <v>0.30769999999999997</v>
      </c>
      <c r="S1343" s="20">
        <v>16</v>
      </c>
      <c r="T1343" s="6">
        <v>0.26</v>
      </c>
      <c r="U1343" s="6">
        <v>0.28999999999999998</v>
      </c>
      <c r="V1343" s="6">
        <v>0.32</v>
      </c>
      <c r="W1343" s="19">
        <v>0.93600000000000005</v>
      </c>
      <c r="X1343" s="6">
        <v>3.04</v>
      </c>
      <c r="Y1343" s="21">
        <v>-2620.1218729315601</v>
      </c>
      <c r="Z1343" s="6">
        <v>-52</v>
      </c>
      <c r="AA1343" s="6">
        <v>-2.4867029003769602E-2</v>
      </c>
    </row>
    <row r="1344" spans="1:27" x14ac:dyDescent="0.25">
      <c r="A1344" s="7" t="str">
        <f t="shared" si="20"/>
        <v>3927Swedish First Hill341221076498 INTERVENTIONAL RADIOLOGY</v>
      </c>
      <c r="B1344" s="7"/>
      <c r="C1344" s="29" t="s">
        <v>185</v>
      </c>
      <c r="D1344" s="29" t="s">
        <v>521</v>
      </c>
      <c r="E1344" s="29" t="s">
        <v>186</v>
      </c>
      <c r="F1344" s="29">
        <v>3927</v>
      </c>
      <c r="G1344" s="4" t="s">
        <v>522</v>
      </c>
      <c r="H1344" s="5">
        <v>3412</v>
      </c>
      <c r="I1344" s="4" t="s">
        <v>118</v>
      </c>
      <c r="J1344" s="4" t="s">
        <v>57</v>
      </c>
      <c r="K1344" s="4" t="s">
        <v>572</v>
      </c>
      <c r="L1344" s="4" t="s">
        <v>99</v>
      </c>
      <c r="M1344" s="6">
        <v>147010.73000000001</v>
      </c>
      <c r="N1344" s="6">
        <v>157546.95000000001</v>
      </c>
      <c r="O1344" s="19">
        <v>0.4667</v>
      </c>
      <c r="P1344" s="6">
        <v>0.18</v>
      </c>
      <c r="Q1344" s="6">
        <v>0.2</v>
      </c>
      <c r="R1344" s="19">
        <v>0.47060000000000002</v>
      </c>
      <c r="S1344" s="20">
        <v>16</v>
      </c>
      <c r="T1344" s="6">
        <v>0.16</v>
      </c>
      <c r="U1344" s="6">
        <v>0.19</v>
      </c>
      <c r="V1344" s="6">
        <v>0.2</v>
      </c>
      <c r="W1344" s="19">
        <v>0.90590000000000004</v>
      </c>
      <c r="X1344" s="6">
        <v>16.34</v>
      </c>
      <c r="Y1344" s="21">
        <v>56196.077563436498</v>
      </c>
      <c r="Z1344" s="6">
        <v>1037</v>
      </c>
      <c r="AA1344" s="6">
        <v>0.49721603598636199</v>
      </c>
    </row>
    <row r="1345" spans="1:27" x14ac:dyDescent="0.25">
      <c r="A1345" s="7" t="str">
        <f t="shared" si="20"/>
        <v>3927Swedish First Hill301121074300 AMBULATORY/21074708 AMB PATIENT CHG</v>
      </c>
      <c r="B1345" s="7"/>
      <c r="C1345" s="29" t="s">
        <v>185</v>
      </c>
      <c r="D1345" s="29" t="s">
        <v>521</v>
      </c>
      <c r="E1345" s="29" t="s">
        <v>186</v>
      </c>
      <c r="F1345" s="29">
        <v>3927</v>
      </c>
      <c r="G1345" s="4" t="s">
        <v>522</v>
      </c>
      <c r="H1345" s="5">
        <v>3011</v>
      </c>
      <c r="I1345" s="4" t="s">
        <v>87</v>
      </c>
      <c r="J1345" s="4" t="s">
        <v>47</v>
      </c>
      <c r="K1345" s="4" t="s">
        <v>555</v>
      </c>
      <c r="L1345" s="4" t="s">
        <v>88</v>
      </c>
      <c r="M1345" s="6">
        <v>6257.74</v>
      </c>
      <c r="N1345" s="6">
        <v>6461.81</v>
      </c>
      <c r="O1345" s="19">
        <v>0.4622</v>
      </c>
      <c r="P1345" s="6">
        <v>11.14</v>
      </c>
      <c r="Q1345" s="6">
        <v>11.86</v>
      </c>
      <c r="R1345" s="19">
        <v>0.64459999999999995</v>
      </c>
      <c r="S1345" s="20">
        <v>16</v>
      </c>
      <c r="T1345" s="6">
        <v>10.59</v>
      </c>
      <c r="U1345" s="6">
        <v>10.66</v>
      </c>
      <c r="V1345" s="6">
        <v>11.19</v>
      </c>
      <c r="W1345" s="19">
        <v>0.87929999999999997</v>
      </c>
      <c r="X1345" s="6">
        <v>41.91</v>
      </c>
      <c r="Y1345" s="21">
        <v>357976.74618104298</v>
      </c>
      <c r="Z1345" s="6">
        <v>9073</v>
      </c>
      <c r="AA1345" s="6">
        <v>4.3502688917276702</v>
      </c>
    </row>
    <row r="1346" spans="1:27" x14ac:dyDescent="0.25">
      <c r="A1346" s="7" t="str">
        <f t="shared" si="20"/>
        <v>3927Swedish First Hill111021061300 TELEMETRY</v>
      </c>
      <c r="B1346" s="7"/>
      <c r="C1346" s="29" t="s">
        <v>185</v>
      </c>
      <c r="D1346" s="29" t="s">
        <v>521</v>
      </c>
      <c r="E1346" s="29" t="s">
        <v>186</v>
      </c>
      <c r="F1346" s="29">
        <v>3927</v>
      </c>
      <c r="G1346" s="4" t="s">
        <v>522</v>
      </c>
      <c r="H1346" s="5">
        <v>1110</v>
      </c>
      <c r="I1346" s="4" t="s">
        <v>111</v>
      </c>
      <c r="J1346" s="4" t="s">
        <v>23</v>
      </c>
      <c r="K1346" s="4" t="s">
        <v>526</v>
      </c>
      <c r="L1346" s="4" t="s">
        <v>74</v>
      </c>
      <c r="M1346" s="6">
        <v>8133.04</v>
      </c>
      <c r="N1346" s="6">
        <v>7560</v>
      </c>
      <c r="O1346" s="19">
        <v>0.3125</v>
      </c>
      <c r="P1346" s="6">
        <v>11.58</v>
      </c>
      <c r="Q1346" s="6">
        <v>12.67</v>
      </c>
      <c r="R1346" s="19">
        <v>0.875</v>
      </c>
      <c r="S1346" s="20">
        <v>17</v>
      </c>
      <c r="T1346" s="6">
        <v>10.45</v>
      </c>
      <c r="U1346" s="6">
        <v>10.92</v>
      </c>
      <c r="V1346" s="6">
        <v>11.48</v>
      </c>
      <c r="W1346" s="19">
        <v>0.89029999999999998</v>
      </c>
      <c r="X1346" s="6">
        <v>51.72</v>
      </c>
      <c r="Y1346" s="21">
        <v>586421.68908446399</v>
      </c>
      <c r="Z1346" s="6">
        <v>15145</v>
      </c>
      <c r="AA1346" s="6">
        <v>7.2613552955723604</v>
      </c>
    </row>
    <row r="1347" spans="1:27" x14ac:dyDescent="0.25">
      <c r="A1347" s="7" t="str">
        <f t="shared" ref="A1347:A1410" si="21">F1347&amp;G1347&amp;H1347&amp;K1347</f>
        <v>3927Swedish First Hill101021060100 INTENSIVE CARE</v>
      </c>
      <c r="B1347" s="7"/>
      <c r="C1347" s="29" t="s">
        <v>185</v>
      </c>
      <c r="D1347" s="29" t="s">
        <v>521</v>
      </c>
      <c r="E1347" s="29" t="s">
        <v>186</v>
      </c>
      <c r="F1347" s="29">
        <v>3927</v>
      </c>
      <c r="G1347" s="4" t="s">
        <v>522</v>
      </c>
      <c r="H1347" s="5">
        <v>1010</v>
      </c>
      <c r="I1347" s="4" t="s">
        <v>287</v>
      </c>
      <c r="J1347" s="4" t="s">
        <v>23</v>
      </c>
      <c r="K1347" s="4" t="s">
        <v>523</v>
      </c>
      <c r="L1347" s="4" t="s">
        <v>74</v>
      </c>
      <c r="M1347" s="6">
        <v>12441.79</v>
      </c>
      <c r="N1347" s="6">
        <v>12513</v>
      </c>
      <c r="O1347" s="19">
        <v>0.94120000000000004</v>
      </c>
      <c r="P1347" s="6">
        <v>19.47</v>
      </c>
      <c r="Q1347" s="6">
        <v>20.48</v>
      </c>
      <c r="R1347" s="19">
        <v>0.58819999999999995</v>
      </c>
      <c r="S1347" s="20">
        <v>18</v>
      </c>
      <c r="T1347" s="6">
        <v>18.170000000000002</v>
      </c>
      <c r="U1347" s="6">
        <v>19.07</v>
      </c>
      <c r="V1347" s="6">
        <v>20.12</v>
      </c>
      <c r="W1347" s="19">
        <v>0.89370000000000005</v>
      </c>
      <c r="X1347" s="6">
        <v>137.83000000000001</v>
      </c>
      <c r="Y1347" s="21">
        <v>1038136.0344791299</v>
      </c>
      <c r="Z1347" s="6">
        <v>20467</v>
      </c>
      <c r="AA1347" s="6">
        <v>9.8127367751724499</v>
      </c>
    </row>
    <row r="1348" spans="1:27" x14ac:dyDescent="0.25">
      <c r="A1348" s="7" t="str">
        <f t="shared" si="21"/>
        <v>3927Swedish First Hill341221075700 CARDIAC CATHERIZATION</v>
      </c>
      <c r="B1348" s="7"/>
      <c r="C1348" s="29" t="s">
        <v>185</v>
      </c>
      <c r="D1348" s="29" t="s">
        <v>521</v>
      </c>
      <c r="E1348" s="29" t="s">
        <v>186</v>
      </c>
      <c r="F1348" s="29">
        <v>3927</v>
      </c>
      <c r="G1348" s="4" t="s">
        <v>522</v>
      </c>
      <c r="H1348" s="5">
        <v>3412</v>
      </c>
      <c r="I1348" s="4" t="s">
        <v>118</v>
      </c>
      <c r="J1348" s="4" t="s">
        <v>57</v>
      </c>
      <c r="K1348" s="4" t="s">
        <v>561</v>
      </c>
      <c r="L1348" s="4" t="s">
        <v>99</v>
      </c>
      <c r="M1348" s="6">
        <v>13347.03</v>
      </c>
      <c r="N1348" s="6">
        <v>47063.16</v>
      </c>
      <c r="O1348" s="19">
        <v>0.47060000000000002</v>
      </c>
      <c r="P1348" s="6">
        <v>0.14000000000000001</v>
      </c>
      <c r="Q1348" s="6">
        <v>0.22</v>
      </c>
      <c r="R1348" s="19">
        <v>0.3125</v>
      </c>
      <c r="S1348" s="20">
        <v>18</v>
      </c>
      <c r="T1348" s="6">
        <v>0.21</v>
      </c>
      <c r="U1348" s="6">
        <v>0.24</v>
      </c>
      <c r="V1348" s="6">
        <v>0.26</v>
      </c>
      <c r="W1348" s="19">
        <v>0.95399999999999996</v>
      </c>
      <c r="X1348" s="6">
        <v>5.21</v>
      </c>
      <c r="Y1348" s="21">
        <v>-47997.462710093001</v>
      </c>
      <c r="Z1348" s="6">
        <v>-973</v>
      </c>
      <c r="AA1348" s="6">
        <v>-0.46664989176069599</v>
      </c>
    </row>
    <row r="1349" spans="1:27" x14ac:dyDescent="0.25">
      <c r="A1349" s="7" t="str">
        <f t="shared" si="21"/>
        <v>3927Swedish First Hill224221074303 SCI COLORECTAL SURGERY</v>
      </c>
      <c r="B1349" s="7"/>
      <c r="C1349" s="29" t="s">
        <v>185</v>
      </c>
      <c r="D1349" s="29" t="s">
        <v>521</v>
      </c>
      <c r="E1349" s="29" t="s">
        <v>186</v>
      </c>
      <c r="F1349" s="29">
        <v>3927</v>
      </c>
      <c r="G1349" s="4" t="s">
        <v>522</v>
      </c>
      <c r="H1349" s="5">
        <v>2242</v>
      </c>
      <c r="I1349" s="4" t="s">
        <v>537</v>
      </c>
      <c r="J1349" s="4" t="s">
        <v>176</v>
      </c>
      <c r="K1349" s="4" t="s">
        <v>556</v>
      </c>
      <c r="L1349" s="4" t="s">
        <v>77</v>
      </c>
      <c r="M1349" s="6">
        <v>8543</v>
      </c>
      <c r="N1349" s="6">
        <v>9340</v>
      </c>
      <c r="O1349" s="19">
        <v>0.47060000000000002</v>
      </c>
      <c r="P1349" s="6">
        <v>1.17</v>
      </c>
      <c r="Q1349" s="6">
        <v>1.78</v>
      </c>
      <c r="R1349" s="19">
        <v>0.4667</v>
      </c>
      <c r="S1349" s="20">
        <v>18</v>
      </c>
      <c r="T1349" s="6">
        <v>1.55</v>
      </c>
      <c r="U1349" s="6">
        <v>1.66</v>
      </c>
      <c r="V1349" s="6">
        <v>1.82</v>
      </c>
      <c r="W1349" s="19">
        <v>0.87809999999999999</v>
      </c>
      <c r="X1349" s="6">
        <v>9.08</v>
      </c>
      <c r="Y1349" s="21">
        <v>43996.801771911698</v>
      </c>
      <c r="Z1349" s="6">
        <v>1281</v>
      </c>
      <c r="AA1349" s="6">
        <v>0.61437267522379502</v>
      </c>
    </row>
    <row r="1350" spans="1:27" x14ac:dyDescent="0.25">
      <c r="A1350" s="7" t="str">
        <f t="shared" si="21"/>
        <v>3927Swedish First Hill341121076300 MEDICAL IMAGING</v>
      </c>
      <c r="B1350" s="7"/>
      <c r="C1350" s="29" t="s">
        <v>185</v>
      </c>
      <c r="D1350" s="29" t="s">
        <v>521</v>
      </c>
      <c r="E1350" s="29" t="s">
        <v>186</v>
      </c>
      <c r="F1350" s="29">
        <v>3927</v>
      </c>
      <c r="G1350" s="4" t="s">
        <v>522</v>
      </c>
      <c r="H1350" s="5">
        <v>3411</v>
      </c>
      <c r="I1350" s="4" t="s">
        <v>117</v>
      </c>
      <c r="J1350" s="4" t="s">
        <v>57</v>
      </c>
      <c r="K1350" s="4" t="s">
        <v>563</v>
      </c>
      <c r="L1350" s="4" t="s">
        <v>99</v>
      </c>
      <c r="M1350" s="6">
        <v>52678.74</v>
      </c>
      <c r="N1350" s="6">
        <v>55303.87</v>
      </c>
      <c r="O1350" s="19">
        <v>0.52939999999999998</v>
      </c>
      <c r="P1350" s="6">
        <v>0.86</v>
      </c>
      <c r="Q1350" s="6">
        <v>0.76</v>
      </c>
      <c r="R1350" s="19">
        <v>0.64710000000000001</v>
      </c>
      <c r="S1350" s="20">
        <v>18</v>
      </c>
      <c r="T1350" s="6">
        <v>0.57999999999999996</v>
      </c>
      <c r="U1350" s="6">
        <v>0.59</v>
      </c>
      <c r="V1350" s="6">
        <v>0.64</v>
      </c>
      <c r="W1350" s="19">
        <v>0.85489999999999999</v>
      </c>
      <c r="X1350" s="6">
        <v>23.61</v>
      </c>
      <c r="Y1350" s="21">
        <v>475220.14083619398</v>
      </c>
      <c r="Z1350" s="6">
        <v>11076</v>
      </c>
      <c r="AA1350" s="6">
        <v>5.3104514243909202</v>
      </c>
    </row>
    <row r="1351" spans="1:27" x14ac:dyDescent="0.25">
      <c r="A1351" s="7" t="str">
        <f t="shared" si="21"/>
        <v>3927Swedish First Hill511121083401 DIET CONSULTANTS</v>
      </c>
      <c r="B1351" s="7"/>
      <c r="C1351" s="29" t="s">
        <v>185</v>
      </c>
      <c r="D1351" s="29" t="s">
        <v>521</v>
      </c>
      <c r="E1351" s="29" t="s">
        <v>186</v>
      </c>
      <c r="F1351" s="29">
        <v>3927</v>
      </c>
      <c r="G1351" s="4" t="s">
        <v>522</v>
      </c>
      <c r="H1351" s="5">
        <v>5111</v>
      </c>
      <c r="I1351" s="4" t="s">
        <v>64</v>
      </c>
      <c r="J1351" s="4" t="s">
        <v>65</v>
      </c>
      <c r="K1351" s="4" t="s">
        <v>586</v>
      </c>
      <c r="L1351" s="4" t="s">
        <v>67</v>
      </c>
      <c r="M1351" s="6">
        <v>63190</v>
      </c>
      <c r="N1351" s="6">
        <v>90940</v>
      </c>
      <c r="O1351" s="19">
        <v>0.4118</v>
      </c>
      <c r="P1351" s="6">
        <v>0.42</v>
      </c>
      <c r="Q1351" s="6">
        <v>0.35</v>
      </c>
      <c r="R1351" s="19">
        <v>0.2</v>
      </c>
      <c r="S1351" s="20">
        <v>18</v>
      </c>
      <c r="T1351" s="6">
        <v>0.35</v>
      </c>
      <c r="U1351" s="6">
        <v>0.36</v>
      </c>
      <c r="V1351" s="6">
        <v>0.41</v>
      </c>
      <c r="W1351" s="19">
        <v>0.88859999999999995</v>
      </c>
      <c r="X1351" s="6">
        <v>17.190000000000001</v>
      </c>
      <c r="Y1351" s="21">
        <v>-29979.253549274301</v>
      </c>
      <c r="Z1351" s="6">
        <v>-989</v>
      </c>
      <c r="AA1351" s="6">
        <v>-0.47441667977534202</v>
      </c>
    </row>
    <row r="1352" spans="1:27" x14ac:dyDescent="0.25">
      <c r="A1352" s="7" t="str">
        <f t="shared" si="21"/>
        <v>3927Swedish First Hill106021060500 PEDIATRIC INTENSIVE CARE</v>
      </c>
      <c r="B1352" s="7"/>
      <c r="C1352" s="29" t="s">
        <v>185</v>
      </c>
      <c r="D1352" s="29" t="s">
        <v>521</v>
      </c>
      <c r="E1352" s="29" t="s">
        <v>186</v>
      </c>
      <c r="F1352" s="29">
        <v>3927</v>
      </c>
      <c r="G1352" s="4" t="s">
        <v>522</v>
      </c>
      <c r="H1352" s="5">
        <v>1060</v>
      </c>
      <c r="I1352" s="4" t="s">
        <v>159</v>
      </c>
      <c r="J1352" s="4" t="s">
        <v>23</v>
      </c>
      <c r="K1352" s="4" t="s">
        <v>524</v>
      </c>
      <c r="L1352" s="4" t="s">
        <v>74</v>
      </c>
      <c r="M1352" s="6">
        <v>967.46</v>
      </c>
      <c r="N1352" s="6">
        <v>1242</v>
      </c>
      <c r="O1352" s="19">
        <v>0.44440000000000002</v>
      </c>
      <c r="P1352" s="6">
        <v>22.34</v>
      </c>
      <c r="Q1352" s="6">
        <v>20.28</v>
      </c>
      <c r="R1352" s="19">
        <v>0.17649999999999999</v>
      </c>
      <c r="S1352" s="20">
        <v>19</v>
      </c>
      <c r="T1352" s="6">
        <v>20.54</v>
      </c>
      <c r="U1352" s="6">
        <v>21.3</v>
      </c>
      <c r="V1352" s="6">
        <v>22.37</v>
      </c>
      <c r="W1352" s="19">
        <v>0.90810000000000002</v>
      </c>
      <c r="X1352" s="6">
        <v>13.33</v>
      </c>
      <c r="Y1352" s="21">
        <v>-74353.593595793296</v>
      </c>
      <c r="Z1352" s="6">
        <v>-1329</v>
      </c>
      <c r="AA1352" s="6">
        <v>-0.63740359443248495</v>
      </c>
    </row>
    <row r="1353" spans="1:27" x14ac:dyDescent="0.25">
      <c r="A1353" s="7" t="str">
        <f t="shared" si="21"/>
        <v>3927Swedish First Hill481221077705 WEST SEATTLE REHAB SVCS</v>
      </c>
      <c r="B1353" s="7"/>
      <c r="C1353" s="29" t="s">
        <v>185</v>
      </c>
      <c r="D1353" s="29" t="s">
        <v>521</v>
      </c>
      <c r="E1353" s="29" t="s">
        <v>186</v>
      </c>
      <c r="F1353" s="29">
        <v>3927</v>
      </c>
      <c r="G1353" s="4" t="s">
        <v>522</v>
      </c>
      <c r="H1353" s="5">
        <v>4812</v>
      </c>
      <c r="I1353" s="4" t="s">
        <v>78</v>
      </c>
      <c r="J1353" s="4" t="s">
        <v>41</v>
      </c>
      <c r="K1353" s="4" t="s">
        <v>611</v>
      </c>
      <c r="L1353" s="4" t="s">
        <v>79</v>
      </c>
      <c r="M1353" s="6">
        <v>296.72000000000003</v>
      </c>
      <c r="N1353" s="6">
        <v>295.64999999999998</v>
      </c>
      <c r="O1353" s="19">
        <v>0.55559999999999998</v>
      </c>
      <c r="P1353" s="6">
        <v>17.850000000000001</v>
      </c>
      <c r="Q1353" s="6">
        <v>19.62</v>
      </c>
      <c r="R1353" s="19">
        <v>6.6699999999999995E-2</v>
      </c>
      <c r="S1353" s="20">
        <v>19</v>
      </c>
      <c r="T1353" s="6">
        <v>22.7</v>
      </c>
      <c r="U1353" s="6">
        <v>23.41</v>
      </c>
      <c r="V1353" s="6">
        <v>25.1</v>
      </c>
      <c r="W1353" s="19">
        <v>0.89510000000000001</v>
      </c>
      <c r="X1353" s="6">
        <v>3.12</v>
      </c>
      <c r="Y1353" s="21">
        <v>-55682.976747763103</v>
      </c>
      <c r="Z1353" s="6">
        <v>-1225</v>
      </c>
      <c r="AA1353" s="6">
        <v>-0.58728435783733302</v>
      </c>
    </row>
    <row r="1354" spans="1:27" x14ac:dyDescent="0.25">
      <c r="A1354" s="7" t="str">
        <f t="shared" si="21"/>
        <v>3927Swedish First Hill224221071919 SCI THORACIC SURGERY</v>
      </c>
      <c r="B1354" s="7"/>
      <c r="C1354" s="29" t="s">
        <v>185</v>
      </c>
      <c r="D1354" s="29" t="s">
        <v>521</v>
      </c>
      <c r="E1354" s="29" t="s">
        <v>186</v>
      </c>
      <c r="F1354" s="29">
        <v>3927</v>
      </c>
      <c r="G1354" s="4" t="s">
        <v>522</v>
      </c>
      <c r="H1354" s="5">
        <v>2242</v>
      </c>
      <c r="I1354" s="4" t="s">
        <v>537</v>
      </c>
      <c r="J1354" s="4" t="s">
        <v>176</v>
      </c>
      <c r="K1354" s="4" t="s">
        <v>540</v>
      </c>
      <c r="L1354" s="4" t="s">
        <v>77</v>
      </c>
      <c r="M1354" s="6">
        <v>5511</v>
      </c>
      <c r="N1354" s="6">
        <v>6419</v>
      </c>
      <c r="O1354" s="19">
        <v>0.44440000000000002</v>
      </c>
      <c r="P1354" s="6">
        <v>1.17</v>
      </c>
      <c r="Q1354" s="6">
        <v>1.56</v>
      </c>
      <c r="R1354" s="19">
        <v>0.38890000000000002</v>
      </c>
      <c r="S1354" s="20">
        <v>19</v>
      </c>
      <c r="T1354" s="6">
        <v>1.22</v>
      </c>
      <c r="U1354" s="6">
        <v>1.44</v>
      </c>
      <c r="V1354" s="6">
        <v>1.85</v>
      </c>
      <c r="W1354" s="19">
        <v>0.90769999999999995</v>
      </c>
      <c r="X1354" s="6">
        <v>5.31</v>
      </c>
      <c r="Y1354" s="21">
        <v>46167.5333878253</v>
      </c>
      <c r="Z1354" s="6">
        <v>892</v>
      </c>
      <c r="AA1354" s="6">
        <v>0.42757375801325398</v>
      </c>
    </row>
    <row r="1355" spans="1:27" x14ac:dyDescent="0.25">
      <c r="A1355" s="7" t="str">
        <f t="shared" si="21"/>
        <v>3927Swedish First Hill229921087010 Ambulatory Services Administration</v>
      </c>
      <c r="B1355" s="7"/>
      <c r="C1355" s="29" t="s">
        <v>185</v>
      </c>
      <c r="D1355" s="29" t="s">
        <v>521</v>
      </c>
      <c r="E1355" s="29" t="s">
        <v>186</v>
      </c>
      <c r="F1355" s="29">
        <v>3927</v>
      </c>
      <c r="G1355" s="4" t="s">
        <v>522</v>
      </c>
      <c r="H1355" s="5">
        <v>2299</v>
      </c>
      <c r="I1355" s="4" t="s">
        <v>187</v>
      </c>
      <c r="J1355" s="4" t="s">
        <v>176</v>
      </c>
      <c r="K1355" s="4" t="s">
        <v>595</v>
      </c>
      <c r="L1355" s="4" t="s">
        <v>188</v>
      </c>
      <c r="M1355" s="6">
        <v>113325</v>
      </c>
      <c r="N1355" s="6">
        <v>122202</v>
      </c>
      <c r="O1355" s="19">
        <v>0.5</v>
      </c>
      <c r="P1355" s="6">
        <v>0.96</v>
      </c>
      <c r="Q1355" s="6">
        <v>0.87</v>
      </c>
      <c r="R1355" s="19">
        <v>0.94120000000000004</v>
      </c>
      <c r="S1355" s="20">
        <v>19</v>
      </c>
      <c r="T1355" s="6">
        <v>0.27</v>
      </c>
      <c r="U1355" s="6">
        <v>0.37</v>
      </c>
      <c r="V1355" s="6">
        <v>0.41</v>
      </c>
      <c r="W1355" s="19">
        <v>0.89270000000000005</v>
      </c>
      <c r="X1355" s="6">
        <v>57.35</v>
      </c>
      <c r="Y1355" s="21">
        <v>2312264.1773701399</v>
      </c>
      <c r="Z1355" s="6">
        <v>68966</v>
      </c>
      <c r="AA1355" s="6">
        <v>33.065863691582997</v>
      </c>
    </row>
    <row r="1356" spans="1:27" x14ac:dyDescent="0.25">
      <c r="A1356" s="7" t="str">
        <f t="shared" si="21"/>
        <v>3927Swedish First Hill121221061720 GENERAL SURGICAL</v>
      </c>
      <c r="B1356" s="7"/>
      <c r="C1356" s="29" t="s">
        <v>185</v>
      </c>
      <c r="D1356" s="29" t="s">
        <v>521</v>
      </c>
      <c r="E1356" s="29" t="s">
        <v>186</v>
      </c>
      <c r="F1356" s="29">
        <v>3927</v>
      </c>
      <c r="G1356" s="4" t="s">
        <v>522</v>
      </c>
      <c r="H1356" s="5">
        <v>1212</v>
      </c>
      <c r="I1356" s="4" t="s">
        <v>160</v>
      </c>
      <c r="J1356" s="4" t="s">
        <v>23</v>
      </c>
      <c r="K1356" s="4" t="s">
        <v>601</v>
      </c>
      <c r="L1356" s="4" t="s">
        <v>74</v>
      </c>
      <c r="M1356" s="6">
        <v>8687.92</v>
      </c>
      <c r="N1356" s="6">
        <v>8970</v>
      </c>
      <c r="O1356" s="19">
        <v>0.42109999999999997</v>
      </c>
      <c r="P1356" s="6">
        <v>10.119999999999999</v>
      </c>
      <c r="Q1356" s="6">
        <v>10.87</v>
      </c>
      <c r="R1356" s="19">
        <v>0.42109999999999997</v>
      </c>
      <c r="S1356" s="20">
        <v>20</v>
      </c>
      <c r="T1356" s="6">
        <v>10.4</v>
      </c>
      <c r="U1356" s="6">
        <v>10.82</v>
      </c>
      <c r="V1356" s="6">
        <v>10.87</v>
      </c>
      <c r="W1356" s="19">
        <v>0.89670000000000005</v>
      </c>
      <c r="X1356" s="6">
        <v>52.27</v>
      </c>
      <c r="Y1356" s="21">
        <v>32670.305169711799</v>
      </c>
      <c r="Z1356" s="6">
        <v>783</v>
      </c>
      <c r="AA1356" s="6">
        <v>0.37557635432137498</v>
      </c>
    </row>
    <row r="1357" spans="1:27" x14ac:dyDescent="0.25">
      <c r="A1357" s="7" t="str">
        <f t="shared" si="21"/>
        <v>3927Swedish First Hill345021076700 ULTRASOUND</v>
      </c>
      <c r="B1357" s="7"/>
      <c r="C1357" s="29" t="s">
        <v>185</v>
      </c>
      <c r="D1357" s="29" t="s">
        <v>521</v>
      </c>
      <c r="E1357" s="29" t="s">
        <v>186</v>
      </c>
      <c r="F1357" s="29">
        <v>3927</v>
      </c>
      <c r="G1357" s="4" t="s">
        <v>522</v>
      </c>
      <c r="H1357" s="5">
        <v>3450</v>
      </c>
      <c r="I1357" s="4" t="s">
        <v>122</v>
      </c>
      <c r="J1357" s="4" t="s">
        <v>57</v>
      </c>
      <c r="K1357" s="4" t="s">
        <v>575</v>
      </c>
      <c r="L1357" s="4" t="s">
        <v>99</v>
      </c>
      <c r="M1357" s="6">
        <v>46066.45</v>
      </c>
      <c r="N1357" s="6">
        <v>47182.39</v>
      </c>
      <c r="O1357" s="19">
        <v>0.63160000000000005</v>
      </c>
      <c r="P1357" s="6">
        <v>0.49</v>
      </c>
      <c r="Q1357" s="6">
        <v>0.47</v>
      </c>
      <c r="R1357" s="19">
        <v>0.47060000000000002</v>
      </c>
      <c r="S1357" s="20">
        <v>20</v>
      </c>
      <c r="T1357" s="6">
        <v>0.42</v>
      </c>
      <c r="U1357" s="6">
        <v>0.46</v>
      </c>
      <c r="V1357" s="6">
        <v>0.49</v>
      </c>
      <c r="W1357" s="19">
        <v>0.90539999999999998</v>
      </c>
      <c r="X1357" s="6">
        <v>11.88</v>
      </c>
      <c r="Y1357" s="21">
        <v>38724.289313374698</v>
      </c>
      <c r="Z1357" s="6">
        <v>807</v>
      </c>
      <c r="AA1357" s="6">
        <v>0.38668164490652002</v>
      </c>
    </row>
    <row r="1358" spans="1:27" x14ac:dyDescent="0.25">
      <c r="A1358" s="7" t="str">
        <f t="shared" si="21"/>
        <v>3927Swedish First Hill302021074278 AMBULATORY SURGERY RECOVERY C Level</v>
      </c>
      <c r="B1358" s="7"/>
      <c r="C1358" s="29" t="s">
        <v>185</v>
      </c>
      <c r="D1358" s="29" t="s">
        <v>521</v>
      </c>
      <c r="E1358" s="29" t="s">
        <v>186</v>
      </c>
      <c r="F1358" s="29">
        <v>3927</v>
      </c>
      <c r="G1358" s="4" t="s">
        <v>522</v>
      </c>
      <c r="H1358" s="5">
        <v>3020</v>
      </c>
      <c r="I1358" s="4" t="s">
        <v>89</v>
      </c>
      <c r="J1358" s="4" t="s">
        <v>47</v>
      </c>
      <c r="K1358" s="4" t="s">
        <v>549</v>
      </c>
      <c r="L1358" s="4" t="s">
        <v>90</v>
      </c>
      <c r="M1358" s="6">
        <v>3435.76</v>
      </c>
      <c r="N1358" s="6">
        <v>3596.06</v>
      </c>
      <c r="O1358" s="19">
        <v>0.42109999999999997</v>
      </c>
      <c r="P1358" s="6">
        <v>4.59</v>
      </c>
      <c r="Q1358" s="6">
        <v>4.28</v>
      </c>
      <c r="R1358" s="19">
        <v>0.47370000000000001</v>
      </c>
      <c r="S1358" s="20">
        <v>20</v>
      </c>
      <c r="T1358" s="6">
        <v>3.21</v>
      </c>
      <c r="U1358" s="6">
        <v>3.73</v>
      </c>
      <c r="V1358" s="6">
        <v>4.29</v>
      </c>
      <c r="W1358" s="19">
        <v>0.85119999999999996</v>
      </c>
      <c r="X1358" s="6">
        <v>8.69</v>
      </c>
      <c r="Y1358" s="21">
        <v>107417.91515726699</v>
      </c>
      <c r="Z1358" s="6">
        <v>2367</v>
      </c>
      <c r="AA1358" s="6">
        <v>1.1346897121862001</v>
      </c>
    </row>
    <row r="1359" spans="1:27" x14ac:dyDescent="0.25">
      <c r="A1359" s="7" t="str">
        <f t="shared" si="21"/>
        <v>3927Swedish First Hill344021076391 MOBILE BREAST CANCER SVCS</v>
      </c>
      <c r="B1359" s="7"/>
      <c r="C1359" s="29" t="s">
        <v>185</v>
      </c>
      <c r="D1359" s="29" t="s">
        <v>521</v>
      </c>
      <c r="E1359" s="29" t="s">
        <v>186</v>
      </c>
      <c r="F1359" s="29">
        <v>3927</v>
      </c>
      <c r="G1359" s="4" t="s">
        <v>522</v>
      </c>
      <c r="H1359" s="5">
        <v>3440</v>
      </c>
      <c r="I1359" s="4" t="s">
        <v>119</v>
      </c>
      <c r="J1359" s="4" t="s">
        <v>57</v>
      </c>
      <c r="K1359" s="4" t="s">
        <v>565</v>
      </c>
      <c r="L1359" s="4" t="s">
        <v>99</v>
      </c>
      <c r="M1359" s="6">
        <v>11863.5</v>
      </c>
      <c r="N1359" s="6">
        <v>15010.47</v>
      </c>
      <c r="O1359" s="19">
        <v>0.57889999999999997</v>
      </c>
      <c r="P1359" s="6">
        <v>1.05</v>
      </c>
      <c r="Q1359" s="6">
        <v>0.78</v>
      </c>
      <c r="R1359" s="19">
        <v>0.73680000000000001</v>
      </c>
      <c r="S1359" s="20">
        <v>20</v>
      </c>
      <c r="T1359" s="6">
        <v>0.56000000000000005</v>
      </c>
      <c r="U1359" s="6">
        <v>0.56999999999999995</v>
      </c>
      <c r="V1359" s="6">
        <v>0.6</v>
      </c>
      <c r="W1359" s="19">
        <v>0.8821</v>
      </c>
      <c r="X1359" s="6">
        <v>6.36</v>
      </c>
      <c r="Y1359" s="21">
        <v>127239.31617328701</v>
      </c>
      <c r="Z1359" s="6">
        <v>3566</v>
      </c>
      <c r="AA1359" s="6">
        <v>1.7095017711121501</v>
      </c>
    </row>
    <row r="1360" spans="1:27" x14ac:dyDescent="0.25">
      <c r="A1360" s="7" t="str">
        <f t="shared" si="21"/>
        <v>3927Swedish First Hill349921086107 MEDICAL IMAGING ADMIN</v>
      </c>
      <c r="B1360" s="7"/>
      <c r="C1360" s="29" t="s">
        <v>185</v>
      </c>
      <c r="D1360" s="29" t="s">
        <v>521</v>
      </c>
      <c r="E1360" s="29" t="s">
        <v>186</v>
      </c>
      <c r="F1360" s="29">
        <v>3927</v>
      </c>
      <c r="G1360" s="4" t="s">
        <v>522</v>
      </c>
      <c r="H1360" s="5">
        <v>3499</v>
      </c>
      <c r="I1360" s="4" t="s">
        <v>56</v>
      </c>
      <c r="J1360" s="4" t="s">
        <v>57</v>
      </c>
      <c r="K1360" s="4" t="s">
        <v>593</v>
      </c>
      <c r="L1360" s="4" t="s">
        <v>58</v>
      </c>
      <c r="M1360" s="6">
        <v>595022.91</v>
      </c>
      <c r="N1360" s="6">
        <v>588906.06000000006</v>
      </c>
      <c r="O1360" s="19">
        <v>0.57889999999999997</v>
      </c>
      <c r="P1360" s="6">
        <v>0.06</v>
      </c>
      <c r="Q1360" s="6">
        <v>0.06</v>
      </c>
      <c r="R1360" s="19">
        <v>0.68420000000000003</v>
      </c>
      <c r="S1360" s="20">
        <v>20</v>
      </c>
      <c r="T1360" s="6">
        <v>0.04</v>
      </c>
      <c r="U1360" s="6">
        <v>0.04</v>
      </c>
      <c r="V1360" s="6">
        <v>0.06</v>
      </c>
      <c r="W1360" s="19">
        <v>0.87350000000000005</v>
      </c>
      <c r="X1360" s="6">
        <v>21.03</v>
      </c>
      <c r="Y1360" s="21">
        <v>604135.20223247202</v>
      </c>
      <c r="Z1360" s="6">
        <v>16895</v>
      </c>
      <c r="AA1360" s="6">
        <v>8.1002161657465308</v>
      </c>
    </row>
    <row r="1361" spans="1:27" x14ac:dyDescent="0.25">
      <c r="A1361" s="7" t="str">
        <f t="shared" si="21"/>
        <v>3927Swedish First Hill181021077158 INTRAVENOUS NURSES</v>
      </c>
      <c r="B1361" s="7"/>
      <c r="C1361" s="29" t="s">
        <v>185</v>
      </c>
      <c r="D1361" s="29" t="s">
        <v>521</v>
      </c>
      <c r="E1361" s="29" t="s">
        <v>186</v>
      </c>
      <c r="F1361" s="29">
        <v>3927</v>
      </c>
      <c r="G1361" s="4" t="s">
        <v>522</v>
      </c>
      <c r="H1361" s="5">
        <v>1810</v>
      </c>
      <c r="I1361" s="4" t="s">
        <v>162</v>
      </c>
      <c r="J1361" s="4" t="s">
        <v>23</v>
      </c>
      <c r="K1361" s="4" t="s">
        <v>607</v>
      </c>
      <c r="L1361" s="4" t="s">
        <v>163</v>
      </c>
      <c r="M1361" s="6">
        <v>0.93</v>
      </c>
      <c r="N1361" s="6">
        <v>18.309999999999999</v>
      </c>
      <c r="O1361" s="19">
        <v>0.21049999999999999</v>
      </c>
      <c r="P1361" s="6">
        <v>49448.32</v>
      </c>
      <c r="Q1361" s="6">
        <v>3737.7</v>
      </c>
      <c r="R1361" s="19">
        <v>0.94740000000000002</v>
      </c>
      <c r="S1361" s="20">
        <v>20</v>
      </c>
      <c r="T1361" s="6">
        <v>60.85</v>
      </c>
      <c r="U1361" s="6">
        <v>79.87</v>
      </c>
      <c r="V1361" s="6">
        <v>242.97</v>
      </c>
      <c r="W1361" s="19">
        <v>0.88009999999999999</v>
      </c>
      <c r="X1361" s="6">
        <v>37.380000000000003</v>
      </c>
      <c r="Y1361" s="21">
        <v>4026053.8338816599</v>
      </c>
      <c r="Z1361" s="6">
        <v>76302</v>
      </c>
      <c r="AA1361" s="6">
        <v>36.583312200163</v>
      </c>
    </row>
    <row r="1362" spans="1:27" x14ac:dyDescent="0.25">
      <c r="A1362" s="7" t="str">
        <f t="shared" si="21"/>
        <v>3927Swedish First Hill592521083700 CENTRAL DISPATCH AND TRANSPORT/21086109 PERIO SUPPORT</v>
      </c>
      <c r="B1362" s="7"/>
      <c r="C1362" s="29" t="s">
        <v>185</v>
      </c>
      <c r="D1362" s="29" t="s">
        <v>521</v>
      </c>
      <c r="E1362" s="29" t="s">
        <v>186</v>
      </c>
      <c r="F1362" s="29">
        <v>3927</v>
      </c>
      <c r="G1362" s="4" t="s">
        <v>522</v>
      </c>
      <c r="H1362" s="5">
        <v>5925</v>
      </c>
      <c r="I1362" s="4" t="s">
        <v>135</v>
      </c>
      <c r="J1362" s="4" t="s">
        <v>136</v>
      </c>
      <c r="K1362" s="4" t="s">
        <v>588</v>
      </c>
      <c r="L1362" s="4" t="s">
        <v>137</v>
      </c>
      <c r="M1362" s="6">
        <v>888.75</v>
      </c>
      <c r="N1362" s="6">
        <v>1700.47</v>
      </c>
      <c r="O1362" s="19">
        <v>0.55000000000000004</v>
      </c>
      <c r="P1362" s="6">
        <v>68.930000000000007</v>
      </c>
      <c r="Q1362" s="6">
        <v>43.3</v>
      </c>
      <c r="R1362" s="19">
        <v>0.31580000000000003</v>
      </c>
      <c r="S1362" s="20">
        <v>21</v>
      </c>
      <c r="T1362" s="6">
        <v>43.03</v>
      </c>
      <c r="U1362" s="6">
        <v>45.18</v>
      </c>
      <c r="V1362" s="6">
        <v>57.36</v>
      </c>
      <c r="W1362" s="19">
        <v>0.8911</v>
      </c>
      <c r="X1362" s="6">
        <v>39.72</v>
      </c>
      <c r="Y1362" s="21">
        <v>-75327.918476262799</v>
      </c>
      <c r="Z1362" s="6">
        <v>-3372</v>
      </c>
      <c r="AA1362" s="6">
        <v>-1.6168059580646801</v>
      </c>
    </row>
    <row r="1363" spans="1:27" x14ac:dyDescent="0.25">
      <c r="A1363" s="7" t="str">
        <f t="shared" si="21"/>
        <v>3927Swedish First Hill4899Rehabilitation Services Administration (N)</v>
      </c>
      <c r="B1363" s="7"/>
      <c r="C1363" s="29" t="s">
        <v>185</v>
      </c>
      <c r="D1363" s="29" t="s">
        <v>521</v>
      </c>
      <c r="E1363" s="29" t="s">
        <v>186</v>
      </c>
      <c r="F1363" s="29">
        <v>3927</v>
      </c>
      <c r="G1363" s="4" t="s">
        <v>522</v>
      </c>
      <c r="H1363" s="5">
        <v>4899</v>
      </c>
      <c r="I1363" s="4" t="s">
        <v>40</v>
      </c>
      <c r="J1363" s="4" t="s">
        <v>41</v>
      </c>
      <c r="K1363" s="4" t="s">
        <v>615</v>
      </c>
      <c r="L1363" s="4" t="s">
        <v>43</v>
      </c>
      <c r="M1363" s="6">
        <v>4852.3900000000003</v>
      </c>
      <c r="N1363" s="6">
        <v>5281.94</v>
      </c>
      <c r="O1363" s="19">
        <v>0.6</v>
      </c>
      <c r="P1363" s="6">
        <v>4.96</v>
      </c>
      <c r="Q1363" s="6">
        <v>3.45</v>
      </c>
      <c r="R1363" s="19">
        <v>0.26319999999999999</v>
      </c>
      <c r="S1363" s="20">
        <v>21</v>
      </c>
      <c r="T1363" s="6">
        <v>3.42</v>
      </c>
      <c r="U1363" s="6">
        <v>3.65</v>
      </c>
      <c r="V1363" s="6">
        <v>4.37</v>
      </c>
      <c r="W1363" s="19">
        <v>0.90749999999999997</v>
      </c>
      <c r="X1363" s="6">
        <v>9.65</v>
      </c>
      <c r="Y1363" s="21">
        <v>-32339.051726887701</v>
      </c>
      <c r="Z1363" s="6">
        <v>-1117</v>
      </c>
      <c r="AA1363" s="6">
        <v>-0.53562899323228297</v>
      </c>
    </row>
    <row r="1364" spans="1:27" x14ac:dyDescent="0.25">
      <c r="A1364" s="7" t="str">
        <f t="shared" si="21"/>
        <v>3927Swedish First Hill4010Issaquah Radiation Therapy (N)</v>
      </c>
      <c r="B1364" s="7"/>
      <c r="C1364" s="29" t="s">
        <v>185</v>
      </c>
      <c r="D1364" s="29" t="s">
        <v>521</v>
      </c>
      <c r="E1364" s="29" t="s">
        <v>186</v>
      </c>
      <c r="F1364" s="29">
        <v>3927</v>
      </c>
      <c r="G1364" s="4" t="s">
        <v>522</v>
      </c>
      <c r="H1364" s="5">
        <v>4010</v>
      </c>
      <c r="I1364" s="4" t="s">
        <v>152</v>
      </c>
      <c r="J1364" s="4" t="s">
        <v>153</v>
      </c>
      <c r="K1364" s="4" t="s">
        <v>613</v>
      </c>
      <c r="L1364" s="4" t="s">
        <v>99</v>
      </c>
      <c r="M1364" s="6">
        <v>36911.97</v>
      </c>
      <c r="N1364" s="6">
        <v>32011.07</v>
      </c>
      <c r="O1364" s="19">
        <v>0.5</v>
      </c>
      <c r="P1364" s="6">
        <v>0.36</v>
      </c>
      <c r="Q1364" s="6">
        <v>0.43</v>
      </c>
      <c r="R1364" s="19">
        <v>0.47370000000000001</v>
      </c>
      <c r="S1364" s="20">
        <v>21</v>
      </c>
      <c r="T1364" s="6">
        <v>0.35</v>
      </c>
      <c r="U1364" s="6">
        <v>0.38</v>
      </c>
      <c r="V1364" s="6">
        <v>0.43</v>
      </c>
      <c r="W1364" s="19">
        <v>0.88070000000000004</v>
      </c>
      <c r="X1364" s="6">
        <v>7.44</v>
      </c>
      <c r="Y1364" s="21">
        <v>110179.143216782</v>
      </c>
      <c r="Z1364" s="6">
        <v>1706</v>
      </c>
      <c r="AA1364" s="6">
        <v>0.81777472936537199</v>
      </c>
    </row>
    <row r="1365" spans="1:27" x14ac:dyDescent="0.25">
      <c r="A1365" s="7" t="str">
        <f t="shared" si="21"/>
        <v>3927Swedish First Hill302021074276 ORTHO SURGERY RECOVERY</v>
      </c>
      <c r="B1365" s="7"/>
      <c r="C1365" s="29" t="s">
        <v>185</v>
      </c>
      <c r="D1365" s="29" t="s">
        <v>521</v>
      </c>
      <c r="E1365" s="29" t="s">
        <v>186</v>
      </c>
      <c r="F1365" s="29">
        <v>3927</v>
      </c>
      <c r="G1365" s="4" t="s">
        <v>522</v>
      </c>
      <c r="H1365" s="5">
        <v>3020</v>
      </c>
      <c r="I1365" s="4" t="s">
        <v>89</v>
      </c>
      <c r="J1365" s="4" t="s">
        <v>47</v>
      </c>
      <c r="K1365" s="4" t="s">
        <v>548</v>
      </c>
      <c r="L1365" s="4" t="s">
        <v>90</v>
      </c>
      <c r="M1365" s="6">
        <v>5285.84</v>
      </c>
      <c r="N1365" s="6">
        <v>5572.55</v>
      </c>
      <c r="O1365" s="19">
        <v>0.6</v>
      </c>
      <c r="P1365" s="6">
        <v>3.92</v>
      </c>
      <c r="Q1365" s="6">
        <v>4.26</v>
      </c>
      <c r="R1365" s="19">
        <v>0.95</v>
      </c>
      <c r="S1365" s="20">
        <v>21</v>
      </c>
      <c r="T1365" s="6">
        <v>3.38</v>
      </c>
      <c r="U1365" s="6">
        <v>3.54</v>
      </c>
      <c r="V1365" s="6">
        <v>4.05</v>
      </c>
      <c r="W1365" s="19">
        <v>0.88480000000000003</v>
      </c>
      <c r="X1365" s="6">
        <v>12.91</v>
      </c>
      <c r="Y1365" s="21">
        <v>219462.82249513801</v>
      </c>
      <c r="Z1365" s="6">
        <v>4631</v>
      </c>
      <c r="AA1365" s="6">
        <v>2.2204288862391199</v>
      </c>
    </row>
    <row r="1366" spans="1:27" x14ac:dyDescent="0.25">
      <c r="A1366" s="7" t="str">
        <f t="shared" si="21"/>
        <v>3927Swedish First Hill301121074200 SURGERY/21074232 PERFUSION SERVICES/21074704 SURGERY PATIENT CHARGEABLE</v>
      </c>
      <c r="B1366" s="7"/>
      <c r="C1366" s="29" t="s">
        <v>185</v>
      </c>
      <c r="D1366" s="29" t="s">
        <v>521</v>
      </c>
      <c r="E1366" s="29" t="s">
        <v>186</v>
      </c>
      <c r="F1366" s="29">
        <v>3927</v>
      </c>
      <c r="G1366" s="4" t="s">
        <v>522</v>
      </c>
      <c r="H1366" s="5">
        <v>3011</v>
      </c>
      <c r="I1366" s="4" t="s">
        <v>87</v>
      </c>
      <c r="J1366" s="4" t="s">
        <v>47</v>
      </c>
      <c r="K1366" s="4" t="s">
        <v>544</v>
      </c>
      <c r="L1366" s="4" t="s">
        <v>88</v>
      </c>
      <c r="M1366" s="6">
        <v>13844.25</v>
      </c>
      <c r="N1366" s="6">
        <v>15675.25</v>
      </c>
      <c r="O1366" s="19">
        <v>0.6</v>
      </c>
      <c r="P1366" s="6">
        <v>10.09</v>
      </c>
      <c r="Q1366" s="6">
        <v>11.52</v>
      </c>
      <c r="R1366" s="19">
        <v>0.55000000000000004</v>
      </c>
      <c r="S1366" s="20">
        <v>21</v>
      </c>
      <c r="T1366" s="6">
        <v>10.7</v>
      </c>
      <c r="U1366" s="6">
        <v>10.97</v>
      </c>
      <c r="V1366" s="6">
        <v>11.31</v>
      </c>
      <c r="W1366" s="19">
        <v>0.90380000000000005</v>
      </c>
      <c r="X1366" s="6">
        <v>96.03</v>
      </c>
      <c r="Y1366" s="21">
        <v>498665.15140581998</v>
      </c>
      <c r="Z1366" s="6">
        <v>10029</v>
      </c>
      <c r="AA1366" s="6">
        <v>4.8085596208867099</v>
      </c>
    </row>
    <row r="1367" spans="1:27" x14ac:dyDescent="0.25">
      <c r="A1367" s="7" t="str">
        <f t="shared" si="21"/>
        <v>3927Swedish First Hill307021074701-02 FH STERILE PROCESSING/ORTHO SURG STERILE PROCESSING/21084060 PDC</v>
      </c>
      <c r="B1367" s="7"/>
      <c r="C1367" s="29" t="s">
        <v>185</v>
      </c>
      <c r="D1367" s="29" t="s">
        <v>521</v>
      </c>
      <c r="E1367" s="29" t="s">
        <v>186</v>
      </c>
      <c r="F1367" s="29">
        <v>3927</v>
      </c>
      <c r="G1367" s="4" t="s">
        <v>522</v>
      </c>
      <c r="H1367" s="5">
        <v>3070</v>
      </c>
      <c r="I1367" s="4" t="s">
        <v>91</v>
      </c>
      <c r="J1367" s="4" t="s">
        <v>47</v>
      </c>
      <c r="K1367" s="4" t="s">
        <v>559</v>
      </c>
      <c r="L1367" s="4" t="s">
        <v>92</v>
      </c>
      <c r="M1367" s="6">
        <v>7561.86</v>
      </c>
      <c r="N1367" s="6">
        <v>8029.37</v>
      </c>
      <c r="O1367" s="19">
        <v>0.85709999999999997</v>
      </c>
      <c r="P1367" s="6">
        <v>17.7</v>
      </c>
      <c r="Q1367" s="6">
        <v>17.100000000000001</v>
      </c>
      <c r="R1367" s="19">
        <v>0.3</v>
      </c>
      <c r="S1367" s="20">
        <v>22</v>
      </c>
      <c r="T1367" s="6">
        <v>16.34</v>
      </c>
      <c r="U1367" s="6">
        <v>17.149999999999999</v>
      </c>
      <c r="V1367" s="6">
        <v>18.14</v>
      </c>
      <c r="W1367" s="19">
        <v>0.89149999999999996</v>
      </c>
      <c r="X1367" s="6">
        <v>74.06</v>
      </c>
      <c r="Y1367" s="21">
        <v>113.364947712469</v>
      </c>
      <c r="Z1367" s="6">
        <v>4</v>
      </c>
      <c r="AA1367" s="6">
        <v>1.9271216591363301E-3</v>
      </c>
    </row>
    <row r="1368" spans="1:27" x14ac:dyDescent="0.25">
      <c r="A1368" s="7" t="str">
        <f t="shared" si="21"/>
        <v>3927Swedish First Hill481221077706 FACTORIA REHAB SVCS</v>
      </c>
      <c r="B1368" s="7"/>
      <c r="C1368" s="29" t="s">
        <v>185</v>
      </c>
      <c r="D1368" s="29" t="s">
        <v>521</v>
      </c>
      <c r="E1368" s="29" t="s">
        <v>186</v>
      </c>
      <c r="F1368" s="29">
        <v>3927</v>
      </c>
      <c r="G1368" s="4" t="s">
        <v>522</v>
      </c>
      <c r="H1368" s="5">
        <v>4812</v>
      </c>
      <c r="I1368" s="4" t="s">
        <v>78</v>
      </c>
      <c r="J1368" s="4" t="s">
        <v>41</v>
      </c>
      <c r="K1368" s="4" t="s">
        <v>579</v>
      </c>
      <c r="L1368" s="4" t="s">
        <v>79</v>
      </c>
      <c r="M1368" s="6">
        <v>237.08</v>
      </c>
      <c r="N1368" s="6">
        <v>203</v>
      </c>
      <c r="O1368" s="19">
        <v>0.52380000000000004</v>
      </c>
      <c r="P1368" s="6">
        <v>20.29</v>
      </c>
      <c r="Q1368" s="6">
        <v>23.97</v>
      </c>
      <c r="R1368" s="19">
        <v>0.42859999999999998</v>
      </c>
      <c r="S1368" s="20">
        <v>22</v>
      </c>
      <c r="T1368" s="6">
        <v>20.39</v>
      </c>
      <c r="U1368" s="6">
        <v>22.66</v>
      </c>
      <c r="V1368" s="6">
        <v>24.85</v>
      </c>
      <c r="W1368" s="19">
        <v>0.86370000000000002</v>
      </c>
      <c r="X1368" s="6">
        <v>2.71</v>
      </c>
      <c r="Y1368" s="21">
        <v>14447.224897566</v>
      </c>
      <c r="Z1368" s="6">
        <v>326</v>
      </c>
      <c r="AA1368" s="6">
        <v>0.15646871706016999</v>
      </c>
    </row>
    <row r="1369" spans="1:27" x14ac:dyDescent="0.25">
      <c r="A1369" s="7" t="str">
        <f t="shared" si="21"/>
        <v>3927Swedish First Hill126021062900 PEDIATRIC UNIT</v>
      </c>
      <c r="B1369" s="7"/>
      <c r="C1369" s="29" t="s">
        <v>185</v>
      </c>
      <c r="D1369" s="29" t="s">
        <v>521</v>
      </c>
      <c r="E1369" s="29" t="s">
        <v>186</v>
      </c>
      <c r="F1369" s="29">
        <v>3927</v>
      </c>
      <c r="G1369" s="4" t="s">
        <v>522</v>
      </c>
      <c r="H1369" s="5">
        <v>1260</v>
      </c>
      <c r="I1369" s="4" t="s">
        <v>173</v>
      </c>
      <c r="J1369" s="4" t="s">
        <v>23</v>
      </c>
      <c r="K1369" s="4" t="s">
        <v>530</v>
      </c>
      <c r="L1369" s="4" t="s">
        <v>74</v>
      </c>
      <c r="M1369" s="6">
        <v>3887.67</v>
      </c>
      <c r="N1369" s="6">
        <v>3865</v>
      </c>
      <c r="O1369" s="19">
        <v>0.42859999999999998</v>
      </c>
      <c r="P1369" s="6">
        <v>13.49</v>
      </c>
      <c r="Q1369" s="6">
        <v>14.21</v>
      </c>
      <c r="R1369" s="19">
        <v>0.6</v>
      </c>
      <c r="S1369" s="20">
        <v>22</v>
      </c>
      <c r="T1369" s="6">
        <v>13.29</v>
      </c>
      <c r="U1369" s="6">
        <v>13.75</v>
      </c>
      <c r="V1369" s="6">
        <v>14.04</v>
      </c>
      <c r="W1369" s="19">
        <v>0.87350000000000005</v>
      </c>
      <c r="X1369" s="6">
        <v>30.23</v>
      </c>
      <c r="Y1369" s="21">
        <v>98925.424337830904</v>
      </c>
      <c r="Z1369" s="6">
        <v>2211</v>
      </c>
      <c r="AA1369" s="6">
        <v>1.05993170245149</v>
      </c>
    </row>
    <row r="1370" spans="1:27" x14ac:dyDescent="0.25">
      <c r="A1370" s="7" t="str">
        <f t="shared" si="21"/>
        <v>3927Swedish First Hill449021077104 PHARMACY RESIDENCY Admin</v>
      </c>
      <c r="B1370" s="7"/>
      <c r="C1370" s="29" t="s">
        <v>185</v>
      </c>
      <c r="D1370" s="29" t="s">
        <v>521</v>
      </c>
      <c r="E1370" s="29" t="s">
        <v>186</v>
      </c>
      <c r="F1370" s="29">
        <v>3927</v>
      </c>
      <c r="G1370" s="4" t="s">
        <v>522</v>
      </c>
      <c r="H1370" s="5">
        <v>4490</v>
      </c>
      <c r="I1370" s="4" t="s">
        <v>36</v>
      </c>
      <c r="J1370" s="4" t="s">
        <v>37</v>
      </c>
      <c r="K1370" s="4" t="s">
        <v>604</v>
      </c>
      <c r="L1370" s="4" t="s">
        <v>39</v>
      </c>
      <c r="M1370" s="6">
        <v>77682.66</v>
      </c>
      <c r="N1370" s="6">
        <v>80046.539999999994</v>
      </c>
      <c r="O1370" s="19">
        <v>0.52380000000000004</v>
      </c>
      <c r="P1370" s="6">
        <v>0.41</v>
      </c>
      <c r="Q1370" s="6">
        <v>0.38</v>
      </c>
      <c r="R1370" s="19">
        <v>0.5</v>
      </c>
      <c r="S1370" s="20">
        <v>22</v>
      </c>
      <c r="T1370" s="6">
        <v>0.26</v>
      </c>
      <c r="U1370" s="6">
        <v>0.28000000000000003</v>
      </c>
      <c r="V1370" s="6">
        <v>0.38</v>
      </c>
      <c r="W1370" s="19">
        <v>0.91549999999999998</v>
      </c>
      <c r="X1370" s="6">
        <v>15.98</v>
      </c>
      <c r="Y1370" s="21">
        <v>430896.02034034202</v>
      </c>
      <c r="Z1370" s="6">
        <v>8848</v>
      </c>
      <c r="AA1370" s="6">
        <v>4.2420999824374297</v>
      </c>
    </row>
    <row r="1371" spans="1:27" x14ac:dyDescent="0.25">
      <c r="A1371" s="7" t="str">
        <f t="shared" si="21"/>
        <v>3927Swedish First Hill661021086100 ADMINISTRATION/21086105 OB NEONATAL ADMIN/21087904 ORTHOPEDICS ADMIN</v>
      </c>
      <c r="B1371" s="7"/>
      <c r="C1371" s="29" t="s">
        <v>185</v>
      </c>
      <c r="D1371" s="29" t="s">
        <v>521</v>
      </c>
      <c r="E1371" s="29" t="s">
        <v>186</v>
      </c>
      <c r="F1371" s="29">
        <v>3927</v>
      </c>
      <c r="G1371" s="4" t="s">
        <v>522</v>
      </c>
      <c r="H1371" s="5">
        <v>6610</v>
      </c>
      <c r="I1371" s="4" t="s">
        <v>72</v>
      </c>
      <c r="J1371" s="4" t="s">
        <v>72</v>
      </c>
      <c r="K1371" s="4" t="s">
        <v>592</v>
      </c>
      <c r="L1371" s="4" t="s">
        <v>14</v>
      </c>
      <c r="M1371" s="6">
        <v>487.04</v>
      </c>
      <c r="N1371" s="6">
        <v>514.16999999999996</v>
      </c>
      <c r="O1371" s="19">
        <v>0.52380000000000004</v>
      </c>
      <c r="P1371" s="6">
        <v>98.22</v>
      </c>
      <c r="Q1371" s="6">
        <v>112.48</v>
      </c>
      <c r="R1371" s="19">
        <v>0.84209999999999996</v>
      </c>
      <c r="S1371" s="20">
        <v>22</v>
      </c>
      <c r="T1371" s="6">
        <v>71.06</v>
      </c>
      <c r="U1371" s="6">
        <v>80.39</v>
      </c>
      <c r="V1371" s="6">
        <v>93.51</v>
      </c>
      <c r="W1371" s="19">
        <v>0.91339999999999999</v>
      </c>
      <c r="X1371" s="6">
        <v>30.44</v>
      </c>
      <c r="Y1371" s="21">
        <v>1321339.65418473</v>
      </c>
      <c r="Z1371" s="6">
        <v>18236</v>
      </c>
      <c r="AA1371" s="6">
        <v>8.7431886068645603</v>
      </c>
    </row>
    <row r="1372" spans="1:27" x14ac:dyDescent="0.25">
      <c r="A1372" s="7" t="str">
        <f t="shared" si="21"/>
        <v>3927Swedish First Hill309921086123, SURGICAL RESOURCES</v>
      </c>
      <c r="B1372" s="7"/>
      <c r="C1372" s="29" t="s">
        <v>185</v>
      </c>
      <c r="D1372" s="29" t="s">
        <v>521</v>
      </c>
      <c r="E1372" s="29" t="s">
        <v>186</v>
      </c>
      <c r="F1372" s="29">
        <v>3927</v>
      </c>
      <c r="G1372" s="43" t="s">
        <v>522</v>
      </c>
      <c r="H1372" s="42">
        <v>3099</v>
      </c>
      <c r="I1372" s="43" t="s">
        <v>46</v>
      </c>
      <c r="J1372" s="43" t="s">
        <v>47</v>
      </c>
      <c r="K1372" s="43" t="s">
        <v>594</v>
      </c>
      <c r="L1372" s="43" t="s">
        <v>49</v>
      </c>
      <c r="M1372" s="46">
        <v>23347</v>
      </c>
      <c r="N1372" s="46">
        <v>25159</v>
      </c>
      <c r="O1372" s="45">
        <v>0.57140000000000002</v>
      </c>
      <c r="P1372" s="46">
        <v>1.63</v>
      </c>
      <c r="Q1372" s="46">
        <v>1.91</v>
      </c>
      <c r="R1372" s="45">
        <v>0.76190000000000002</v>
      </c>
      <c r="S1372" s="47">
        <v>22</v>
      </c>
      <c r="T1372" s="46">
        <v>0.77</v>
      </c>
      <c r="U1372" s="46">
        <v>1.02</v>
      </c>
      <c r="V1372" s="46">
        <v>1.3</v>
      </c>
      <c r="W1372" s="45">
        <v>0.88139999999999996</v>
      </c>
      <c r="X1372" s="46">
        <v>26.15</v>
      </c>
      <c r="Y1372" s="48">
        <v>937732.74652856705</v>
      </c>
      <c r="Z1372" s="46">
        <v>25426</v>
      </c>
      <c r="AA1372" s="46">
        <v>12.1905386832498</v>
      </c>
    </row>
    <row r="1373" spans="1:27" x14ac:dyDescent="0.25">
      <c r="A1373" s="7" t="str">
        <f t="shared" si="21"/>
        <v>3927Swedish First Hill431021076208 EEG</v>
      </c>
      <c r="B1373" s="7"/>
      <c r="C1373" s="29" t="s">
        <v>185</v>
      </c>
      <c r="D1373" s="29" t="s">
        <v>521</v>
      </c>
      <c r="E1373" s="29" t="s">
        <v>186</v>
      </c>
      <c r="F1373" s="29">
        <v>3927</v>
      </c>
      <c r="G1373" s="4" t="s">
        <v>522</v>
      </c>
      <c r="H1373" s="5">
        <v>4310</v>
      </c>
      <c r="I1373" s="4" t="s">
        <v>115</v>
      </c>
      <c r="J1373" s="4" t="s">
        <v>116</v>
      </c>
      <c r="K1373" s="4" t="s">
        <v>562</v>
      </c>
      <c r="L1373" s="4" t="s">
        <v>99</v>
      </c>
      <c r="M1373" s="6">
        <v>12217.95</v>
      </c>
      <c r="N1373" s="6">
        <v>13799.14</v>
      </c>
      <c r="O1373" s="19">
        <v>0.5</v>
      </c>
      <c r="P1373" s="6">
        <v>0.37</v>
      </c>
      <c r="Q1373" s="6">
        <v>0.33</v>
      </c>
      <c r="R1373" s="19">
        <v>9.0899999999999995E-2</v>
      </c>
      <c r="S1373" s="20">
        <v>23</v>
      </c>
      <c r="T1373" s="6">
        <v>0.56999999999999995</v>
      </c>
      <c r="U1373" s="6">
        <v>0.66</v>
      </c>
      <c r="V1373" s="6">
        <v>0.72</v>
      </c>
      <c r="W1373" s="19">
        <v>0.99650000000000005</v>
      </c>
      <c r="X1373" s="6">
        <v>2.21</v>
      </c>
      <c r="Y1373" s="21">
        <v>-222524.850348073</v>
      </c>
      <c r="Z1373" s="6">
        <v>-4530</v>
      </c>
      <c r="AA1373" s="6">
        <v>-2.1719438899647798</v>
      </c>
    </row>
    <row r="1374" spans="1:27" x14ac:dyDescent="0.25">
      <c r="A1374" s="7" t="str">
        <f t="shared" si="21"/>
        <v>3927Swedish First Hill482121077900 IP OCCUPATIONAL THERAPY FH</v>
      </c>
      <c r="B1374" s="7"/>
      <c r="C1374" s="29" t="s">
        <v>185</v>
      </c>
      <c r="D1374" s="29" t="s">
        <v>521</v>
      </c>
      <c r="E1374" s="29" t="s">
        <v>186</v>
      </c>
      <c r="F1374" s="29">
        <v>3927</v>
      </c>
      <c r="G1374" s="4" t="s">
        <v>522</v>
      </c>
      <c r="H1374" s="5">
        <v>4821</v>
      </c>
      <c r="I1374" s="4" t="s">
        <v>164</v>
      </c>
      <c r="J1374" s="4" t="s">
        <v>41</v>
      </c>
      <c r="K1374" s="4" t="s">
        <v>581</v>
      </c>
      <c r="L1374" s="4" t="s">
        <v>79</v>
      </c>
      <c r="M1374" s="6">
        <v>911.65</v>
      </c>
      <c r="N1374" s="6">
        <v>1102.96</v>
      </c>
      <c r="O1374" s="19">
        <v>0.5</v>
      </c>
      <c r="P1374" s="6">
        <v>24.84</v>
      </c>
      <c r="Q1374" s="6">
        <v>22.85</v>
      </c>
      <c r="R1374" s="19">
        <v>0.28570000000000001</v>
      </c>
      <c r="S1374" s="20">
        <v>23</v>
      </c>
      <c r="T1374" s="6">
        <v>22.48</v>
      </c>
      <c r="U1374" s="6">
        <v>23.45</v>
      </c>
      <c r="V1374" s="6">
        <v>25.64</v>
      </c>
      <c r="W1374" s="19">
        <v>0.90039999999999998</v>
      </c>
      <c r="X1374" s="6">
        <v>13.46</v>
      </c>
      <c r="Y1374" s="21">
        <v>-26571.4023291628</v>
      </c>
      <c r="Z1374" s="6">
        <v>-652</v>
      </c>
      <c r="AA1374" s="6">
        <v>-0.31257931657784299</v>
      </c>
    </row>
    <row r="1375" spans="1:27" x14ac:dyDescent="0.25">
      <c r="A1375" s="7" t="str">
        <f t="shared" si="21"/>
        <v>3927Swedish First Hill303021074294 ORTHO PRE AND POST SURGERY CTR</v>
      </c>
      <c r="B1375" s="7"/>
      <c r="C1375" s="29" t="s">
        <v>185</v>
      </c>
      <c r="D1375" s="29" t="s">
        <v>521</v>
      </c>
      <c r="E1375" s="29" t="s">
        <v>186</v>
      </c>
      <c r="F1375" s="29">
        <v>3927</v>
      </c>
      <c r="G1375" s="4" t="s">
        <v>522</v>
      </c>
      <c r="H1375" s="5">
        <v>3030</v>
      </c>
      <c r="I1375" s="4" t="s">
        <v>80</v>
      </c>
      <c r="J1375" s="4" t="s">
        <v>47</v>
      </c>
      <c r="K1375" s="4" t="s">
        <v>551</v>
      </c>
      <c r="L1375" s="4" t="s">
        <v>81</v>
      </c>
      <c r="M1375" s="6">
        <v>5883.39</v>
      </c>
      <c r="N1375" s="6">
        <v>7993.37</v>
      </c>
      <c r="O1375" s="19">
        <v>0.4783</v>
      </c>
      <c r="P1375" s="6">
        <v>2.4500000000000002</v>
      </c>
      <c r="Q1375" s="6">
        <v>2.16</v>
      </c>
      <c r="R1375" s="19">
        <v>0.15</v>
      </c>
      <c r="S1375" s="20">
        <v>24</v>
      </c>
      <c r="T1375" s="6">
        <v>2.37</v>
      </c>
      <c r="U1375" s="6">
        <v>2.4900000000000002</v>
      </c>
      <c r="V1375" s="6">
        <v>2.91</v>
      </c>
      <c r="W1375" s="19">
        <v>0.87580000000000002</v>
      </c>
      <c r="X1375" s="6">
        <v>9.4600000000000009</v>
      </c>
      <c r="Y1375" s="21">
        <v>-135793.42803912901</v>
      </c>
      <c r="Z1375" s="6">
        <v>-2995</v>
      </c>
      <c r="AA1375" s="6">
        <v>-1.4361351487263601</v>
      </c>
    </row>
    <row r="1376" spans="1:27" x14ac:dyDescent="0.25">
      <c r="A1376" s="7" t="str">
        <f t="shared" si="21"/>
        <v>3927Swedish First Hill2267Oncology / Hematology Clinic Edmonds (N)</v>
      </c>
      <c r="B1376" s="7"/>
      <c r="C1376" s="29" t="s">
        <v>185</v>
      </c>
      <c r="D1376" s="29" t="s">
        <v>521</v>
      </c>
      <c r="E1376" s="29" t="s">
        <v>186</v>
      </c>
      <c r="F1376" s="29">
        <v>3927</v>
      </c>
      <c r="G1376" s="4" t="s">
        <v>522</v>
      </c>
      <c r="H1376" s="5">
        <v>2267</v>
      </c>
      <c r="I1376" s="4" t="s">
        <v>183</v>
      </c>
      <c r="J1376" s="4" t="s">
        <v>176</v>
      </c>
      <c r="K1376" s="4" t="s">
        <v>614</v>
      </c>
      <c r="L1376" s="4" t="s">
        <v>77</v>
      </c>
      <c r="M1376" s="6">
        <v>21208</v>
      </c>
      <c r="N1376" s="6">
        <v>32276</v>
      </c>
      <c r="O1376" s="19">
        <v>0.86960000000000004</v>
      </c>
      <c r="P1376" s="6">
        <v>1.66</v>
      </c>
      <c r="Q1376" s="6">
        <v>1.1499999999999999</v>
      </c>
      <c r="R1376" s="19">
        <v>9.0899999999999995E-2</v>
      </c>
      <c r="S1376" s="20">
        <v>24</v>
      </c>
      <c r="T1376" s="6">
        <v>1.35</v>
      </c>
      <c r="U1376" s="6">
        <v>1.46</v>
      </c>
      <c r="V1376" s="6">
        <v>1.98</v>
      </c>
      <c r="W1376" s="19">
        <v>0.87939999999999996</v>
      </c>
      <c r="X1376" s="6">
        <v>20.260000000000002</v>
      </c>
      <c r="Y1376" s="21">
        <v>-553184.62190198305</v>
      </c>
      <c r="Z1376" s="6">
        <v>-11329</v>
      </c>
      <c r="AA1376" s="6">
        <v>-5.4317838856096499</v>
      </c>
    </row>
    <row r="1377" spans="1:27" x14ac:dyDescent="0.25">
      <c r="A1377" s="7" t="str">
        <f t="shared" si="21"/>
        <v>3927Swedish First Hill224221070780 SCI HEAD AND NECK SURG</v>
      </c>
      <c r="B1377" s="7"/>
      <c r="C1377" s="29" t="s">
        <v>185</v>
      </c>
      <c r="D1377" s="29" t="s">
        <v>521</v>
      </c>
      <c r="E1377" s="29" t="s">
        <v>186</v>
      </c>
      <c r="F1377" s="29">
        <v>3927</v>
      </c>
      <c r="G1377" s="4" t="s">
        <v>522</v>
      </c>
      <c r="H1377" s="5">
        <v>2242</v>
      </c>
      <c r="I1377" s="4" t="s">
        <v>537</v>
      </c>
      <c r="J1377" s="4" t="s">
        <v>176</v>
      </c>
      <c r="K1377" s="4" t="s">
        <v>538</v>
      </c>
      <c r="L1377" s="4" t="s">
        <v>77</v>
      </c>
      <c r="M1377" s="6">
        <v>2760</v>
      </c>
      <c r="N1377" s="6">
        <v>3521</v>
      </c>
      <c r="O1377" s="19">
        <v>0.43480000000000002</v>
      </c>
      <c r="P1377" s="6">
        <v>0.63</v>
      </c>
      <c r="Q1377" s="6">
        <v>2.0099999999999998</v>
      </c>
      <c r="R1377" s="19">
        <v>0.61899999999999999</v>
      </c>
      <c r="S1377" s="20">
        <v>24</v>
      </c>
      <c r="T1377" s="6">
        <v>1.46</v>
      </c>
      <c r="U1377" s="6">
        <v>1.67</v>
      </c>
      <c r="V1377" s="6">
        <v>1.92</v>
      </c>
      <c r="W1377" s="19">
        <v>0.92579999999999996</v>
      </c>
      <c r="X1377" s="6">
        <v>3.68</v>
      </c>
      <c r="Y1377" s="21">
        <v>47847.764827969397</v>
      </c>
      <c r="Z1377" s="6">
        <v>1324</v>
      </c>
      <c r="AA1377" s="6">
        <v>0.63481642510621195</v>
      </c>
    </row>
    <row r="1378" spans="1:27" x14ac:dyDescent="0.25">
      <c r="A1378" s="7" t="str">
        <f t="shared" si="21"/>
        <v>3927Swedish First Hill121121061791 MEDICAL RESPIRATORY</v>
      </c>
      <c r="B1378" s="7"/>
      <c r="C1378" s="29" t="s">
        <v>185</v>
      </c>
      <c r="D1378" s="29" t="s">
        <v>521</v>
      </c>
      <c r="E1378" s="29" t="s">
        <v>186</v>
      </c>
      <c r="F1378" s="29">
        <v>3927</v>
      </c>
      <c r="G1378" s="4" t="s">
        <v>522</v>
      </c>
      <c r="H1378" s="5">
        <v>1211</v>
      </c>
      <c r="I1378" s="4" t="s">
        <v>161</v>
      </c>
      <c r="J1378" s="4" t="s">
        <v>23</v>
      </c>
      <c r="K1378" s="4" t="s">
        <v>528</v>
      </c>
      <c r="L1378" s="4" t="s">
        <v>74</v>
      </c>
      <c r="M1378" s="6">
        <v>8287.17</v>
      </c>
      <c r="N1378" s="6">
        <v>8510</v>
      </c>
      <c r="O1378" s="19">
        <v>0.4783</v>
      </c>
      <c r="P1378" s="6">
        <v>9.59</v>
      </c>
      <c r="Q1378" s="6">
        <v>10.53</v>
      </c>
      <c r="R1378" s="19">
        <v>0.43480000000000002</v>
      </c>
      <c r="S1378" s="20">
        <v>24</v>
      </c>
      <c r="T1378" s="6">
        <v>10.039999999999999</v>
      </c>
      <c r="U1378" s="6">
        <v>10.23</v>
      </c>
      <c r="V1378" s="6">
        <v>10.74</v>
      </c>
      <c r="W1378" s="19">
        <v>0.89539999999999997</v>
      </c>
      <c r="X1378" s="6">
        <v>48.11</v>
      </c>
      <c r="Y1378" s="21">
        <v>131046.053821685</v>
      </c>
      <c r="Z1378" s="6">
        <v>3116</v>
      </c>
      <c r="AA1378" s="6">
        <v>1.4938650202460899</v>
      </c>
    </row>
    <row r="1379" spans="1:27" x14ac:dyDescent="0.25">
      <c r="A1379" s="7" t="str">
        <f t="shared" si="21"/>
        <v>3927Swedish First Hill346021076500 NUCLEAR MEDICINE</v>
      </c>
      <c r="B1379" s="7"/>
      <c r="C1379" s="29" t="s">
        <v>185</v>
      </c>
      <c r="D1379" s="29" t="s">
        <v>521</v>
      </c>
      <c r="E1379" s="29" t="s">
        <v>186</v>
      </c>
      <c r="F1379" s="29">
        <v>3927</v>
      </c>
      <c r="G1379" s="4" t="s">
        <v>522</v>
      </c>
      <c r="H1379" s="5">
        <v>3460</v>
      </c>
      <c r="I1379" s="4" t="s">
        <v>120</v>
      </c>
      <c r="J1379" s="4" t="s">
        <v>57</v>
      </c>
      <c r="K1379" s="4" t="s">
        <v>573</v>
      </c>
      <c r="L1379" s="4" t="s">
        <v>99</v>
      </c>
      <c r="M1379" s="6">
        <v>19413.509999999998</v>
      </c>
      <c r="N1379" s="6">
        <v>20392.88</v>
      </c>
      <c r="O1379" s="19">
        <v>0.52170000000000005</v>
      </c>
      <c r="P1379" s="6">
        <v>0.48</v>
      </c>
      <c r="Q1379" s="6">
        <v>0.53</v>
      </c>
      <c r="R1379" s="19">
        <v>0.86960000000000004</v>
      </c>
      <c r="S1379" s="20">
        <v>24</v>
      </c>
      <c r="T1379" s="6">
        <v>0.28000000000000003</v>
      </c>
      <c r="U1379" s="6">
        <v>0.33</v>
      </c>
      <c r="V1379" s="6">
        <v>0.36</v>
      </c>
      <c r="W1379" s="19">
        <v>0.8921</v>
      </c>
      <c r="X1379" s="6">
        <v>5.87</v>
      </c>
      <c r="Y1379" s="21">
        <v>254085.26776739099</v>
      </c>
      <c r="Z1379" s="6">
        <v>4699</v>
      </c>
      <c r="AA1379" s="6">
        <v>2.2531781054798201</v>
      </c>
    </row>
    <row r="1380" spans="1:27" x14ac:dyDescent="0.25">
      <c r="A1380" s="7" t="str">
        <f t="shared" si="21"/>
        <v>3927Swedish First Hill522121083500 LINEN FH</v>
      </c>
      <c r="B1380" s="7"/>
      <c r="C1380" s="29" t="s">
        <v>185</v>
      </c>
      <c r="D1380" s="29" t="s">
        <v>521</v>
      </c>
      <c r="E1380" s="29" t="s">
        <v>186</v>
      </c>
      <c r="F1380" s="29">
        <v>3927</v>
      </c>
      <c r="G1380" s="4" t="s">
        <v>522</v>
      </c>
      <c r="H1380" s="5">
        <v>5221</v>
      </c>
      <c r="I1380" s="4" t="s">
        <v>131</v>
      </c>
      <c r="J1380" s="4" t="s">
        <v>50</v>
      </c>
      <c r="K1380" s="4" t="s">
        <v>587</v>
      </c>
      <c r="L1380" s="4" t="s">
        <v>132</v>
      </c>
      <c r="M1380" s="6">
        <v>39586.18</v>
      </c>
      <c r="N1380" s="6">
        <v>39030.06</v>
      </c>
      <c r="O1380" s="19">
        <v>0.52170000000000005</v>
      </c>
      <c r="P1380" s="6">
        <v>0.5</v>
      </c>
      <c r="Q1380" s="6">
        <v>0.56000000000000005</v>
      </c>
      <c r="R1380" s="19">
        <v>0.68179999999999996</v>
      </c>
      <c r="S1380" s="20">
        <v>24</v>
      </c>
      <c r="T1380" s="6">
        <v>0.31</v>
      </c>
      <c r="U1380" s="6">
        <v>0.39</v>
      </c>
      <c r="V1380" s="6">
        <v>0.46</v>
      </c>
      <c r="W1380" s="19">
        <v>0.89510000000000001</v>
      </c>
      <c r="X1380" s="6">
        <v>11.69</v>
      </c>
      <c r="Y1380" s="21">
        <v>161448.72895041699</v>
      </c>
      <c r="Z1380" s="6">
        <v>7376</v>
      </c>
      <c r="AA1380" s="6">
        <v>3.536568485219</v>
      </c>
    </row>
    <row r="1381" spans="1:27" x14ac:dyDescent="0.25">
      <c r="A1381" s="7" t="str">
        <f t="shared" si="21"/>
        <v>3927Swedish First Hill201021070100 EMERGENCY SERVICES</v>
      </c>
      <c r="B1381" s="7"/>
      <c r="C1381" s="29" t="s">
        <v>185</v>
      </c>
      <c r="D1381" s="29" t="s">
        <v>521</v>
      </c>
      <c r="E1381" s="29" t="s">
        <v>186</v>
      </c>
      <c r="F1381" s="29">
        <v>3927</v>
      </c>
      <c r="G1381" s="4" t="s">
        <v>522</v>
      </c>
      <c r="H1381" s="5">
        <v>2010</v>
      </c>
      <c r="I1381" s="4" t="s">
        <v>75</v>
      </c>
      <c r="J1381" s="4" t="s">
        <v>76</v>
      </c>
      <c r="K1381" s="4" t="s">
        <v>533</v>
      </c>
      <c r="L1381" s="4" t="s">
        <v>77</v>
      </c>
      <c r="M1381" s="6">
        <v>40564</v>
      </c>
      <c r="N1381" s="6">
        <v>44924</v>
      </c>
      <c r="O1381" s="19">
        <v>0.41670000000000001</v>
      </c>
      <c r="P1381" s="6">
        <v>3.17</v>
      </c>
      <c r="Q1381" s="6">
        <v>3.45</v>
      </c>
      <c r="R1381" s="19">
        <v>0.83330000000000004</v>
      </c>
      <c r="S1381" s="20">
        <v>25</v>
      </c>
      <c r="T1381" s="6">
        <v>2.41</v>
      </c>
      <c r="U1381" s="6">
        <v>2.65</v>
      </c>
      <c r="V1381" s="6">
        <v>2.95</v>
      </c>
      <c r="W1381" s="19">
        <v>0.90200000000000002</v>
      </c>
      <c r="X1381" s="6">
        <v>82.49</v>
      </c>
      <c r="Y1381" s="21">
        <v>1713137.439463</v>
      </c>
      <c r="Z1381" s="6">
        <v>40067</v>
      </c>
      <c r="AA1381" s="6">
        <v>19.210081109810499</v>
      </c>
    </row>
    <row r="1382" spans="1:27" x14ac:dyDescent="0.25">
      <c r="A1382" s="7" t="str">
        <f t="shared" si="21"/>
        <v>3927Swedish First Hill224221074202 WEIGHT LOSS CLINIC</v>
      </c>
      <c r="B1382" s="7"/>
      <c r="C1382" s="29" t="s">
        <v>185</v>
      </c>
      <c r="D1382" s="29" t="s">
        <v>521</v>
      </c>
      <c r="E1382" s="29" t="s">
        <v>186</v>
      </c>
      <c r="F1382" s="29">
        <v>3927</v>
      </c>
      <c r="G1382" s="4" t="s">
        <v>522</v>
      </c>
      <c r="H1382" s="5">
        <v>2242</v>
      </c>
      <c r="I1382" s="4" t="s">
        <v>537</v>
      </c>
      <c r="J1382" s="4" t="s">
        <v>176</v>
      </c>
      <c r="K1382" s="4" t="s">
        <v>545</v>
      </c>
      <c r="L1382" s="4" t="s">
        <v>77</v>
      </c>
      <c r="M1382" s="6">
        <v>8786</v>
      </c>
      <c r="N1382" s="6">
        <v>8584</v>
      </c>
      <c r="O1382" s="19">
        <v>0.54169999999999996</v>
      </c>
      <c r="P1382" s="6">
        <v>1.51</v>
      </c>
      <c r="Q1382" s="6">
        <v>1.28</v>
      </c>
      <c r="R1382" s="19">
        <v>0.25</v>
      </c>
      <c r="S1382" s="20">
        <v>25</v>
      </c>
      <c r="T1382" s="6">
        <v>1.28</v>
      </c>
      <c r="U1382" s="6">
        <v>1.57</v>
      </c>
      <c r="V1382" s="6">
        <v>1.78</v>
      </c>
      <c r="W1382" s="19">
        <v>0.94330000000000003</v>
      </c>
      <c r="X1382" s="6">
        <v>5.6</v>
      </c>
      <c r="Y1382" s="21">
        <v>-166642.59713813299</v>
      </c>
      <c r="Z1382" s="6">
        <v>-2607</v>
      </c>
      <c r="AA1382" s="6">
        <v>-1.2499544847806601</v>
      </c>
    </row>
    <row r="1383" spans="1:27" x14ac:dyDescent="0.25">
      <c r="A1383" s="7" t="str">
        <f t="shared" si="21"/>
        <v>3927Swedish First Hill401021076414 SCI EDMONDS</v>
      </c>
      <c r="B1383" s="7"/>
      <c r="C1383" s="29" t="s">
        <v>185</v>
      </c>
      <c r="D1383" s="29" t="s">
        <v>521</v>
      </c>
      <c r="E1383" s="29" t="s">
        <v>186</v>
      </c>
      <c r="F1383" s="29">
        <v>3927</v>
      </c>
      <c r="G1383" s="4" t="s">
        <v>522</v>
      </c>
      <c r="H1383" s="5">
        <v>4010</v>
      </c>
      <c r="I1383" s="4" t="s">
        <v>152</v>
      </c>
      <c r="J1383" s="4" t="s">
        <v>153</v>
      </c>
      <c r="K1383" s="4" t="s">
        <v>569</v>
      </c>
      <c r="L1383" s="4" t="s">
        <v>99</v>
      </c>
      <c r="M1383" s="6">
        <v>63220.12</v>
      </c>
      <c r="N1383" s="6">
        <v>57357.63</v>
      </c>
      <c r="O1383" s="19">
        <v>0.48</v>
      </c>
      <c r="P1383" s="6">
        <v>0.27</v>
      </c>
      <c r="Q1383" s="6">
        <v>0.28999999999999998</v>
      </c>
      <c r="R1383" s="19">
        <v>0.32</v>
      </c>
      <c r="S1383" s="20">
        <v>26</v>
      </c>
      <c r="T1383" s="6">
        <v>0.27</v>
      </c>
      <c r="U1383" s="6">
        <v>0.33</v>
      </c>
      <c r="V1383" s="6">
        <v>0.38</v>
      </c>
      <c r="W1383" s="19">
        <v>0.874</v>
      </c>
      <c r="X1383" s="6">
        <v>9.2799999999999994</v>
      </c>
      <c r="Y1383" s="21">
        <v>-167034.36443324201</v>
      </c>
      <c r="Z1383" s="6">
        <v>-2301</v>
      </c>
      <c r="AA1383" s="6">
        <v>-1.10345450095008</v>
      </c>
    </row>
    <row r="1384" spans="1:27" x14ac:dyDescent="0.25">
      <c r="A1384" s="7" t="str">
        <f t="shared" si="21"/>
        <v>3927Swedish First Hill441121077102 RETAIL PHARMACY/21077107 ORTHO PHARMACY</v>
      </c>
      <c r="B1384" s="7"/>
      <c r="C1384" s="29" t="s">
        <v>185</v>
      </c>
      <c r="D1384" s="29" t="s">
        <v>521</v>
      </c>
      <c r="E1384" s="29" t="s">
        <v>186</v>
      </c>
      <c r="F1384" s="29">
        <v>3927</v>
      </c>
      <c r="G1384" s="4" t="s">
        <v>522</v>
      </c>
      <c r="H1384" s="5">
        <v>4411</v>
      </c>
      <c r="I1384" s="4" t="s">
        <v>154</v>
      </c>
      <c r="J1384" s="4" t="s">
        <v>37</v>
      </c>
      <c r="K1384" s="4" t="s">
        <v>578</v>
      </c>
      <c r="L1384" s="4" t="s">
        <v>155</v>
      </c>
      <c r="M1384" s="6">
        <v>139767</v>
      </c>
      <c r="N1384" s="6">
        <v>147527</v>
      </c>
      <c r="O1384" s="19">
        <v>0.44</v>
      </c>
      <c r="P1384" s="6">
        <v>0.2</v>
      </c>
      <c r="Q1384" s="6">
        <v>0.27</v>
      </c>
      <c r="R1384" s="19">
        <v>0.72729999999999995</v>
      </c>
      <c r="S1384" s="20">
        <v>26</v>
      </c>
      <c r="T1384" s="6">
        <v>0.21</v>
      </c>
      <c r="U1384" s="6">
        <v>0.21</v>
      </c>
      <c r="V1384" s="6">
        <v>0.22</v>
      </c>
      <c r="W1384" s="19">
        <v>0.90429999999999999</v>
      </c>
      <c r="X1384" s="6">
        <v>21.16</v>
      </c>
      <c r="Y1384" s="21">
        <v>534600.38607598795</v>
      </c>
      <c r="Z1384" s="6">
        <v>9874</v>
      </c>
      <c r="AA1384" s="6">
        <v>4.7342036612923302</v>
      </c>
    </row>
    <row r="1385" spans="1:27" x14ac:dyDescent="0.25">
      <c r="A1385" s="7" t="str">
        <f t="shared" si="21"/>
        <v>3927Swedish First Hill226721076410, 21076430 FH TREATMENT CTR &amp; MEDICAL ONCOLOGY</v>
      </c>
      <c r="B1385" s="7"/>
      <c r="C1385" s="29" t="s">
        <v>185</v>
      </c>
      <c r="D1385" s="29" t="s">
        <v>521</v>
      </c>
      <c r="E1385" s="29" t="s">
        <v>186</v>
      </c>
      <c r="F1385" s="29">
        <v>3927</v>
      </c>
      <c r="G1385" s="4" t="s">
        <v>522</v>
      </c>
      <c r="H1385" s="5">
        <v>2267</v>
      </c>
      <c r="I1385" s="4" t="s">
        <v>183</v>
      </c>
      <c r="J1385" s="4" t="s">
        <v>176</v>
      </c>
      <c r="K1385" s="4" t="s">
        <v>566</v>
      </c>
      <c r="L1385" s="4" t="s">
        <v>77</v>
      </c>
      <c r="M1385" s="6">
        <v>32870</v>
      </c>
      <c r="N1385" s="6">
        <v>32868</v>
      </c>
      <c r="O1385" s="7"/>
      <c r="P1385" s="6">
        <v>2.4500000000000002</v>
      </c>
      <c r="Q1385" s="6">
        <v>2.92</v>
      </c>
      <c r="R1385" s="19">
        <v>0.95020000000000004</v>
      </c>
      <c r="S1385" s="20">
        <v>26</v>
      </c>
      <c r="T1385" s="6">
        <v>1.41</v>
      </c>
      <c r="U1385" s="6">
        <v>1.68</v>
      </c>
      <c r="V1385" s="6">
        <v>2.0299999999999998</v>
      </c>
      <c r="W1385" s="19">
        <v>0.88180000000000003</v>
      </c>
      <c r="X1385" s="6">
        <v>52.37</v>
      </c>
      <c r="Y1385" s="21">
        <v>2224751.7515178998</v>
      </c>
      <c r="Z1385" s="6">
        <v>46608</v>
      </c>
      <c r="AA1385" s="6">
        <v>22.346548011384201</v>
      </c>
    </row>
    <row r="1386" spans="1:27" x14ac:dyDescent="0.25">
      <c r="A1386" s="7" t="str">
        <f t="shared" si="21"/>
        <v>3927Swedish First Hill521121084400 ENVIRONMENTAL SVC/21084401 ENVIRO CARE/21084402 WASTE MGMT</v>
      </c>
      <c r="B1386" s="7"/>
      <c r="C1386" s="29" t="s">
        <v>185</v>
      </c>
      <c r="D1386" s="29" t="s">
        <v>521</v>
      </c>
      <c r="E1386" s="29" t="s">
        <v>186</v>
      </c>
      <c r="F1386" s="29">
        <v>3927</v>
      </c>
      <c r="G1386" s="4" t="s">
        <v>522</v>
      </c>
      <c r="H1386" s="5">
        <v>5211</v>
      </c>
      <c r="I1386" s="4" t="s">
        <v>50</v>
      </c>
      <c r="J1386" s="4" t="s">
        <v>50</v>
      </c>
      <c r="K1386" s="4" t="s">
        <v>590</v>
      </c>
      <c r="L1386" s="4" t="s">
        <v>51</v>
      </c>
      <c r="M1386" s="6">
        <v>1542.32</v>
      </c>
      <c r="N1386" s="6">
        <v>1542.32</v>
      </c>
      <c r="O1386" s="19">
        <v>0.57689999999999997</v>
      </c>
      <c r="P1386" s="6">
        <v>193.97</v>
      </c>
      <c r="Q1386" s="6">
        <v>207.39</v>
      </c>
      <c r="R1386" s="19">
        <v>0.4</v>
      </c>
      <c r="S1386" s="20">
        <v>27</v>
      </c>
      <c r="T1386" s="6">
        <v>184.26</v>
      </c>
      <c r="U1386" s="6">
        <v>196.69</v>
      </c>
      <c r="V1386" s="6">
        <v>216.98</v>
      </c>
      <c r="W1386" s="19">
        <v>0.87229999999999996</v>
      </c>
      <c r="X1386" s="6">
        <v>176.29</v>
      </c>
      <c r="Y1386" s="21">
        <v>425868.879559625</v>
      </c>
      <c r="Z1386" s="6">
        <v>19919</v>
      </c>
      <c r="AA1386" s="6">
        <v>9.5502841562447092</v>
      </c>
    </row>
    <row r="1387" spans="1:27" x14ac:dyDescent="0.25">
      <c r="A1387" s="7" t="str">
        <f t="shared" si="21"/>
        <v>3927Swedish First Hill301121074210 ORTHOPEDIC SURGERY/21074709 ORTHO SURG PATIENT CHARGEABLES</v>
      </c>
      <c r="B1387" s="7"/>
      <c r="C1387" s="29" t="s">
        <v>185</v>
      </c>
      <c r="D1387" s="29" t="s">
        <v>521</v>
      </c>
      <c r="E1387" s="29" t="s">
        <v>186</v>
      </c>
      <c r="F1387" s="29">
        <v>3927</v>
      </c>
      <c r="G1387" s="4" t="s">
        <v>522</v>
      </c>
      <c r="H1387" s="5">
        <v>3011</v>
      </c>
      <c r="I1387" s="4" t="s">
        <v>87</v>
      </c>
      <c r="J1387" s="4" t="s">
        <v>47</v>
      </c>
      <c r="K1387" s="4" t="s">
        <v>546</v>
      </c>
      <c r="L1387" s="4" t="s">
        <v>88</v>
      </c>
      <c r="M1387" s="6">
        <v>8089.1</v>
      </c>
      <c r="N1387" s="6">
        <v>8507.75</v>
      </c>
      <c r="O1387" s="19">
        <v>0.53849999999999998</v>
      </c>
      <c r="P1387" s="6">
        <v>9.83</v>
      </c>
      <c r="Q1387" s="6">
        <v>10.68</v>
      </c>
      <c r="R1387" s="19">
        <v>0.375</v>
      </c>
      <c r="S1387" s="20">
        <v>27</v>
      </c>
      <c r="T1387" s="6">
        <v>10.55</v>
      </c>
      <c r="U1387" s="6">
        <v>10.67</v>
      </c>
      <c r="V1387" s="6">
        <v>11</v>
      </c>
      <c r="W1387" s="19">
        <v>0.89100000000000001</v>
      </c>
      <c r="X1387" s="6">
        <v>49.01</v>
      </c>
      <c r="Y1387" s="21">
        <v>13286.6000249071</v>
      </c>
      <c r="Z1387" s="6">
        <v>337</v>
      </c>
      <c r="AA1387" s="6">
        <v>0.16168427925134701</v>
      </c>
    </row>
    <row r="1388" spans="1:27" x14ac:dyDescent="0.25">
      <c r="A1388" s="7" t="str">
        <f t="shared" si="21"/>
        <v>3927Swedish First Hill223521070700 FAMILY MEDICINE CLINIC</v>
      </c>
      <c r="B1388" s="7"/>
      <c r="C1388" s="29" t="s">
        <v>185</v>
      </c>
      <c r="D1388" s="29" t="s">
        <v>521</v>
      </c>
      <c r="E1388" s="29" t="s">
        <v>186</v>
      </c>
      <c r="F1388" s="29">
        <v>3927</v>
      </c>
      <c r="G1388" s="4" t="s">
        <v>522</v>
      </c>
      <c r="H1388" s="5">
        <v>2235</v>
      </c>
      <c r="I1388" s="4" t="s">
        <v>177</v>
      </c>
      <c r="J1388" s="4" t="s">
        <v>176</v>
      </c>
      <c r="K1388" s="4" t="s">
        <v>534</v>
      </c>
      <c r="L1388" s="4" t="s">
        <v>77</v>
      </c>
      <c r="M1388" s="6">
        <v>17751</v>
      </c>
      <c r="N1388" s="6">
        <v>17230</v>
      </c>
      <c r="O1388" s="19">
        <v>0.3846</v>
      </c>
      <c r="P1388" s="6">
        <v>1.0900000000000001</v>
      </c>
      <c r="Q1388" s="6">
        <v>1.06</v>
      </c>
      <c r="R1388" s="19">
        <v>0.3846</v>
      </c>
      <c r="S1388" s="20">
        <v>27</v>
      </c>
      <c r="T1388" s="6">
        <v>0.97</v>
      </c>
      <c r="U1388" s="6">
        <v>1.04</v>
      </c>
      <c r="V1388" s="6">
        <v>1.0900000000000001</v>
      </c>
      <c r="W1388" s="19">
        <v>0.8488</v>
      </c>
      <c r="X1388" s="6">
        <v>10.38</v>
      </c>
      <c r="Y1388" s="21">
        <v>25418.873019702201</v>
      </c>
      <c r="Z1388" s="6">
        <v>538</v>
      </c>
      <c r="AA1388" s="6">
        <v>0.25811486114074</v>
      </c>
    </row>
    <row r="1389" spans="1:27" x14ac:dyDescent="0.25">
      <c r="A1389" s="7" t="str">
        <f t="shared" si="21"/>
        <v>3927Swedish First Hill343021076600 MRI</v>
      </c>
      <c r="B1389" s="7"/>
      <c r="C1389" s="29" t="s">
        <v>185</v>
      </c>
      <c r="D1389" s="29" t="s">
        <v>521</v>
      </c>
      <c r="E1389" s="29" t="s">
        <v>186</v>
      </c>
      <c r="F1389" s="29">
        <v>3927</v>
      </c>
      <c r="G1389" s="4" t="s">
        <v>522</v>
      </c>
      <c r="H1389" s="5">
        <v>3430</v>
      </c>
      <c r="I1389" s="4" t="s">
        <v>121</v>
      </c>
      <c r="J1389" s="4" t="s">
        <v>57</v>
      </c>
      <c r="K1389" s="4" t="s">
        <v>574</v>
      </c>
      <c r="L1389" s="4" t="s">
        <v>99</v>
      </c>
      <c r="M1389" s="6">
        <v>16417.13</v>
      </c>
      <c r="N1389" s="6">
        <v>20079.009999999998</v>
      </c>
      <c r="O1389" s="19">
        <v>0.53849999999999998</v>
      </c>
      <c r="P1389" s="6">
        <v>0.46</v>
      </c>
      <c r="Q1389" s="6">
        <v>0.38</v>
      </c>
      <c r="R1389" s="19">
        <v>0.45829999999999999</v>
      </c>
      <c r="S1389" s="20">
        <v>27</v>
      </c>
      <c r="T1389" s="6">
        <v>0.33</v>
      </c>
      <c r="U1389" s="6">
        <v>0.35</v>
      </c>
      <c r="V1389" s="6">
        <v>0.38</v>
      </c>
      <c r="W1389" s="19">
        <v>0.88149999999999995</v>
      </c>
      <c r="X1389" s="6">
        <v>4.1100000000000003</v>
      </c>
      <c r="Y1389" s="21">
        <v>33281.780821398097</v>
      </c>
      <c r="Z1389" s="6">
        <v>600</v>
      </c>
      <c r="AA1389" s="6">
        <v>0.28759955830278899</v>
      </c>
    </row>
    <row r="1390" spans="1:27" x14ac:dyDescent="0.25">
      <c r="A1390" s="7" t="str">
        <f t="shared" si="21"/>
        <v>3927Swedish First Hill111021061715 MEDICAL SURGICAL TELEMETRY</v>
      </c>
      <c r="B1390" s="7"/>
      <c r="C1390" s="29" t="s">
        <v>185</v>
      </c>
      <c r="D1390" s="29" t="s">
        <v>521</v>
      </c>
      <c r="E1390" s="29" t="s">
        <v>186</v>
      </c>
      <c r="F1390" s="29">
        <v>3927</v>
      </c>
      <c r="G1390" s="4" t="s">
        <v>522</v>
      </c>
      <c r="H1390" s="5">
        <v>1110</v>
      </c>
      <c r="I1390" s="4" t="s">
        <v>111</v>
      </c>
      <c r="J1390" s="4" t="s">
        <v>23</v>
      </c>
      <c r="K1390" s="4" t="s">
        <v>600</v>
      </c>
      <c r="L1390" s="4" t="s">
        <v>74</v>
      </c>
      <c r="M1390" s="6">
        <v>665.83</v>
      </c>
      <c r="N1390" s="6">
        <v>5353</v>
      </c>
      <c r="O1390" s="19">
        <v>0.46150000000000002</v>
      </c>
      <c r="P1390" s="6">
        <v>10.36</v>
      </c>
      <c r="Q1390" s="6">
        <v>12.54</v>
      </c>
      <c r="R1390" s="19">
        <v>0.45829999999999999</v>
      </c>
      <c r="S1390" s="20">
        <v>27</v>
      </c>
      <c r="T1390" s="6">
        <v>11.85</v>
      </c>
      <c r="U1390" s="6">
        <v>12.11</v>
      </c>
      <c r="V1390" s="6">
        <v>12.63</v>
      </c>
      <c r="W1390" s="19">
        <v>0.92549999999999999</v>
      </c>
      <c r="X1390" s="6">
        <v>34.86</v>
      </c>
      <c r="Y1390" s="21">
        <v>109110.85468462099</v>
      </c>
      <c r="Z1390" s="6">
        <v>2664</v>
      </c>
      <c r="AA1390" s="6">
        <v>1.2774923542933001</v>
      </c>
    </row>
    <row r="1391" spans="1:27" x14ac:dyDescent="0.25">
      <c r="A1391" s="7" t="str">
        <f t="shared" si="21"/>
        <v>3927Swedish First Hill591021084200 SECURITY</v>
      </c>
      <c r="B1391" s="7"/>
      <c r="C1391" s="29" t="s">
        <v>185</v>
      </c>
      <c r="D1391" s="29" t="s">
        <v>521</v>
      </c>
      <c r="E1391" s="29" t="s">
        <v>186</v>
      </c>
      <c r="F1391" s="29">
        <v>3927</v>
      </c>
      <c r="G1391" s="4" t="s">
        <v>522</v>
      </c>
      <c r="H1391" s="5">
        <v>5910</v>
      </c>
      <c r="I1391" s="4" t="s">
        <v>139</v>
      </c>
      <c r="J1391" s="4" t="s">
        <v>136</v>
      </c>
      <c r="K1391" s="4" t="s">
        <v>589</v>
      </c>
      <c r="L1391" s="4" t="s">
        <v>140</v>
      </c>
      <c r="M1391" s="6">
        <v>2927.84</v>
      </c>
      <c r="N1391" s="6">
        <v>2927.84</v>
      </c>
      <c r="O1391" s="19">
        <v>0.44669999999999999</v>
      </c>
      <c r="P1391" s="6">
        <v>14.54</v>
      </c>
      <c r="Q1391" s="6">
        <v>16.100000000000001</v>
      </c>
      <c r="R1391" s="19">
        <v>0.40760000000000002</v>
      </c>
      <c r="S1391" s="20">
        <v>27</v>
      </c>
      <c r="T1391" s="6">
        <v>12.89</v>
      </c>
      <c r="U1391" s="6">
        <v>14.44</v>
      </c>
      <c r="V1391" s="6">
        <v>21.18</v>
      </c>
      <c r="W1391" s="19">
        <v>0.91249999999999998</v>
      </c>
      <c r="X1391" s="6">
        <v>24.83</v>
      </c>
      <c r="Y1391" s="21">
        <v>122591.70909162299</v>
      </c>
      <c r="Z1391" s="6">
        <v>5456</v>
      </c>
      <c r="AA1391" s="6">
        <v>2.61584393006257</v>
      </c>
    </row>
    <row r="1392" spans="1:27" x14ac:dyDescent="0.25">
      <c r="A1392" s="7" t="str">
        <f t="shared" si="21"/>
        <v>3927Swedish First Hill191021087202 NURSING SUPERVISORS</v>
      </c>
      <c r="B1392" s="7"/>
      <c r="C1392" s="29" t="s">
        <v>185</v>
      </c>
      <c r="D1392" s="29" t="s">
        <v>521</v>
      </c>
      <c r="E1392" s="29" t="s">
        <v>186</v>
      </c>
      <c r="F1392" s="29">
        <v>3927</v>
      </c>
      <c r="G1392" s="4" t="s">
        <v>522</v>
      </c>
      <c r="H1392" s="5">
        <v>1910</v>
      </c>
      <c r="I1392" s="4" t="s">
        <v>34</v>
      </c>
      <c r="J1392" s="4" t="s">
        <v>23</v>
      </c>
      <c r="K1392" s="4" t="s">
        <v>596</v>
      </c>
      <c r="L1392" s="4" t="s">
        <v>35</v>
      </c>
      <c r="M1392" s="6">
        <v>1343</v>
      </c>
      <c r="N1392" s="6">
        <v>1463</v>
      </c>
      <c r="O1392" s="19">
        <v>0.48149999999999998</v>
      </c>
      <c r="P1392" s="6">
        <v>16.350000000000001</v>
      </c>
      <c r="Q1392" s="6">
        <v>25.36</v>
      </c>
      <c r="R1392" s="19">
        <v>0.04</v>
      </c>
      <c r="S1392" s="20">
        <v>28</v>
      </c>
      <c r="T1392" s="6">
        <v>34.4</v>
      </c>
      <c r="U1392" s="6">
        <v>41.33</v>
      </c>
      <c r="V1392" s="6">
        <v>46.71</v>
      </c>
      <c r="W1392" s="19">
        <v>0.86160000000000003</v>
      </c>
      <c r="X1392" s="6">
        <v>16.64</v>
      </c>
      <c r="Y1392" s="21">
        <v>-2205745.8003598601</v>
      </c>
      <c r="Z1392" s="6">
        <v>-35473</v>
      </c>
      <c r="AA1392" s="6">
        <v>-17.007453373190899</v>
      </c>
    </row>
    <row r="1393" spans="1:27" x14ac:dyDescent="0.25">
      <c r="A1393" s="7" t="str">
        <f t="shared" si="21"/>
        <v>3927Swedish First Hill464021072320 AMBULATORY INFUSION CENTER</v>
      </c>
      <c r="B1393" s="7"/>
      <c r="C1393" s="29" t="s">
        <v>185</v>
      </c>
      <c r="D1393" s="29" t="s">
        <v>521</v>
      </c>
      <c r="E1393" s="29" t="s">
        <v>186</v>
      </c>
      <c r="F1393" s="29">
        <v>3927</v>
      </c>
      <c r="G1393" s="4" t="s">
        <v>522</v>
      </c>
      <c r="H1393" s="5">
        <v>4640</v>
      </c>
      <c r="I1393" s="4" t="s">
        <v>82</v>
      </c>
      <c r="J1393" s="4" t="s">
        <v>83</v>
      </c>
      <c r="K1393" s="4" t="s">
        <v>541</v>
      </c>
      <c r="L1393" s="4" t="s">
        <v>84</v>
      </c>
      <c r="M1393" s="6">
        <v>3846</v>
      </c>
      <c r="N1393" s="6">
        <v>4292</v>
      </c>
      <c r="O1393" s="19">
        <v>0.60919999999999996</v>
      </c>
      <c r="P1393" s="6">
        <v>2.02</v>
      </c>
      <c r="Q1393" s="6">
        <v>1.43</v>
      </c>
      <c r="R1393" s="19">
        <v>5.5500000000000001E-2</v>
      </c>
      <c r="S1393" s="20">
        <v>28</v>
      </c>
      <c r="T1393" s="6">
        <v>1.96</v>
      </c>
      <c r="U1393" s="6">
        <v>2.11</v>
      </c>
      <c r="V1393" s="6">
        <v>2.5099999999999998</v>
      </c>
      <c r="W1393" s="19">
        <v>0.85209999999999997</v>
      </c>
      <c r="X1393" s="6">
        <v>3.47</v>
      </c>
      <c r="Y1393" s="21">
        <v>-182863.97803323201</v>
      </c>
      <c r="Z1393" s="6">
        <v>-3391</v>
      </c>
      <c r="AA1393" s="6">
        <v>-1.6256520152876299</v>
      </c>
    </row>
    <row r="1394" spans="1:27" x14ac:dyDescent="0.25">
      <c r="A1394" s="7" t="str">
        <f t="shared" si="21"/>
        <v>3927Swedish First Hill121221061792 SHORT STAY UNIT</v>
      </c>
      <c r="B1394" s="7"/>
      <c r="C1394" s="29" t="s">
        <v>185</v>
      </c>
      <c r="D1394" s="29" t="s">
        <v>521</v>
      </c>
      <c r="E1394" s="29" t="s">
        <v>186</v>
      </c>
      <c r="F1394" s="29">
        <v>3927</v>
      </c>
      <c r="G1394" s="4" t="s">
        <v>522</v>
      </c>
      <c r="H1394" s="5">
        <v>1212</v>
      </c>
      <c r="I1394" s="4" t="s">
        <v>160</v>
      </c>
      <c r="J1394" s="4" t="s">
        <v>23</v>
      </c>
      <c r="K1394" s="4" t="s">
        <v>529</v>
      </c>
      <c r="L1394" s="4" t="s">
        <v>74</v>
      </c>
      <c r="M1394" s="6">
        <v>2931.29</v>
      </c>
      <c r="N1394" s="6">
        <v>4326</v>
      </c>
      <c r="O1394" s="19">
        <v>0.59260000000000002</v>
      </c>
      <c r="P1394" s="6">
        <v>14.02</v>
      </c>
      <c r="Q1394" s="6">
        <v>11</v>
      </c>
      <c r="R1394" s="19">
        <v>0.34620000000000001</v>
      </c>
      <c r="S1394" s="20">
        <v>28</v>
      </c>
      <c r="T1394" s="6">
        <v>10.6</v>
      </c>
      <c r="U1394" s="6">
        <v>11.01</v>
      </c>
      <c r="V1394" s="6">
        <v>11.44</v>
      </c>
      <c r="W1394" s="19">
        <v>0.87490000000000001</v>
      </c>
      <c r="X1394" s="6">
        <v>26.14</v>
      </c>
      <c r="Y1394" s="21">
        <v>3552.9099751711601</v>
      </c>
      <c r="Z1394" s="6">
        <v>81</v>
      </c>
      <c r="AA1394" s="6">
        <v>3.861357068606E-2</v>
      </c>
    </row>
    <row r="1395" spans="1:27" x14ac:dyDescent="0.25">
      <c r="A1395" s="7" t="str">
        <f t="shared" si="21"/>
        <v>3927Swedish First Hill342021076800 CT SCANNING</v>
      </c>
      <c r="B1395" s="7"/>
      <c r="C1395" s="29" t="s">
        <v>185</v>
      </c>
      <c r="D1395" s="29" t="s">
        <v>521</v>
      </c>
      <c r="E1395" s="29" t="s">
        <v>186</v>
      </c>
      <c r="F1395" s="29">
        <v>3927</v>
      </c>
      <c r="G1395" s="4" t="s">
        <v>522</v>
      </c>
      <c r="H1395" s="5">
        <v>3420</v>
      </c>
      <c r="I1395" s="4" t="s">
        <v>123</v>
      </c>
      <c r="J1395" s="4" t="s">
        <v>57</v>
      </c>
      <c r="K1395" s="4" t="s">
        <v>576</v>
      </c>
      <c r="L1395" s="4" t="s">
        <v>99</v>
      </c>
      <c r="M1395" s="6">
        <v>67553.7</v>
      </c>
      <c r="N1395" s="6">
        <v>68458.5</v>
      </c>
      <c r="O1395" s="19">
        <v>0.62960000000000005</v>
      </c>
      <c r="P1395" s="6">
        <v>0.27</v>
      </c>
      <c r="Q1395" s="6">
        <v>0.27</v>
      </c>
      <c r="R1395" s="19">
        <v>0.53849999999999998</v>
      </c>
      <c r="S1395" s="20">
        <v>28</v>
      </c>
      <c r="T1395" s="6">
        <v>0.22</v>
      </c>
      <c r="U1395" s="6">
        <v>0.24</v>
      </c>
      <c r="V1395" s="6">
        <v>0.26</v>
      </c>
      <c r="W1395" s="19">
        <v>0.90349999999999997</v>
      </c>
      <c r="X1395" s="6">
        <v>9.66</v>
      </c>
      <c r="Y1395" s="21">
        <v>95713.489180605102</v>
      </c>
      <c r="Z1395" s="6">
        <v>1963</v>
      </c>
      <c r="AA1395" s="6">
        <v>0.941161711529789</v>
      </c>
    </row>
    <row r="1396" spans="1:27" x14ac:dyDescent="0.25">
      <c r="A1396" s="7" t="str">
        <f t="shared" si="21"/>
        <v>3927Swedish First Hill224221074295 SCI BREAST SURGERY</v>
      </c>
      <c r="B1396" s="7"/>
      <c r="C1396" s="29" t="s">
        <v>185</v>
      </c>
      <c r="D1396" s="29" t="s">
        <v>521</v>
      </c>
      <c r="E1396" s="29" t="s">
        <v>186</v>
      </c>
      <c r="F1396" s="29">
        <v>3927</v>
      </c>
      <c r="G1396" s="4" t="s">
        <v>522</v>
      </c>
      <c r="H1396" s="5">
        <v>2242</v>
      </c>
      <c r="I1396" s="4" t="s">
        <v>537</v>
      </c>
      <c r="J1396" s="4" t="s">
        <v>176</v>
      </c>
      <c r="K1396" s="4" t="s">
        <v>552</v>
      </c>
      <c r="L1396" s="4" t="s">
        <v>77</v>
      </c>
      <c r="M1396" s="6">
        <v>7765</v>
      </c>
      <c r="N1396" s="6">
        <v>7026</v>
      </c>
      <c r="O1396" s="19">
        <v>0.48149999999999998</v>
      </c>
      <c r="P1396" s="6">
        <v>1.57</v>
      </c>
      <c r="Q1396" s="6">
        <v>1.65</v>
      </c>
      <c r="R1396" s="19">
        <v>0.55559999999999998</v>
      </c>
      <c r="S1396" s="20">
        <v>28</v>
      </c>
      <c r="T1396" s="6">
        <v>1.0900000000000001</v>
      </c>
      <c r="U1396" s="6">
        <v>1.33</v>
      </c>
      <c r="V1396" s="6">
        <v>1.59</v>
      </c>
      <c r="W1396" s="19">
        <v>0.85929999999999995</v>
      </c>
      <c r="X1396" s="6">
        <v>6.5</v>
      </c>
      <c r="Y1396" s="21">
        <v>123216.48138218401</v>
      </c>
      <c r="Z1396" s="6">
        <v>2682</v>
      </c>
      <c r="AA1396" s="6">
        <v>1.2860947640659299</v>
      </c>
    </row>
    <row r="1397" spans="1:27" x14ac:dyDescent="0.25">
      <c r="A1397" s="7" t="str">
        <f t="shared" si="21"/>
        <v>3927Swedish First Hill441021077100 PHARMACY</v>
      </c>
      <c r="B1397" s="7"/>
      <c r="C1397" s="29" t="s">
        <v>185</v>
      </c>
      <c r="D1397" s="29" t="s">
        <v>521</v>
      </c>
      <c r="E1397" s="29" t="s">
        <v>186</v>
      </c>
      <c r="F1397" s="29">
        <v>3927</v>
      </c>
      <c r="G1397" s="4" t="s">
        <v>522</v>
      </c>
      <c r="H1397" s="5">
        <v>4410</v>
      </c>
      <c r="I1397" s="4" t="s">
        <v>37</v>
      </c>
      <c r="J1397" s="4" t="s">
        <v>37</v>
      </c>
      <c r="K1397" s="4" t="s">
        <v>577</v>
      </c>
      <c r="L1397" s="4" t="s">
        <v>100</v>
      </c>
      <c r="M1397" s="6">
        <v>109733.81</v>
      </c>
      <c r="N1397" s="6">
        <v>61689.95</v>
      </c>
      <c r="O1397" s="19">
        <v>0.59260000000000002</v>
      </c>
      <c r="P1397" s="6">
        <v>1.44</v>
      </c>
      <c r="Q1397" s="6">
        <v>2.57</v>
      </c>
      <c r="R1397" s="19">
        <v>0.53849999999999998</v>
      </c>
      <c r="S1397" s="20">
        <v>28</v>
      </c>
      <c r="T1397" s="6">
        <v>1.79</v>
      </c>
      <c r="U1397" s="6">
        <v>2.25</v>
      </c>
      <c r="V1397" s="6">
        <v>2.48</v>
      </c>
      <c r="W1397" s="19">
        <v>0.88990000000000002</v>
      </c>
      <c r="X1397" s="6">
        <v>85.82</v>
      </c>
      <c r="Y1397" s="21">
        <v>1078258.4592462201</v>
      </c>
      <c r="Z1397" s="6">
        <v>23020</v>
      </c>
      <c r="AA1397" s="6">
        <v>11.0368269287936</v>
      </c>
    </row>
    <row r="1398" spans="1:27" x14ac:dyDescent="0.25">
      <c r="A1398" s="7" t="str">
        <f t="shared" si="21"/>
        <v>3927Swedish First Hill500121084500 FACILITY MGMT/21084560 CONSTRUCTION/21084602 GROUND</v>
      </c>
      <c r="B1398" s="7"/>
      <c r="C1398" s="29" t="s">
        <v>185</v>
      </c>
      <c r="D1398" s="29" t="s">
        <v>521</v>
      </c>
      <c r="E1398" s="29" t="s">
        <v>186</v>
      </c>
      <c r="F1398" s="29">
        <v>3927</v>
      </c>
      <c r="G1398" s="4" t="s">
        <v>522</v>
      </c>
      <c r="H1398" s="5">
        <v>5001</v>
      </c>
      <c r="I1398" s="4" t="s">
        <v>141</v>
      </c>
      <c r="J1398" s="4" t="s">
        <v>62</v>
      </c>
      <c r="K1398" s="4" t="s">
        <v>591</v>
      </c>
      <c r="L1398" s="4" t="s">
        <v>63</v>
      </c>
      <c r="M1398" s="6">
        <v>2325.27</v>
      </c>
      <c r="N1398" s="6">
        <v>2316.7600000000002</v>
      </c>
      <c r="O1398" s="19">
        <v>0.5161</v>
      </c>
      <c r="P1398" s="6">
        <v>24.69</v>
      </c>
      <c r="Q1398" s="6">
        <v>22.34</v>
      </c>
      <c r="R1398" s="19">
        <v>6.6699999999999995E-2</v>
      </c>
      <c r="S1398" s="20">
        <v>32</v>
      </c>
      <c r="T1398" s="6">
        <v>28.96</v>
      </c>
      <c r="U1398" s="6">
        <v>32</v>
      </c>
      <c r="V1398" s="6">
        <v>38.299999999999997</v>
      </c>
      <c r="W1398" s="19">
        <v>0.88100000000000001</v>
      </c>
      <c r="X1398" s="6">
        <v>28.24</v>
      </c>
      <c r="Y1398" s="21">
        <v>-953302.11770986696</v>
      </c>
      <c r="Z1398" s="6">
        <v>-25250</v>
      </c>
      <c r="AA1398" s="6">
        <v>-12.106259271488</v>
      </c>
    </row>
    <row r="1399" spans="1:27" x14ac:dyDescent="0.25">
      <c r="A1399" s="7" t="str">
        <f t="shared" si="21"/>
        <v>3927Swedish First Hill487221077709 OP REHAB SERVICES FH</v>
      </c>
      <c r="B1399" s="7"/>
      <c r="C1399" s="29" t="s">
        <v>185</v>
      </c>
      <c r="D1399" s="29" t="s">
        <v>521</v>
      </c>
      <c r="E1399" s="29" t="s">
        <v>186</v>
      </c>
      <c r="F1399" s="29">
        <v>3927</v>
      </c>
      <c r="G1399" s="4" t="s">
        <v>522</v>
      </c>
      <c r="H1399" s="5">
        <v>4872</v>
      </c>
      <c r="I1399" s="4" t="s">
        <v>197</v>
      </c>
      <c r="J1399" s="4" t="s">
        <v>41</v>
      </c>
      <c r="K1399" s="4" t="s">
        <v>580</v>
      </c>
      <c r="L1399" s="4" t="s">
        <v>79</v>
      </c>
      <c r="M1399" s="6">
        <v>956.77</v>
      </c>
      <c r="N1399" s="6">
        <v>747.03</v>
      </c>
      <c r="O1399" s="19">
        <v>0.48480000000000001</v>
      </c>
      <c r="P1399" s="6">
        <v>24.06</v>
      </c>
      <c r="Q1399" s="6">
        <v>24.84</v>
      </c>
      <c r="R1399" s="19">
        <v>0.5806</v>
      </c>
      <c r="S1399" s="20">
        <v>34</v>
      </c>
      <c r="T1399" s="6">
        <v>22.58</v>
      </c>
      <c r="U1399" s="6">
        <v>22.88</v>
      </c>
      <c r="V1399" s="6">
        <v>24.07</v>
      </c>
      <c r="W1399" s="19">
        <v>0.90280000000000005</v>
      </c>
      <c r="X1399" s="6">
        <v>9.8800000000000008</v>
      </c>
      <c r="Y1399" s="21">
        <v>74338.705926581402</v>
      </c>
      <c r="Z1399" s="6">
        <v>1674</v>
      </c>
      <c r="AA1399" s="6">
        <v>0.80282576828788199</v>
      </c>
    </row>
    <row r="1400" spans="1:27" x14ac:dyDescent="0.25">
      <c r="A1400" s="7" t="str">
        <f t="shared" si="21"/>
        <v>3927Swedish First Hill401021076412 SCI HIGHLINE</v>
      </c>
      <c r="B1400" s="7"/>
      <c r="C1400" s="29" t="s">
        <v>185</v>
      </c>
      <c r="D1400" s="29" t="s">
        <v>521</v>
      </c>
      <c r="E1400" s="29" t="s">
        <v>186</v>
      </c>
      <c r="F1400" s="29">
        <v>3927</v>
      </c>
      <c r="G1400" s="4" t="s">
        <v>522</v>
      </c>
      <c r="H1400" s="5">
        <v>4010</v>
      </c>
      <c r="I1400" s="4" t="s">
        <v>152</v>
      </c>
      <c r="J1400" s="4" t="s">
        <v>153</v>
      </c>
      <c r="K1400" s="4" t="s">
        <v>567</v>
      </c>
      <c r="L1400" s="4" t="s">
        <v>99</v>
      </c>
      <c r="M1400" s="6">
        <v>36253.86</v>
      </c>
      <c r="N1400" s="6">
        <v>28919.72</v>
      </c>
      <c r="O1400" s="19">
        <v>0.51429999999999998</v>
      </c>
      <c r="P1400" s="6">
        <v>0.32</v>
      </c>
      <c r="Q1400" s="6">
        <v>0.44</v>
      </c>
      <c r="R1400" s="19">
        <v>0.57579999999999998</v>
      </c>
      <c r="S1400" s="20">
        <v>36</v>
      </c>
      <c r="T1400" s="6">
        <v>0.35</v>
      </c>
      <c r="U1400" s="6">
        <v>0.39</v>
      </c>
      <c r="V1400" s="6">
        <v>0.43</v>
      </c>
      <c r="W1400" s="19">
        <v>0.89449999999999996</v>
      </c>
      <c r="X1400" s="6">
        <v>6.9</v>
      </c>
      <c r="Y1400" s="21">
        <v>111681.159237903</v>
      </c>
      <c r="Z1400" s="6">
        <v>1782</v>
      </c>
      <c r="AA1400" s="6">
        <v>0.85457963331073505</v>
      </c>
    </row>
    <row r="1401" spans="1:27" x14ac:dyDescent="0.25">
      <c r="A1401" s="7" t="str">
        <f t="shared" si="21"/>
        <v>3932Swedish Health Services Corp (S)651020587100 MEDICAL STAFF SERVICES</v>
      </c>
      <c r="B1401" s="7"/>
      <c r="C1401" s="29" t="s">
        <v>185</v>
      </c>
      <c r="D1401" s="29" t="s">
        <v>521</v>
      </c>
      <c r="E1401" s="29" t="s">
        <v>186</v>
      </c>
      <c r="F1401" s="29">
        <v>3932</v>
      </c>
      <c r="G1401" s="4" t="s">
        <v>779</v>
      </c>
      <c r="H1401" s="5">
        <v>6510</v>
      </c>
      <c r="I1401" s="4" t="s">
        <v>19</v>
      </c>
      <c r="J1401" s="4" t="s">
        <v>19</v>
      </c>
      <c r="K1401" s="4" t="s">
        <v>781</v>
      </c>
      <c r="L1401" s="4" t="s">
        <v>20</v>
      </c>
      <c r="M1401" s="6">
        <v>582</v>
      </c>
      <c r="N1401" s="6">
        <v>752</v>
      </c>
      <c r="O1401" s="19">
        <v>0.71430000000000005</v>
      </c>
      <c r="P1401" s="6">
        <v>63.97</v>
      </c>
      <c r="Q1401" s="6">
        <v>52.31</v>
      </c>
      <c r="R1401" s="19">
        <v>0.875</v>
      </c>
      <c r="S1401" s="20">
        <v>8</v>
      </c>
      <c r="T1401" s="6">
        <v>25.03</v>
      </c>
      <c r="U1401" s="6">
        <v>26.1</v>
      </c>
      <c r="V1401" s="6">
        <v>30.91</v>
      </c>
      <c r="W1401" s="19">
        <v>0.89410000000000001</v>
      </c>
      <c r="X1401" s="6">
        <v>21.15</v>
      </c>
      <c r="Y1401" s="21">
        <v>752811.96219328395</v>
      </c>
      <c r="Z1401" s="6">
        <v>22161</v>
      </c>
      <c r="AA1401" s="6">
        <v>10.625041019546501</v>
      </c>
    </row>
    <row r="1402" spans="1:27" x14ac:dyDescent="0.25">
      <c r="A1402" s="7" t="str">
        <f t="shared" si="21"/>
        <v>3932Swedish Health Services Corp (S)621020582901 CLINICAL EDUCATION/20582903 ACADEMIC AFFILIATIONS CLIN ED</v>
      </c>
      <c r="B1402" s="7"/>
      <c r="C1402" s="29" t="s">
        <v>185</v>
      </c>
      <c r="D1402" s="29" t="s">
        <v>521</v>
      </c>
      <c r="E1402" s="29" t="s">
        <v>186</v>
      </c>
      <c r="F1402" s="29">
        <v>3932</v>
      </c>
      <c r="G1402" s="4" t="s">
        <v>779</v>
      </c>
      <c r="H1402" s="5">
        <v>6210</v>
      </c>
      <c r="I1402" s="4" t="s">
        <v>28</v>
      </c>
      <c r="J1402" s="4" t="s">
        <v>21</v>
      </c>
      <c r="K1402" s="4" t="s">
        <v>789</v>
      </c>
      <c r="L1402" s="4" t="s">
        <v>18</v>
      </c>
      <c r="M1402" s="6">
        <v>105431.92</v>
      </c>
      <c r="N1402" s="6">
        <v>100786.02</v>
      </c>
      <c r="O1402" s="19">
        <v>0.75</v>
      </c>
      <c r="P1402" s="6">
        <v>0.41</v>
      </c>
      <c r="Q1402" s="6">
        <v>0.6</v>
      </c>
      <c r="R1402" s="19">
        <v>0.85709999999999997</v>
      </c>
      <c r="S1402" s="20">
        <v>9</v>
      </c>
      <c r="T1402" s="6">
        <v>0.3</v>
      </c>
      <c r="U1402" s="6">
        <v>0.34</v>
      </c>
      <c r="V1402" s="6">
        <v>0.42</v>
      </c>
      <c r="W1402" s="19">
        <v>0.91049999999999998</v>
      </c>
      <c r="X1402" s="6">
        <v>31.86</v>
      </c>
      <c r="Y1402" s="21">
        <v>1507940.8834460899</v>
      </c>
      <c r="Z1402" s="6">
        <v>28815</v>
      </c>
      <c r="AA1402" s="6">
        <v>13.815393276203601</v>
      </c>
    </row>
    <row r="1403" spans="1:27" x14ac:dyDescent="0.25">
      <c r="A1403" s="7" t="str">
        <f t="shared" si="21"/>
        <v>3932Swedish Health Services Corp (S)509920584500 FACILITY MANAGEMENT/20584604 WORKFLOW SYSTEMS</v>
      </c>
      <c r="B1403" s="7"/>
      <c r="C1403" s="29" t="s">
        <v>185</v>
      </c>
      <c r="D1403" s="29" t="s">
        <v>521</v>
      </c>
      <c r="E1403" s="29" t="s">
        <v>186</v>
      </c>
      <c r="F1403" s="29">
        <v>3932</v>
      </c>
      <c r="G1403" s="4" t="s">
        <v>779</v>
      </c>
      <c r="H1403" s="5">
        <v>5099</v>
      </c>
      <c r="I1403" s="4" t="s">
        <v>61</v>
      </c>
      <c r="J1403" s="4" t="s">
        <v>62</v>
      </c>
      <c r="K1403" s="4" t="s">
        <v>790</v>
      </c>
      <c r="L1403" s="4" t="s">
        <v>63</v>
      </c>
      <c r="M1403" s="6">
        <v>5085.32</v>
      </c>
      <c r="N1403" s="6">
        <v>5319.27</v>
      </c>
      <c r="O1403" s="19">
        <v>0.77780000000000005</v>
      </c>
      <c r="P1403" s="6">
        <v>4.16</v>
      </c>
      <c r="Q1403" s="6">
        <v>6.42</v>
      </c>
      <c r="R1403" s="19">
        <v>1</v>
      </c>
      <c r="S1403" s="20">
        <v>10</v>
      </c>
      <c r="T1403" s="6">
        <v>2.64</v>
      </c>
      <c r="U1403" s="6">
        <v>4.21</v>
      </c>
      <c r="V1403" s="6">
        <v>4.6399999999999997</v>
      </c>
      <c r="W1403" s="19">
        <v>0.87849999999999995</v>
      </c>
      <c r="X1403" s="6">
        <v>18.68</v>
      </c>
      <c r="Y1403" s="21">
        <v>553501.93096268596</v>
      </c>
      <c r="Z1403" s="6">
        <v>13470</v>
      </c>
      <c r="AA1403" s="6">
        <v>6.4580493993996404</v>
      </c>
    </row>
    <row r="1404" spans="1:27" x14ac:dyDescent="0.25">
      <c r="A1404" s="7" t="str">
        <f t="shared" si="21"/>
        <v>3932Swedish Health Services Corp (S)504020584601 CLINICAL ENGINEERING/20584615 MEDICAL IMAGING ENGINEERS</v>
      </c>
      <c r="B1404" s="7"/>
      <c r="C1404" s="29" t="s">
        <v>185</v>
      </c>
      <c r="D1404" s="29" t="s">
        <v>521</v>
      </c>
      <c r="E1404" s="29" t="s">
        <v>186</v>
      </c>
      <c r="F1404" s="29">
        <v>3932</v>
      </c>
      <c r="G1404" s="4" t="s">
        <v>779</v>
      </c>
      <c r="H1404" s="5">
        <v>5040</v>
      </c>
      <c r="I1404" s="4" t="s">
        <v>142</v>
      </c>
      <c r="J1404" s="4" t="s">
        <v>62</v>
      </c>
      <c r="K1404" s="4" t="s">
        <v>791</v>
      </c>
      <c r="L1404" s="4" t="s">
        <v>143</v>
      </c>
      <c r="M1404" s="6">
        <v>340.38</v>
      </c>
      <c r="N1404" s="6">
        <v>419.12</v>
      </c>
      <c r="O1404" s="19">
        <v>0.90910000000000002</v>
      </c>
      <c r="P1404" s="6">
        <v>220.55</v>
      </c>
      <c r="Q1404" s="6">
        <v>163.61000000000001</v>
      </c>
      <c r="R1404" s="19">
        <v>0.6</v>
      </c>
      <c r="S1404" s="20">
        <v>12</v>
      </c>
      <c r="T1404" s="6">
        <v>156.34</v>
      </c>
      <c r="U1404" s="6">
        <v>157.69</v>
      </c>
      <c r="V1404" s="6">
        <v>160.52000000000001</v>
      </c>
      <c r="W1404" s="19">
        <v>0.86229999999999996</v>
      </c>
      <c r="X1404" s="6">
        <v>38.229999999999997</v>
      </c>
      <c r="Y1404" s="21">
        <v>125503.307872941</v>
      </c>
      <c r="Z1404" s="6">
        <v>3091</v>
      </c>
      <c r="AA1404" s="6">
        <v>1.4821181508952701</v>
      </c>
    </row>
    <row r="1405" spans="1:27" x14ac:dyDescent="0.25">
      <c r="A1405" s="7" t="str">
        <f t="shared" si="21"/>
        <v>3932Swedish Health Services Corp (S)191120587302 NURSING RESOURCE OFFICE</v>
      </c>
      <c r="B1405" s="7"/>
      <c r="C1405" s="29" t="s">
        <v>185</v>
      </c>
      <c r="D1405" s="29" t="s">
        <v>521</v>
      </c>
      <c r="E1405" s="29" t="s">
        <v>186</v>
      </c>
      <c r="F1405" s="29">
        <v>3932</v>
      </c>
      <c r="G1405" s="4" t="s">
        <v>779</v>
      </c>
      <c r="H1405" s="5">
        <v>1911</v>
      </c>
      <c r="I1405" s="4" t="s">
        <v>171</v>
      </c>
      <c r="J1405" s="4" t="s">
        <v>23</v>
      </c>
      <c r="K1405" s="4" t="s">
        <v>782</v>
      </c>
      <c r="L1405" s="4" t="s">
        <v>35</v>
      </c>
      <c r="M1405" s="6">
        <v>2246</v>
      </c>
      <c r="N1405" s="6">
        <v>2456</v>
      </c>
      <c r="O1405" s="19">
        <v>0.91669999999999996</v>
      </c>
      <c r="P1405" s="6">
        <v>19.16</v>
      </c>
      <c r="Q1405" s="6">
        <v>17.600000000000001</v>
      </c>
      <c r="R1405" s="19">
        <v>0.33329999999999999</v>
      </c>
      <c r="S1405" s="20">
        <v>13</v>
      </c>
      <c r="T1405" s="6">
        <v>14.84</v>
      </c>
      <c r="U1405" s="6">
        <v>18.670000000000002</v>
      </c>
      <c r="V1405" s="6">
        <v>26.86</v>
      </c>
      <c r="W1405" s="19">
        <v>0.87809999999999999</v>
      </c>
      <c r="X1405" s="6">
        <v>18.600000000000001</v>
      </c>
      <c r="Y1405" s="21">
        <v>-367605.10542285099</v>
      </c>
      <c r="Z1405" s="6">
        <v>-13425</v>
      </c>
      <c r="AA1405" s="6">
        <v>-6.4366871242468102</v>
      </c>
    </row>
    <row r="1406" spans="1:27" x14ac:dyDescent="0.25">
      <c r="A1406" s="7" t="str">
        <f t="shared" si="21"/>
        <v>3932Swedish Health Services Corp (S)661020586100 ADMINISTRATION/20586112 CHIEF NURSING ADMIN</v>
      </c>
      <c r="B1406" s="7"/>
      <c r="C1406" s="29" t="s">
        <v>185</v>
      </c>
      <c r="D1406" s="29" t="s">
        <v>521</v>
      </c>
      <c r="E1406" s="29" t="s">
        <v>186</v>
      </c>
      <c r="F1406" s="29">
        <v>3932</v>
      </c>
      <c r="G1406" s="4" t="s">
        <v>779</v>
      </c>
      <c r="H1406" s="5">
        <v>6610</v>
      </c>
      <c r="I1406" s="4" t="s">
        <v>72</v>
      </c>
      <c r="J1406" s="4" t="s">
        <v>72</v>
      </c>
      <c r="K1406" s="4" t="s">
        <v>792</v>
      </c>
      <c r="L1406" s="4" t="s">
        <v>14</v>
      </c>
      <c r="M1406" s="6">
        <v>1054.32</v>
      </c>
      <c r="N1406" s="6">
        <v>1007.86</v>
      </c>
      <c r="O1406" s="19">
        <v>0.53849999999999998</v>
      </c>
      <c r="P1406" s="6">
        <v>17.71</v>
      </c>
      <c r="Q1406" s="6">
        <v>24.62</v>
      </c>
      <c r="R1406" s="19">
        <v>0</v>
      </c>
      <c r="S1406" s="20">
        <v>14</v>
      </c>
      <c r="T1406" s="6">
        <v>31.53</v>
      </c>
      <c r="U1406" s="6">
        <v>37.6</v>
      </c>
      <c r="V1406" s="6">
        <v>58.51</v>
      </c>
      <c r="W1406" s="19">
        <v>0.92359999999999998</v>
      </c>
      <c r="X1406" s="6">
        <v>12.92</v>
      </c>
      <c r="Y1406" s="21">
        <v>-540299.74790083803</v>
      </c>
      <c r="Z1406" s="6">
        <v>-14083</v>
      </c>
      <c r="AA1406" s="6">
        <v>-6.7521709067040403</v>
      </c>
    </row>
    <row r="1407" spans="1:27" x14ac:dyDescent="0.25">
      <c r="A1407" s="7" t="str">
        <f t="shared" si="21"/>
        <v>3932Swedish Health Services Corp (S)5342Courier Service (N)</v>
      </c>
      <c r="B1407" s="7"/>
      <c r="C1407" s="29" t="s">
        <v>185</v>
      </c>
      <c r="D1407" s="29" t="s">
        <v>521</v>
      </c>
      <c r="E1407" s="29" t="s">
        <v>186</v>
      </c>
      <c r="F1407" s="29">
        <v>3932</v>
      </c>
      <c r="G1407" s="4" t="s">
        <v>779</v>
      </c>
      <c r="H1407" s="5">
        <v>5342</v>
      </c>
      <c r="I1407" s="4" t="s">
        <v>786</v>
      </c>
      <c r="J1407" s="4" t="s">
        <v>138</v>
      </c>
      <c r="K1407" s="4" t="s">
        <v>787</v>
      </c>
      <c r="L1407" s="4" t="s">
        <v>788</v>
      </c>
      <c r="M1407" s="6">
        <v>158.6</v>
      </c>
      <c r="N1407" s="6">
        <v>175</v>
      </c>
      <c r="O1407" s="19">
        <v>0.76919999999999999</v>
      </c>
      <c r="P1407" s="6">
        <v>35.020000000000003</v>
      </c>
      <c r="Q1407" s="6">
        <v>35.340000000000003</v>
      </c>
      <c r="R1407" s="19">
        <v>0.16669999999999999</v>
      </c>
      <c r="S1407" s="20">
        <v>14</v>
      </c>
      <c r="T1407" s="6">
        <v>62.88</v>
      </c>
      <c r="U1407" s="6">
        <v>79.709999999999994</v>
      </c>
      <c r="V1407" s="6">
        <v>95.21</v>
      </c>
      <c r="W1407" s="19">
        <v>0.88800000000000001</v>
      </c>
      <c r="X1407" s="6">
        <v>3.35</v>
      </c>
      <c r="Y1407" s="21">
        <v>-195344.459871889</v>
      </c>
      <c r="Z1407" s="6">
        <v>-8722</v>
      </c>
      <c r="AA1407" s="6">
        <v>-4.1815792610945302</v>
      </c>
    </row>
    <row r="1408" spans="1:27" x14ac:dyDescent="0.25">
      <c r="A1408" s="7" t="str">
        <f t="shared" si="21"/>
        <v>3932Swedish Health Services Corp (S)602020586600 EMPLOYEE HEALTH</v>
      </c>
      <c r="B1408" s="7"/>
      <c r="C1408" s="29" t="s">
        <v>185</v>
      </c>
      <c r="D1408" s="29" t="s">
        <v>521</v>
      </c>
      <c r="E1408" s="29" t="s">
        <v>186</v>
      </c>
      <c r="F1408" s="29">
        <v>3932</v>
      </c>
      <c r="G1408" s="4" t="s">
        <v>779</v>
      </c>
      <c r="H1408" s="5">
        <v>6020</v>
      </c>
      <c r="I1408" s="4" t="s">
        <v>70</v>
      </c>
      <c r="J1408" s="4" t="s">
        <v>69</v>
      </c>
      <c r="K1408" s="4" t="s">
        <v>780</v>
      </c>
      <c r="L1408" s="4" t="s">
        <v>71</v>
      </c>
      <c r="M1408" s="7"/>
      <c r="N1408" s="6">
        <v>34448</v>
      </c>
      <c r="O1408" s="19">
        <v>0.61539999999999995</v>
      </c>
      <c r="P1408" s="7"/>
      <c r="Q1408" s="6">
        <v>0.44</v>
      </c>
      <c r="R1408" s="19">
        <v>0.3846</v>
      </c>
      <c r="S1408" s="20">
        <v>14</v>
      </c>
      <c r="T1408" s="6">
        <v>0.25</v>
      </c>
      <c r="U1408" s="6">
        <v>0.38</v>
      </c>
      <c r="V1408" s="6">
        <v>0.57999999999999996</v>
      </c>
      <c r="W1408" s="19">
        <v>0.90500000000000003</v>
      </c>
      <c r="X1408" s="6">
        <v>8.06</v>
      </c>
      <c r="Y1408" s="21">
        <v>102849.308155427</v>
      </c>
      <c r="Z1408" s="6">
        <v>2346</v>
      </c>
      <c r="AA1408" s="6">
        <v>1.1249884493646201</v>
      </c>
    </row>
    <row r="1409" spans="1:27" x14ac:dyDescent="0.25">
      <c r="A1409" s="7" t="str">
        <f t="shared" si="21"/>
        <v>3932Swedish Health Services Corp (S)309920586109 PERIO OPERATIVE ADMIN/20586123 SURGICAL RESOURCES</v>
      </c>
      <c r="B1409" s="7"/>
      <c r="C1409" s="29" t="s">
        <v>185</v>
      </c>
      <c r="D1409" s="29" t="s">
        <v>521</v>
      </c>
      <c r="E1409" s="29" t="s">
        <v>186</v>
      </c>
      <c r="F1409" s="29">
        <v>3932</v>
      </c>
      <c r="G1409" s="4" t="s">
        <v>779</v>
      </c>
      <c r="H1409" s="5">
        <v>3099</v>
      </c>
      <c r="I1409" s="4" t="s">
        <v>46</v>
      </c>
      <c r="J1409" s="4" t="s">
        <v>47</v>
      </c>
      <c r="K1409" s="4" t="s">
        <v>793</v>
      </c>
      <c r="L1409" s="4" t="s">
        <v>49</v>
      </c>
      <c r="M1409" s="6">
        <v>28615</v>
      </c>
      <c r="N1409" s="6">
        <v>30787</v>
      </c>
      <c r="O1409" s="19">
        <v>0.4667</v>
      </c>
      <c r="P1409" s="6">
        <v>0.33</v>
      </c>
      <c r="Q1409" s="6">
        <v>0.25</v>
      </c>
      <c r="R1409" s="7"/>
      <c r="S1409" s="20">
        <v>16</v>
      </c>
      <c r="T1409" s="6">
        <v>1.1000000000000001</v>
      </c>
      <c r="U1409" s="6">
        <v>1.1399999999999999</v>
      </c>
      <c r="V1409" s="6">
        <v>1.54</v>
      </c>
      <c r="W1409" s="19">
        <v>0.89300000000000002</v>
      </c>
      <c r="X1409" s="6">
        <v>4.1100000000000003</v>
      </c>
      <c r="Y1409" s="21">
        <v>-1317602.73320785</v>
      </c>
      <c r="Z1409" s="6">
        <v>-30730</v>
      </c>
      <c r="AA1409" s="6">
        <v>-14.733818953583601</v>
      </c>
    </row>
    <row r="1410" spans="1:27" x14ac:dyDescent="0.25">
      <c r="A1410" s="7" t="str">
        <f t="shared" si="21"/>
        <v>3932Swedish Health Services Corp (S)633020590301,20590302,20590303,20590304,20590305,20590306,26090300 Foundation</v>
      </c>
      <c r="B1410" s="7"/>
      <c r="C1410" s="29" t="s">
        <v>185</v>
      </c>
      <c r="D1410" s="29" t="s">
        <v>521</v>
      </c>
      <c r="E1410" s="29" t="s">
        <v>186</v>
      </c>
      <c r="F1410" s="29">
        <v>3932</v>
      </c>
      <c r="G1410" s="4" t="s">
        <v>779</v>
      </c>
      <c r="H1410" s="5">
        <v>6330</v>
      </c>
      <c r="I1410" s="4" t="s">
        <v>169</v>
      </c>
      <c r="J1410" s="4" t="s">
        <v>16</v>
      </c>
      <c r="K1410" s="4" t="s">
        <v>785</v>
      </c>
      <c r="L1410" s="4" t="s">
        <v>170</v>
      </c>
      <c r="M1410" s="6">
        <v>1748.69</v>
      </c>
      <c r="N1410" s="6">
        <v>4127.6499999999996</v>
      </c>
      <c r="O1410" s="19">
        <v>0.8</v>
      </c>
      <c r="P1410" s="6">
        <v>20.149999999999999</v>
      </c>
      <c r="Q1410" s="6">
        <v>8.98</v>
      </c>
      <c r="R1410" s="19">
        <v>0.6</v>
      </c>
      <c r="S1410" s="20">
        <v>16</v>
      </c>
      <c r="T1410" s="6">
        <v>3.89</v>
      </c>
      <c r="U1410" s="6">
        <v>6.04</v>
      </c>
      <c r="V1410" s="6">
        <v>7.89</v>
      </c>
      <c r="W1410" s="19">
        <v>0.91439999999999999</v>
      </c>
      <c r="X1410" s="6">
        <v>19.48</v>
      </c>
      <c r="Y1410" s="21">
        <v>636386.79938472004</v>
      </c>
      <c r="Z1410" s="6">
        <v>13365</v>
      </c>
      <c r="AA1410" s="6">
        <v>6.40770786664564</v>
      </c>
    </row>
    <row r="1411" spans="1:27" x14ac:dyDescent="0.25">
      <c r="A1411" s="7" t="str">
        <f t="shared" ref="A1411:A1462" si="22">F1411&amp;G1411&amp;H1411&amp;K1411</f>
        <v>3932Swedish Health Services Corp (S)641020587530 EPIDEMIOLOGY-INFECTION PREVNTN</v>
      </c>
      <c r="B1411" s="7"/>
      <c r="C1411" s="29" t="s">
        <v>185</v>
      </c>
      <c r="D1411" s="29" t="s">
        <v>521</v>
      </c>
      <c r="E1411" s="29" t="s">
        <v>186</v>
      </c>
      <c r="F1411" s="29">
        <v>3932</v>
      </c>
      <c r="G1411" s="4" t="s">
        <v>779</v>
      </c>
      <c r="H1411" s="5">
        <v>6410</v>
      </c>
      <c r="I1411" s="4" t="s">
        <v>29</v>
      </c>
      <c r="J1411" s="4" t="s">
        <v>30</v>
      </c>
      <c r="K1411" s="4" t="s">
        <v>783</v>
      </c>
      <c r="L1411" s="4" t="s">
        <v>31</v>
      </c>
      <c r="M1411" s="6">
        <v>222</v>
      </c>
      <c r="N1411" s="6">
        <v>299</v>
      </c>
      <c r="O1411" s="19">
        <v>0.5625</v>
      </c>
      <c r="P1411" s="6">
        <v>57.27</v>
      </c>
      <c r="Q1411" s="6">
        <v>41.89</v>
      </c>
      <c r="R1411" s="19">
        <v>0.8125</v>
      </c>
      <c r="S1411" s="20">
        <v>17</v>
      </c>
      <c r="T1411" s="6">
        <v>22.72</v>
      </c>
      <c r="U1411" s="6">
        <v>24.26</v>
      </c>
      <c r="V1411" s="6">
        <v>28.9</v>
      </c>
      <c r="W1411" s="19">
        <v>0.92849999999999999</v>
      </c>
      <c r="X1411" s="6">
        <v>6.49</v>
      </c>
      <c r="Y1411" s="21">
        <v>403131.21217528998</v>
      </c>
      <c r="Z1411" s="6">
        <v>5724</v>
      </c>
      <c r="AA1411" s="6">
        <v>2.7443410136811601</v>
      </c>
    </row>
    <row r="1412" spans="1:27" x14ac:dyDescent="0.25">
      <c r="A1412" s="7" t="str">
        <f t="shared" si="22"/>
        <v>3932Swedish Health Services Corp (S)585020587550 CARE COORDINATION</v>
      </c>
      <c r="B1412" s="7"/>
      <c r="C1412" s="29" t="s">
        <v>185</v>
      </c>
      <c r="D1412" s="29" t="s">
        <v>521</v>
      </c>
      <c r="E1412" s="29" t="s">
        <v>186</v>
      </c>
      <c r="F1412" s="29">
        <v>3932</v>
      </c>
      <c r="G1412" s="4" t="s">
        <v>779</v>
      </c>
      <c r="H1412" s="5">
        <v>5850</v>
      </c>
      <c r="I1412" s="4" t="s">
        <v>172</v>
      </c>
      <c r="J1412" s="4" t="s">
        <v>26</v>
      </c>
      <c r="K1412" s="4" t="s">
        <v>784</v>
      </c>
      <c r="L1412" s="4" t="s">
        <v>33</v>
      </c>
      <c r="M1412" s="6">
        <v>94523</v>
      </c>
      <c r="N1412" s="6">
        <v>196653</v>
      </c>
      <c r="O1412" s="19">
        <v>1</v>
      </c>
      <c r="P1412" s="6">
        <v>1.98</v>
      </c>
      <c r="Q1412" s="6">
        <v>0.94</v>
      </c>
      <c r="R1412" s="19">
        <v>0.66669999999999996</v>
      </c>
      <c r="S1412" s="20">
        <v>19</v>
      </c>
      <c r="T1412" s="6">
        <v>0.67</v>
      </c>
      <c r="U1412" s="6">
        <v>0.88</v>
      </c>
      <c r="V1412" s="6">
        <v>0.9</v>
      </c>
      <c r="W1412" s="19">
        <v>0.90549999999999997</v>
      </c>
      <c r="X1412" s="6">
        <v>97.97</v>
      </c>
      <c r="Y1412" s="21">
        <v>537892.80742703401</v>
      </c>
      <c r="Z1412" s="6">
        <v>13221</v>
      </c>
      <c r="AA1412" s="6">
        <v>6.3388889664300798</v>
      </c>
    </row>
    <row r="1413" spans="1:27" x14ac:dyDescent="0.25">
      <c r="A1413" s="7" t="str">
        <f t="shared" si="22"/>
        <v>3931Swedish Issaquah5608Centralized Scheduling (N)</v>
      </c>
      <c r="B1413" s="7"/>
      <c r="C1413" s="29" t="s">
        <v>185</v>
      </c>
      <c r="D1413" s="29" t="s">
        <v>521</v>
      </c>
      <c r="E1413" s="29" t="s">
        <v>186</v>
      </c>
      <c r="F1413" s="29">
        <v>3931</v>
      </c>
      <c r="G1413" s="4" t="s">
        <v>743</v>
      </c>
      <c r="H1413" s="5">
        <v>5608</v>
      </c>
      <c r="I1413" s="4" t="s">
        <v>257</v>
      </c>
      <c r="J1413" s="4" t="s">
        <v>12</v>
      </c>
      <c r="K1413" s="4" t="s">
        <v>597</v>
      </c>
      <c r="L1413" s="4" t="s">
        <v>18</v>
      </c>
      <c r="M1413" s="6">
        <v>11967.49</v>
      </c>
      <c r="N1413" s="6">
        <v>13188.63</v>
      </c>
      <c r="O1413" s="19">
        <v>0.28570000000000001</v>
      </c>
      <c r="P1413" s="6">
        <v>1.46</v>
      </c>
      <c r="Q1413" s="6">
        <v>1.21</v>
      </c>
      <c r="R1413" s="19">
        <v>0.85709999999999997</v>
      </c>
      <c r="S1413" s="20">
        <v>8</v>
      </c>
      <c r="T1413" s="6">
        <v>0.44</v>
      </c>
      <c r="U1413" s="6">
        <v>0.6</v>
      </c>
      <c r="V1413" s="6">
        <v>0.92</v>
      </c>
      <c r="W1413" s="19">
        <v>0.89980000000000004</v>
      </c>
      <c r="X1413" s="6">
        <v>8.5399999999999991</v>
      </c>
      <c r="Y1413" s="21">
        <v>274039.86543598602</v>
      </c>
      <c r="Z1413" s="6">
        <v>9018</v>
      </c>
      <c r="AA1413" s="6">
        <v>4.3234902884397597</v>
      </c>
    </row>
    <row r="1414" spans="1:27" x14ac:dyDescent="0.25">
      <c r="A1414" s="7" t="str">
        <f t="shared" si="22"/>
        <v>3931Swedish Issaquah422422575600 ECHOCARDIOLOGY</v>
      </c>
      <c r="B1414" s="7"/>
      <c r="C1414" s="29" t="s">
        <v>185</v>
      </c>
      <c r="D1414" s="29" t="s">
        <v>521</v>
      </c>
      <c r="E1414" s="29" t="s">
        <v>186</v>
      </c>
      <c r="F1414" s="29">
        <v>3931</v>
      </c>
      <c r="G1414" s="4" t="s">
        <v>743</v>
      </c>
      <c r="H1414" s="5">
        <v>4224</v>
      </c>
      <c r="I1414" s="4" t="s">
        <v>275</v>
      </c>
      <c r="J1414" s="4" t="s">
        <v>60</v>
      </c>
      <c r="K1414" s="4" t="s">
        <v>756</v>
      </c>
      <c r="L1414" s="4" t="s">
        <v>99</v>
      </c>
      <c r="M1414" s="7"/>
      <c r="N1414" s="6">
        <v>16913.16</v>
      </c>
      <c r="O1414" s="19">
        <v>0.375</v>
      </c>
      <c r="P1414" s="7"/>
      <c r="Q1414" s="6">
        <v>0.43</v>
      </c>
      <c r="R1414" s="19">
        <v>0.75</v>
      </c>
      <c r="S1414" s="20">
        <v>9</v>
      </c>
      <c r="T1414" s="6">
        <v>0.28000000000000003</v>
      </c>
      <c r="U1414" s="6">
        <v>0.34</v>
      </c>
      <c r="V1414" s="6">
        <v>0.38</v>
      </c>
      <c r="W1414" s="19">
        <v>0.87829999999999997</v>
      </c>
      <c r="X1414" s="6">
        <v>3.97</v>
      </c>
      <c r="Y1414" s="21">
        <v>95301.624065479205</v>
      </c>
      <c r="Z1414" s="6">
        <v>1733</v>
      </c>
      <c r="AA1414" s="6">
        <v>0.83087253633146096</v>
      </c>
    </row>
    <row r="1415" spans="1:27" x14ac:dyDescent="0.25">
      <c r="A1415" s="7" t="str">
        <f t="shared" si="22"/>
        <v>3931Swedish Issaquah181022577158 INTRAVENOUS NURSES</v>
      </c>
      <c r="B1415" s="7"/>
      <c r="C1415" s="29" t="s">
        <v>185</v>
      </c>
      <c r="D1415" s="29" t="s">
        <v>521</v>
      </c>
      <c r="E1415" s="29" t="s">
        <v>186</v>
      </c>
      <c r="F1415" s="29">
        <v>3931</v>
      </c>
      <c r="G1415" s="4" t="s">
        <v>743</v>
      </c>
      <c r="H1415" s="5">
        <v>1810</v>
      </c>
      <c r="I1415" s="4" t="s">
        <v>162</v>
      </c>
      <c r="J1415" s="4" t="s">
        <v>23</v>
      </c>
      <c r="K1415" s="4" t="s">
        <v>765</v>
      </c>
      <c r="L1415" s="4" t="s">
        <v>163</v>
      </c>
      <c r="M1415" s="6">
        <v>0.08</v>
      </c>
      <c r="N1415" s="6">
        <v>2.54</v>
      </c>
      <c r="O1415" s="19">
        <v>0</v>
      </c>
      <c r="P1415" s="6">
        <v>65388.03</v>
      </c>
      <c r="Q1415" s="6">
        <v>2029.76</v>
      </c>
      <c r="R1415" s="19">
        <v>0.90910000000000002</v>
      </c>
      <c r="S1415" s="20">
        <v>10</v>
      </c>
      <c r="T1415" s="6">
        <v>233.74</v>
      </c>
      <c r="U1415" s="6">
        <v>421.95</v>
      </c>
      <c r="V1415" s="6">
        <v>546.04</v>
      </c>
      <c r="W1415" s="19">
        <v>0.93100000000000005</v>
      </c>
      <c r="X1415" s="6">
        <v>2.66</v>
      </c>
      <c r="Y1415" s="21">
        <v>227251.025524128</v>
      </c>
      <c r="Z1415" s="6">
        <v>4397</v>
      </c>
      <c r="AA1415" s="6">
        <v>2.1080583269006801</v>
      </c>
    </row>
    <row r="1416" spans="1:27" x14ac:dyDescent="0.25">
      <c r="A1416" s="7" t="str">
        <f t="shared" si="22"/>
        <v>3931Swedish Issaquah126022562900 PEDIATRIC UNIT</v>
      </c>
      <c r="B1416" s="7"/>
      <c r="C1416" s="29" t="s">
        <v>185</v>
      </c>
      <c r="D1416" s="29" t="s">
        <v>521</v>
      </c>
      <c r="E1416" s="29" t="s">
        <v>186</v>
      </c>
      <c r="F1416" s="29">
        <v>3931</v>
      </c>
      <c r="G1416" s="4" t="s">
        <v>743</v>
      </c>
      <c r="H1416" s="5">
        <v>1260</v>
      </c>
      <c r="I1416" s="4" t="s">
        <v>173</v>
      </c>
      <c r="J1416" s="4" t="s">
        <v>23</v>
      </c>
      <c r="K1416" s="4" t="s">
        <v>747</v>
      </c>
      <c r="L1416" s="4" t="s">
        <v>74</v>
      </c>
      <c r="M1416" s="6">
        <v>377.33</v>
      </c>
      <c r="N1416" s="6">
        <v>444</v>
      </c>
      <c r="O1416" s="19">
        <v>0.5</v>
      </c>
      <c r="P1416" s="6">
        <v>25.86</v>
      </c>
      <c r="Q1416" s="6">
        <v>28.27</v>
      </c>
      <c r="R1416" s="19">
        <v>0.66669999999999996</v>
      </c>
      <c r="S1416" s="20">
        <v>11</v>
      </c>
      <c r="T1416" s="6">
        <v>18.440000000000001</v>
      </c>
      <c r="U1416" s="6">
        <v>18.87</v>
      </c>
      <c r="V1416" s="6">
        <v>21.83</v>
      </c>
      <c r="W1416" s="19">
        <v>0.92969999999999997</v>
      </c>
      <c r="X1416" s="6">
        <v>6.49</v>
      </c>
      <c r="Y1416" s="21">
        <v>234651.50883834</v>
      </c>
      <c r="Z1416" s="6">
        <v>4524</v>
      </c>
      <c r="AA1416" s="6">
        <v>2.1692394585153001</v>
      </c>
    </row>
    <row r="1417" spans="1:27" x14ac:dyDescent="0.25">
      <c r="A1417" s="7" t="str">
        <f t="shared" si="22"/>
        <v>3931Swedish Issaquah306022574500 ANESTHESIA</v>
      </c>
      <c r="B1417" s="7"/>
      <c r="C1417" s="29" t="s">
        <v>185</v>
      </c>
      <c r="D1417" s="29" t="s">
        <v>521</v>
      </c>
      <c r="E1417" s="29" t="s">
        <v>186</v>
      </c>
      <c r="F1417" s="29">
        <v>3931</v>
      </c>
      <c r="G1417" s="4" t="s">
        <v>743</v>
      </c>
      <c r="H1417" s="5">
        <v>3060</v>
      </c>
      <c r="I1417" s="4" t="s">
        <v>180</v>
      </c>
      <c r="J1417" s="4" t="s">
        <v>47</v>
      </c>
      <c r="K1417" s="4" t="s">
        <v>754</v>
      </c>
      <c r="L1417" s="4" t="s">
        <v>181</v>
      </c>
      <c r="M1417" s="6">
        <v>5477.88</v>
      </c>
      <c r="N1417" s="6">
        <v>6244.34</v>
      </c>
      <c r="O1417" s="19">
        <v>0.54549999999999998</v>
      </c>
      <c r="P1417" s="6">
        <v>1.05</v>
      </c>
      <c r="Q1417" s="6">
        <v>0.95</v>
      </c>
      <c r="R1417" s="19">
        <v>0.81820000000000004</v>
      </c>
      <c r="S1417" s="20">
        <v>12</v>
      </c>
      <c r="T1417" s="6">
        <v>0.42</v>
      </c>
      <c r="U1417" s="6">
        <v>0.56000000000000005</v>
      </c>
      <c r="V1417" s="6">
        <v>0.71</v>
      </c>
      <c r="W1417" s="19">
        <v>0.87929999999999997</v>
      </c>
      <c r="X1417" s="6">
        <v>3.24</v>
      </c>
      <c r="Y1417" s="21">
        <v>106057.54167183</v>
      </c>
      <c r="Z1417" s="6">
        <v>2781</v>
      </c>
      <c r="AA1417" s="6">
        <v>1.3332855635942999</v>
      </c>
    </row>
    <row r="1418" spans="1:27" x14ac:dyDescent="0.25">
      <c r="A1418" s="7" t="str">
        <f t="shared" si="22"/>
        <v>3931Swedish Issaquah343022576600 MRI</v>
      </c>
      <c r="B1418" s="7"/>
      <c r="C1418" s="29" t="s">
        <v>185</v>
      </c>
      <c r="D1418" s="29" t="s">
        <v>521</v>
      </c>
      <c r="E1418" s="29" t="s">
        <v>186</v>
      </c>
      <c r="F1418" s="29">
        <v>3931</v>
      </c>
      <c r="G1418" s="4" t="s">
        <v>743</v>
      </c>
      <c r="H1418" s="5">
        <v>3430</v>
      </c>
      <c r="I1418" s="4" t="s">
        <v>121</v>
      </c>
      <c r="J1418" s="4" t="s">
        <v>57</v>
      </c>
      <c r="K1418" s="4" t="s">
        <v>760</v>
      </c>
      <c r="L1418" s="4" t="s">
        <v>99</v>
      </c>
      <c r="M1418" s="6">
        <v>37595.99</v>
      </c>
      <c r="N1418" s="6">
        <v>55199.66</v>
      </c>
      <c r="O1418" s="19">
        <v>0.58330000000000004</v>
      </c>
      <c r="P1418" s="6">
        <v>0.26</v>
      </c>
      <c r="Q1418" s="6">
        <v>0.19</v>
      </c>
      <c r="R1418" s="19">
        <v>0</v>
      </c>
      <c r="S1418" s="20">
        <v>13</v>
      </c>
      <c r="T1418" s="6">
        <v>0.28000000000000003</v>
      </c>
      <c r="U1418" s="6">
        <v>0.3</v>
      </c>
      <c r="V1418" s="6">
        <v>0.32</v>
      </c>
      <c r="W1418" s="19">
        <v>0.91510000000000002</v>
      </c>
      <c r="X1418" s="6">
        <v>5.49</v>
      </c>
      <c r="Y1418" s="21">
        <v>-361122.49460641702</v>
      </c>
      <c r="Z1418" s="6">
        <v>-6646</v>
      </c>
      <c r="AA1418" s="6">
        <v>-3.18635395586309</v>
      </c>
    </row>
    <row r="1419" spans="1:27" x14ac:dyDescent="0.25">
      <c r="A1419" s="7" t="str">
        <f t="shared" si="22"/>
        <v>3931Swedish Issaquah5925Patient Escort (Transport) Service (N)</v>
      </c>
      <c r="B1419" s="7"/>
      <c r="C1419" s="29" t="s">
        <v>185</v>
      </c>
      <c r="D1419" s="29" t="s">
        <v>521</v>
      </c>
      <c r="E1419" s="29" t="s">
        <v>186</v>
      </c>
      <c r="F1419" s="29">
        <v>3931</v>
      </c>
      <c r="G1419" s="4" t="s">
        <v>743</v>
      </c>
      <c r="H1419" s="5">
        <v>5925</v>
      </c>
      <c r="I1419" s="4" t="s">
        <v>135</v>
      </c>
      <c r="J1419" s="4" t="s">
        <v>136</v>
      </c>
      <c r="K1419" s="4" t="s">
        <v>672</v>
      </c>
      <c r="L1419" s="4" t="s">
        <v>137</v>
      </c>
      <c r="M1419" s="6">
        <v>141.99</v>
      </c>
      <c r="N1419" s="6">
        <v>145.22</v>
      </c>
      <c r="O1419" s="19">
        <v>0.5</v>
      </c>
      <c r="P1419" s="6">
        <v>56.84</v>
      </c>
      <c r="Q1419" s="6">
        <v>45.46</v>
      </c>
      <c r="R1419" s="19">
        <v>0.3846</v>
      </c>
      <c r="S1419" s="20">
        <v>13</v>
      </c>
      <c r="T1419" s="6">
        <v>37.340000000000003</v>
      </c>
      <c r="U1419" s="6">
        <v>44.4</v>
      </c>
      <c r="V1419" s="6">
        <v>46.59</v>
      </c>
      <c r="W1419" s="19">
        <v>0.90800000000000003</v>
      </c>
      <c r="X1419" s="6">
        <v>3.5</v>
      </c>
      <c r="Y1419" s="21">
        <v>9439.5864749498396</v>
      </c>
      <c r="Z1419" s="6">
        <v>199</v>
      </c>
      <c r="AA1419" s="6">
        <v>9.5355957570525202E-2</v>
      </c>
    </row>
    <row r="1420" spans="1:27" x14ac:dyDescent="0.25">
      <c r="A1420" s="7" t="str">
        <f t="shared" si="22"/>
        <v>3931Swedish Issaquah301122574200 SURGERY</v>
      </c>
      <c r="B1420" s="7"/>
      <c r="C1420" s="29" t="s">
        <v>185</v>
      </c>
      <c r="D1420" s="29" t="s">
        <v>521</v>
      </c>
      <c r="E1420" s="29" t="s">
        <v>186</v>
      </c>
      <c r="F1420" s="29">
        <v>3931</v>
      </c>
      <c r="G1420" s="4" t="s">
        <v>743</v>
      </c>
      <c r="H1420" s="5">
        <v>3011</v>
      </c>
      <c r="I1420" s="4" t="s">
        <v>87</v>
      </c>
      <c r="J1420" s="4" t="s">
        <v>47</v>
      </c>
      <c r="K1420" s="4" t="s">
        <v>751</v>
      </c>
      <c r="L1420" s="4" t="s">
        <v>88</v>
      </c>
      <c r="M1420" s="6">
        <v>4561.5200000000004</v>
      </c>
      <c r="N1420" s="6">
        <v>5550.49</v>
      </c>
      <c r="O1420" s="19">
        <v>0.47060000000000002</v>
      </c>
      <c r="P1420" s="6">
        <v>11.46</v>
      </c>
      <c r="Q1420" s="6">
        <v>10.32</v>
      </c>
      <c r="R1420" s="19">
        <v>5.8799999999999998E-2</v>
      </c>
      <c r="S1420" s="20">
        <v>18</v>
      </c>
      <c r="T1420" s="6">
        <v>10.8</v>
      </c>
      <c r="U1420" s="6">
        <v>11.35</v>
      </c>
      <c r="V1420" s="6">
        <v>12.87</v>
      </c>
      <c r="W1420" s="19">
        <v>0.88449999999999995</v>
      </c>
      <c r="X1420" s="6">
        <v>31.15</v>
      </c>
      <c r="Y1420" s="21">
        <v>-258880.82905679199</v>
      </c>
      <c r="Z1420" s="6">
        <v>-6255</v>
      </c>
      <c r="AA1420" s="6">
        <v>-2.9989620306876899</v>
      </c>
    </row>
    <row r="1421" spans="1:27" x14ac:dyDescent="0.25">
      <c r="A1421" s="7" t="str">
        <f t="shared" si="22"/>
        <v>3931Swedish Issaquah441122577102 RETAIL PHARMACY</v>
      </c>
      <c r="B1421" s="7"/>
      <c r="C1421" s="29" t="s">
        <v>185</v>
      </c>
      <c r="D1421" s="29" t="s">
        <v>521</v>
      </c>
      <c r="E1421" s="29" t="s">
        <v>186</v>
      </c>
      <c r="F1421" s="29">
        <v>3931</v>
      </c>
      <c r="G1421" s="4" t="s">
        <v>743</v>
      </c>
      <c r="H1421" s="5">
        <v>4411</v>
      </c>
      <c r="I1421" s="4" t="s">
        <v>154</v>
      </c>
      <c r="J1421" s="4" t="s">
        <v>37</v>
      </c>
      <c r="K1421" s="4" t="s">
        <v>764</v>
      </c>
      <c r="L1421" s="4" t="s">
        <v>155</v>
      </c>
      <c r="M1421" s="6">
        <v>36010</v>
      </c>
      <c r="N1421" s="6">
        <v>36213</v>
      </c>
      <c r="O1421" s="19">
        <v>0.58819999999999995</v>
      </c>
      <c r="P1421" s="6">
        <v>0.19</v>
      </c>
      <c r="Q1421" s="6">
        <v>0.19</v>
      </c>
      <c r="R1421" s="19">
        <v>5.8799999999999998E-2</v>
      </c>
      <c r="S1421" s="20">
        <v>18</v>
      </c>
      <c r="T1421" s="6">
        <v>0.21</v>
      </c>
      <c r="U1421" s="6">
        <v>0.23</v>
      </c>
      <c r="V1421" s="6">
        <v>0.26</v>
      </c>
      <c r="W1421" s="19">
        <v>0.91859999999999997</v>
      </c>
      <c r="X1421" s="6">
        <v>3.51</v>
      </c>
      <c r="Y1421" s="21">
        <v>-79178.175924467796</v>
      </c>
      <c r="Z1421" s="6">
        <v>-1746</v>
      </c>
      <c r="AA1421" s="6">
        <v>-0.83724441734385702</v>
      </c>
    </row>
    <row r="1422" spans="1:27" x14ac:dyDescent="0.25">
      <c r="A1422" s="7" t="str">
        <f t="shared" si="22"/>
        <v>3931Swedish Issaquah101022561724 INTENSIVE CARE TELEMETRY</v>
      </c>
      <c r="B1422" s="7"/>
      <c r="C1422" s="29" t="s">
        <v>185</v>
      </c>
      <c r="D1422" s="29" t="s">
        <v>521</v>
      </c>
      <c r="E1422" s="29" t="s">
        <v>186</v>
      </c>
      <c r="F1422" s="29">
        <v>3931</v>
      </c>
      <c r="G1422" s="4" t="s">
        <v>743</v>
      </c>
      <c r="H1422" s="5">
        <v>1010</v>
      </c>
      <c r="I1422" s="4" t="s">
        <v>287</v>
      </c>
      <c r="J1422" s="4" t="s">
        <v>23</v>
      </c>
      <c r="K1422" s="4" t="s">
        <v>746</v>
      </c>
      <c r="L1422" s="4" t="s">
        <v>74</v>
      </c>
      <c r="M1422" s="6">
        <v>1585.92</v>
      </c>
      <c r="N1422" s="6">
        <v>1102</v>
      </c>
      <c r="O1422" s="19">
        <v>0.52939999999999998</v>
      </c>
      <c r="P1422" s="6">
        <v>19.489999999999998</v>
      </c>
      <c r="Q1422" s="6">
        <v>29.92</v>
      </c>
      <c r="R1422" s="19">
        <v>0.82350000000000001</v>
      </c>
      <c r="S1422" s="20">
        <v>18</v>
      </c>
      <c r="T1422" s="6">
        <v>18.45</v>
      </c>
      <c r="U1422" s="6">
        <v>19.43</v>
      </c>
      <c r="V1422" s="6">
        <v>20.94</v>
      </c>
      <c r="W1422" s="19">
        <v>0.90610000000000002</v>
      </c>
      <c r="X1422" s="6">
        <v>17.489999999999998</v>
      </c>
      <c r="Y1422" s="21">
        <v>675034.91753922205</v>
      </c>
      <c r="Z1422" s="6">
        <v>12848</v>
      </c>
      <c r="AA1422" s="6">
        <v>6.1600909510532897</v>
      </c>
    </row>
    <row r="1423" spans="1:27" x14ac:dyDescent="0.25">
      <c r="A1423" s="7" t="str">
        <f t="shared" si="22"/>
        <v>3931Swedish Issaquah521122584400 ENVIRONMENTAL SERVICES/22584401 EVS IP</v>
      </c>
      <c r="B1423" s="7"/>
      <c r="C1423" s="29" t="s">
        <v>185</v>
      </c>
      <c r="D1423" s="29" t="s">
        <v>521</v>
      </c>
      <c r="E1423" s="29" t="s">
        <v>186</v>
      </c>
      <c r="F1423" s="29">
        <v>3931</v>
      </c>
      <c r="G1423" s="4" t="s">
        <v>743</v>
      </c>
      <c r="H1423" s="5">
        <v>5211</v>
      </c>
      <c r="I1423" s="4" t="s">
        <v>50</v>
      </c>
      <c r="J1423" s="4" t="s">
        <v>50</v>
      </c>
      <c r="K1423" s="4" t="s">
        <v>777</v>
      </c>
      <c r="L1423" s="4" t="s">
        <v>51</v>
      </c>
      <c r="M1423" s="6">
        <v>294.83</v>
      </c>
      <c r="N1423" s="6">
        <v>380.37</v>
      </c>
      <c r="O1423" s="19">
        <v>0.5</v>
      </c>
      <c r="P1423" s="6">
        <v>186.45</v>
      </c>
      <c r="Q1423" s="6">
        <v>148.43</v>
      </c>
      <c r="R1423" s="19">
        <v>0.16669999999999999</v>
      </c>
      <c r="S1423" s="20">
        <v>19</v>
      </c>
      <c r="T1423" s="6">
        <v>163.41</v>
      </c>
      <c r="U1423" s="6">
        <v>173.49</v>
      </c>
      <c r="V1423" s="6">
        <v>180.31</v>
      </c>
      <c r="W1423" s="19">
        <v>0.92810000000000004</v>
      </c>
      <c r="X1423" s="6">
        <v>29.25</v>
      </c>
      <c r="Y1423" s="21">
        <v>-211498.099054561</v>
      </c>
      <c r="Z1423" s="6">
        <v>-10096</v>
      </c>
      <c r="AA1423" s="6">
        <v>-4.8405564206547602</v>
      </c>
    </row>
    <row r="1424" spans="1:27" x14ac:dyDescent="0.25">
      <c r="A1424" s="7" t="str">
        <f t="shared" si="22"/>
        <v>3931Swedish Issaquah441022577100 PHARMACY</v>
      </c>
      <c r="B1424" s="7"/>
      <c r="C1424" s="29" t="s">
        <v>185</v>
      </c>
      <c r="D1424" s="29" t="s">
        <v>521</v>
      </c>
      <c r="E1424" s="29" t="s">
        <v>186</v>
      </c>
      <c r="F1424" s="29">
        <v>3931</v>
      </c>
      <c r="G1424" s="4" t="s">
        <v>743</v>
      </c>
      <c r="H1424" s="5">
        <v>4410</v>
      </c>
      <c r="I1424" s="4" t="s">
        <v>37</v>
      </c>
      <c r="J1424" s="4" t="s">
        <v>37</v>
      </c>
      <c r="K1424" s="4" t="s">
        <v>763</v>
      </c>
      <c r="L1424" s="4" t="s">
        <v>100</v>
      </c>
      <c r="M1424" s="6">
        <v>14923.78</v>
      </c>
      <c r="N1424" s="6">
        <v>18469.939999999999</v>
      </c>
      <c r="O1424" s="19">
        <v>0.57889999999999997</v>
      </c>
      <c r="P1424" s="6">
        <v>1.77</v>
      </c>
      <c r="Q1424" s="6">
        <v>1.38</v>
      </c>
      <c r="R1424" s="19">
        <v>0</v>
      </c>
      <c r="S1424" s="20">
        <v>20</v>
      </c>
      <c r="T1424" s="6">
        <v>1.82</v>
      </c>
      <c r="U1424" s="6">
        <v>2.04</v>
      </c>
      <c r="V1424" s="6">
        <v>2.11</v>
      </c>
      <c r="W1424" s="19">
        <v>0.92110000000000003</v>
      </c>
      <c r="X1424" s="6">
        <v>13.35</v>
      </c>
      <c r="Y1424" s="21">
        <v>-647901.11127313797</v>
      </c>
      <c r="Z1424" s="6">
        <v>-13062</v>
      </c>
      <c r="AA1424" s="6">
        <v>-6.2626838907852296</v>
      </c>
    </row>
    <row r="1425" spans="1:27" x14ac:dyDescent="0.25">
      <c r="A1425" s="7" t="str">
        <f t="shared" si="22"/>
        <v>3931Swedish Issaquah1110Medical/Surgical Intermediate Unit (N)</v>
      </c>
      <c r="B1425" s="7"/>
      <c r="C1425" s="29" t="s">
        <v>185</v>
      </c>
      <c r="D1425" s="29" t="s">
        <v>521</v>
      </c>
      <c r="E1425" s="29" t="s">
        <v>186</v>
      </c>
      <c r="F1425" s="29">
        <v>3931</v>
      </c>
      <c r="G1425" s="4" t="s">
        <v>743</v>
      </c>
      <c r="H1425" s="5">
        <v>1110</v>
      </c>
      <c r="I1425" s="4" t="s">
        <v>111</v>
      </c>
      <c r="J1425" s="4" t="s">
        <v>23</v>
      </c>
      <c r="K1425" s="4" t="s">
        <v>770</v>
      </c>
      <c r="L1425" s="4" t="s">
        <v>74</v>
      </c>
      <c r="M1425" s="6">
        <v>6643</v>
      </c>
      <c r="N1425" s="6">
        <v>3909</v>
      </c>
      <c r="O1425" s="19">
        <v>0.36840000000000001</v>
      </c>
      <c r="P1425" s="6">
        <v>5.19</v>
      </c>
      <c r="Q1425" s="6">
        <v>9.8800000000000008</v>
      </c>
      <c r="R1425" s="19">
        <v>0</v>
      </c>
      <c r="S1425" s="20">
        <v>20</v>
      </c>
      <c r="T1425" s="6">
        <v>12.21</v>
      </c>
      <c r="U1425" s="6">
        <v>12.53</v>
      </c>
      <c r="V1425" s="6">
        <v>13.55</v>
      </c>
      <c r="W1425" s="19">
        <v>0.92130000000000001</v>
      </c>
      <c r="X1425" s="6">
        <v>20.16</v>
      </c>
      <c r="Y1425" s="21">
        <v>-536499.09135099803</v>
      </c>
      <c r="Z1425" s="6">
        <v>-11116</v>
      </c>
      <c r="AA1425" s="6">
        <v>-5.3296474726169896</v>
      </c>
    </row>
    <row r="1426" spans="1:27" x14ac:dyDescent="0.25">
      <c r="A1426" s="7" t="str">
        <f t="shared" si="22"/>
        <v>3931Swedish Issaquah127222563800, 22563801, FAMILY CHILDBIRTH CENTER, POSTPARTUM</v>
      </c>
      <c r="B1426" s="7"/>
      <c r="C1426" s="29" t="s">
        <v>185</v>
      </c>
      <c r="D1426" s="29" t="s">
        <v>521</v>
      </c>
      <c r="E1426" s="29" t="s">
        <v>186</v>
      </c>
      <c r="F1426" s="29">
        <v>3931</v>
      </c>
      <c r="G1426" s="4" t="s">
        <v>743</v>
      </c>
      <c r="H1426" s="5">
        <v>1272</v>
      </c>
      <c r="I1426" s="4" t="s">
        <v>112</v>
      </c>
      <c r="J1426" s="4" t="s">
        <v>23</v>
      </c>
      <c r="K1426" s="4" t="s">
        <v>748</v>
      </c>
      <c r="L1426" s="4" t="s">
        <v>74</v>
      </c>
      <c r="M1426" s="6">
        <v>4233.33</v>
      </c>
      <c r="N1426" s="6">
        <v>4101</v>
      </c>
      <c r="O1426" s="19">
        <v>0.47370000000000001</v>
      </c>
      <c r="P1426" s="6">
        <v>7.18</v>
      </c>
      <c r="Q1426" s="6">
        <v>7.47</v>
      </c>
      <c r="R1426" s="19">
        <v>0.16669999999999999</v>
      </c>
      <c r="S1426" s="20">
        <v>20</v>
      </c>
      <c r="T1426" s="6">
        <v>7.66</v>
      </c>
      <c r="U1426" s="6">
        <v>8.11</v>
      </c>
      <c r="V1426" s="6">
        <v>9.4700000000000006</v>
      </c>
      <c r="W1426" s="19">
        <v>0.89729999999999999</v>
      </c>
      <c r="X1426" s="6">
        <v>16.41</v>
      </c>
      <c r="Y1426" s="21">
        <v>-133063.42420616001</v>
      </c>
      <c r="Z1426" s="6">
        <v>-2839</v>
      </c>
      <c r="AA1426" s="6">
        <v>-1.36137841422175</v>
      </c>
    </row>
    <row r="1427" spans="1:27" x14ac:dyDescent="0.25">
      <c r="A1427" s="7" t="str">
        <f t="shared" si="22"/>
        <v>3931Swedish Issaquah432022578740 SLEEP LAB</v>
      </c>
      <c r="B1427" s="7"/>
      <c r="C1427" s="29" t="s">
        <v>185</v>
      </c>
      <c r="D1427" s="29" t="s">
        <v>521</v>
      </c>
      <c r="E1427" s="29" t="s">
        <v>186</v>
      </c>
      <c r="F1427" s="29">
        <v>3931</v>
      </c>
      <c r="G1427" s="4" t="s">
        <v>743</v>
      </c>
      <c r="H1427" s="5">
        <v>4320</v>
      </c>
      <c r="I1427" s="4" t="s">
        <v>166</v>
      </c>
      <c r="J1427" s="4" t="s">
        <v>116</v>
      </c>
      <c r="K1427" s="4" t="s">
        <v>773</v>
      </c>
      <c r="L1427" s="4" t="s">
        <v>99</v>
      </c>
      <c r="M1427" s="6">
        <v>16146.7</v>
      </c>
      <c r="N1427" s="6">
        <v>15903.59</v>
      </c>
      <c r="O1427" s="19">
        <v>0.63160000000000005</v>
      </c>
      <c r="P1427" s="6">
        <v>0.64</v>
      </c>
      <c r="Q1427" s="6">
        <v>0.7</v>
      </c>
      <c r="R1427" s="19">
        <v>0.17649999999999999</v>
      </c>
      <c r="S1427" s="20">
        <v>20</v>
      </c>
      <c r="T1427" s="6">
        <v>0.76</v>
      </c>
      <c r="U1427" s="6">
        <v>0.8</v>
      </c>
      <c r="V1427" s="6">
        <v>0.85</v>
      </c>
      <c r="W1427" s="19">
        <v>0.89890000000000003</v>
      </c>
      <c r="X1427" s="6">
        <v>5.94</v>
      </c>
      <c r="Y1427" s="21">
        <v>-69100.433159705601</v>
      </c>
      <c r="Z1427" s="6">
        <v>-1765</v>
      </c>
      <c r="AA1427" s="6">
        <v>-0.84612627037996502</v>
      </c>
    </row>
    <row r="1428" spans="1:27" x14ac:dyDescent="0.25">
      <c r="A1428" s="7" t="str">
        <f t="shared" si="22"/>
        <v>3931Swedish Issaquah121122561710 GENERAL MEDICAL</v>
      </c>
      <c r="B1428" s="7"/>
      <c r="C1428" s="29" t="s">
        <v>185</v>
      </c>
      <c r="D1428" s="29" t="s">
        <v>521</v>
      </c>
      <c r="E1428" s="29" t="s">
        <v>186</v>
      </c>
      <c r="F1428" s="29">
        <v>3931</v>
      </c>
      <c r="G1428" s="4" t="s">
        <v>743</v>
      </c>
      <c r="H1428" s="5">
        <v>1211</v>
      </c>
      <c r="I1428" s="4" t="s">
        <v>161</v>
      </c>
      <c r="J1428" s="4" t="s">
        <v>23</v>
      </c>
      <c r="K1428" s="4" t="s">
        <v>744</v>
      </c>
      <c r="L1428" s="4" t="s">
        <v>74</v>
      </c>
      <c r="M1428" s="7"/>
      <c r="N1428" s="6">
        <v>5186</v>
      </c>
      <c r="O1428" s="19">
        <v>0.4</v>
      </c>
      <c r="P1428" s="7"/>
      <c r="Q1428" s="6">
        <v>4.5199999999999996</v>
      </c>
      <c r="R1428" s="7"/>
      <c r="S1428" s="20">
        <v>21</v>
      </c>
      <c r="T1428" s="6">
        <v>10.43</v>
      </c>
      <c r="U1428" s="6">
        <v>10.56</v>
      </c>
      <c r="V1428" s="6">
        <v>11.44</v>
      </c>
      <c r="W1428" s="19">
        <v>0.93</v>
      </c>
      <c r="X1428" s="6">
        <v>12.12</v>
      </c>
      <c r="Y1428" s="21">
        <v>-1508769.3655472801</v>
      </c>
      <c r="Z1428" s="6">
        <v>-33608</v>
      </c>
      <c r="AA1428" s="92">
        <v>-16.113299874568298</v>
      </c>
    </row>
    <row r="1429" spans="1:27" x14ac:dyDescent="0.25">
      <c r="A1429" s="7" t="str">
        <f t="shared" si="22"/>
        <v>3931Swedish Issaquah121222561720 GENERAL SURGICAL</v>
      </c>
      <c r="B1429" s="7"/>
      <c r="C1429" s="29" t="s">
        <v>185</v>
      </c>
      <c r="D1429" s="29" t="s">
        <v>521</v>
      </c>
      <c r="E1429" s="29" t="s">
        <v>186</v>
      </c>
      <c r="F1429" s="29">
        <v>3931</v>
      </c>
      <c r="G1429" s="4" t="s">
        <v>743</v>
      </c>
      <c r="H1429" s="5">
        <v>1212</v>
      </c>
      <c r="I1429" s="4" t="s">
        <v>160</v>
      </c>
      <c r="J1429" s="4" t="s">
        <v>23</v>
      </c>
      <c r="K1429" s="4" t="s">
        <v>745</v>
      </c>
      <c r="L1429" s="4" t="s">
        <v>74</v>
      </c>
      <c r="M1429" s="7"/>
      <c r="N1429" s="6">
        <v>4233</v>
      </c>
      <c r="O1429" s="19">
        <v>0.6</v>
      </c>
      <c r="P1429" s="7"/>
      <c r="Q1429" s="6">
        <v>4.57</v>
      </c>
      <c r="R1429" s="7"/>
      <c r="S1429" s="20">
        <v>21</v>
      </c>
      <c r="T1429" s="6">
        <v>10.62</v>
      </c>
      <c r="U1429" s="6">
        <v>11.07</v>
      </c>
      <c r="V1429" s="6">
        <v>12</v>
      </c>
      <c r="W1429" s="19">
        <v>0.86539999999999995</v>
      </c>
      <c r="X1429" s="6">
        <v>10.74</v>
      </c>
      <c r="Y1429" s="21">
        <v>-1413273.6483819699</v>
      </c>
      <c r="Z1429" s="6">
        <v>-31747</v>
      </c>
      <c r="AA1429" s="6">
        <v>-15.221343134905901</v>
      </c>
    </row>
    <row r="1430" spans="1:27" x14ac:dyDescent="0.25">
      <c r="A1430" s="7" t="str">
        <f t="shared" si="22"/>
        <v>3931Swedish Issaquah191022587202 NURSING SUPERVISORS</v>
      </c>
      <c r="B1430" s="7"/>
      <c r="C1430" s="29" t="s">
        <v>185</v>
      </c>
      <c r="D1430" s="29" t="s">
        <v>521</v>
      </c>
      <c r="E1430" s="29" t="s">
        <v>186</v>
      </c>
      <c r="F1430" s="29">
        <v>3931</v>
      </c>
      <c r="G1430" s="4" t="s">
        <v>743</v>
      </c>
      <c r="H1430" s="5">
        <v>1910</v>
      </c>
      <c r="I1430" s="4" t="s">
        <v>34</v>
      </c>
      <c r="J1430" s="4" t="s">
        <v>23</v>
      </c>
      <c r="K1430" s="4" t="s">
        <v>769</v>
      </c>
      <c r="L1430" s="4" t="s">
        <v>35</v>
      </c>
      <c r="M1430" s="6">
        <v>221</v>
      </c>
      <c r="N1430" s="6">
        <v>244</v>
      </c>
      <c r="O1430" s="19">
        <v>0.5</v>
      </c>
      <c r="P1430" s="6">
        <v>92.44</v>
      </c>
      <c r="Q1430" s="6">
        <v>88.58</v>
      </c>
      <c r="R1430" s="19">
        <v>0.5</v>
      </c>
      <c r="S1430" s="20">
        <v>21</v>
      </c>
      <c r="T1430" s="6">
        <v>79.86</v>
      </c>
      <c r="U1430" s="6">
        <v>81.86</v>
      </c>
      <c r="V1430" s="6">
        <v>88.58</v>
      </c>
      <c r="W1430" s="19">
        <v>0.86629999999999996</v>
      </c>
      <c r="X1430" s="6">
        <v>8.14</v>
      </c>
      <c r="Y1430" s="21">
        <v>-337799.25385631301</v>
      </c>
      <c r="Z1430" s="6">
        <v>-6079</v>
      </c>
      <c r="AA1430" s="6">
        <v>-2.9145587245095501</v>
      </c>
    </row>
    <row r="1431" spans="1:27" x14ac:dyDescent="0.25">
      <c r="A1431" s="7" t="str">
        <f t="shared" si="22"/>
        <v>3931Swedish Issaquah341222575700 CARDIAC CATHERIZATION</v>
      </c>
      <c r="B1431" s="7"/>
      <c r="C1431" s="29" t="s">
        <v>185</v>
      </c>
      <c r="D1431" s="29" t="s">
        <v>521</v>
      </c>
      <c r="E1431" s="29" t="s">
        <v>186</v>
      </c>
      <c r="F1431" s="29">
        <v>3931</v>
      </c>
      <c r="G1431" s="4" t="s">
        <v>743</v>
      </c>
      <c r="H1431" s="5">
        <v>3412</v>
      </c>
      <c r="I1431" s="4" t="s">
        <v>118</v>
      </c>
      <c r="J1431" s="4" t="s">
        <v>57</v>
      </c>
      <c r="K1431" s="4" t="s">
        <v>757</v>
      </c>
      <c r="L1431" s="4" t="s">
        <v>99</v>
      </c>
      <c r="M1431" s="6">
        <v>23057.21</v>
      </c>
      <c r="N1431" s="6">
        <v>18365.7</v>
      </c>
      <c r="O1431" s="19">
        <v>0.45</v>
      </c>
      <c r="P1431" s="6">
        <v>0.48</v>
      </c>
      <c r="Q1431" s="6">
        <v>0.57999999999999996</v>
      </c>
      <c r="R1431" s="19">
        <v>0.85</v>
      </c>
      <c r="S1431" s="20">
        <v>21</v>
      </c>
      <c r="T1431" s="6">
        <v>0.31</v>
      </c>
      <c r="U1431" s="6">
        <v>0.34</v>
      </c>
      <c r="V1431" s="6">
        <v>0.38</v>
      </c>
      <c r="W1431" s="19">
        <v>0.91710000000000003</v>
      </c>
      <c r="X1431" s="6">
        <v>5.55</v>
      </c>
      <c r="Y1431" s="21">
        <v>264961.951929053</v>
      </c>
      <c r="Z1431" s="6">
        <v>4767</v>
      </c>
      <c r="AA1431" s="6">
        <v>2.2854910141019902</v>
      </c>
    </row>
    <row r="1432" spans="1:27" x14ac:dyDescent="0.25">
      <c r="A1432" s="7" t="str">
        <f t="shared" si="22"/>
        <v>3931Swedish Issaquah128522574000 LABOR AND DELIVERY</v>
      </c>
      <c r="B1432" s="7"/>
      <c r="C1432" s="29" t="s">
        <v>185</v>
      </c>
      <c r="D1432" s="29" t="s">
        <v>521</v>
      </c>
      <c r="E1432" s="29" t="s">
        <v>186</v>
      </c>
      <c r="F1432" s="29">
        <v>3931</v>
      </c>
      <c r="G1432" s="4" t="s">
        <v>743</v>
      </c>
      <c r="H1432" s="5">
        <v>1285</v>
      </c>
      <c r="I1432" s="4" t="s">
        <v>85</v>
      </c>
      <c r="J1432" s="4" t="s">
        <v>23</v>
      </c>
      <c r="K1432" s="4" t="s">
        <v>750</v>
      </c>
      <c r="L1432" s="4" t="s">
        <v>86</v>
      </c>
      <c r="M1432" s="6">
        <v>1361</v>
      </c>
      <c r="N1432" s="6">
        <v>1275</v>
      </c>
      <c r="O1432" s="19">
        <v>0.5</v>
      </c>
      <c r="P1432" s="6">
        <v>49.03</v>
      </c>
      <c r="Q1432" s="6">
        <v>54.14</v>
      </c>
      <c r="R1432" s="19">
        <v>0.88890000000000002</v>
      </c>
      <c r="S1432" s="20">
        <v>21</v>
      </c>
      <c r="T1432" s="6">
        <v>39.29</v>
      </c>
      <c r="U1432" s="6">
        <v>39.83</v>
      </c>
      <c r="V1432" s="6">
        <v>43.35</v>
      </c>
      <c r="W1432" s="19">
        <v>0.88700000000000001</v>
      </c>
      <c r="X1432" s="6">
        <v>33.19</v>
      </c>
      <c r="Y1432" s="21">
        <v>595099.76545543096</v>
      </c>
      <c r="Z1432" s="6">
        <v>11972</v>
      </c>
      <c r="AA1432" s="6">
        <v>5.7398305176728401</v>
      </c>
    </row>
    <row r="1433" spans="1:27" x14ac:dyDescent="0.25">
      <c r="A1433" s="7" t="str">
        <f t="shared" si="22"/>
        <v>3931Swedish Issaquah341122576300 MEDICAL IMAGING</v>
      </c>
      <c r="B1433" s="7"/>
      <c r="C1433" s="29" t="s">
        <v>185</v>
      </c>
      <c r="D1433" s="29" t="s">
        <v>521</v>
      </c>
      <c r="E1433" s="29" t="s">
        <v>186</v>
      </c>
      <c r="F1433" s="29">
        <v>3931</v>
      </c>
      <c r="G1433" s="4" t="s">
        <v>743</v>
      </c>
      <c r="H1433" s="5">
        <v>3411</v>
      </c>
      <c r="I1433" s="4" t="s">
        <v>117</v>
      </c>
      <c r="J1433" s="4" t="s">
        <v>57</v>
      </c>
      <c r="K1433" s="4" t="s">
        <v>758</v>
      </c>
      <c r="L1433" s="4" t="s">
        <v>99</v>
      </c>
      <c r="M1433" s="6">
        <v>21750.09</v>
      </c>
      <c r="N1433" s="6">
        <v>24651.3</v>
      </c>
      <c r="O1433" s="19">
        <v>0.57140000000000002</v>
      </c>
      <c r="P1433" s="6">
        <v>0.31</v>
      </c>
      <c r="Q1433" s="6">
        <v>0.23</v>
      </c>
      <c r="R1433" s="7"/>
      <c r="S1433" s="20">
        <v>22</v>
      </c>
      <c r="T1433" s="6">
        <v>0.65</v>
      </c>
      <c r="U1433" s="6">
        <v>0.72</v>
      </c>
      <c r="V1433" s="6">
        <v>0.78</v>
      </c>
      <c r="W1433" s="19">
        <v>0.94369999999999998</v>
      </c>
      <c r="X1433" s="6">
        <v>2.86</v>
      </c>
      <c r="Y1433" s="21">
        <v>-426993.068166607</v>
      </c>
      <c r="Z1433" s="6">
        <v>-12843</v>
      </c>
      <c r="AA1433" s="6">
        <v>-6.1575078118780597</v>
      </c>
    </row>
    <row r="1434" spans="1:27" x14ac:dyDescent="0.25">
      <c r="A1434" s="7" t="str">
        <f t="shared" si="22"/>
        <v>3931Swedish Issaquah3499Imaging Services Administration (N)</v>
      </c>
      <c r="B1434" s="7"/>
      <c r="C1434" s="29" t="s">
        <v>185</v>
      </c>
      <c r="D1434" s="29" t="s">
        <v>521</v>
      </c>
      <c r="E1434" s="29" t="s">
        <v>186</v>
      </c>
      <c r="F1434" s="29">
        <v>3931</v>
      </c>
      <c r="G1434" s="4" t="s">
        <v>743</v>
      </c>
      <c r="H1434" s="5">
        <v>3499</v>
      </c>
      <c r="I1434" s="4" t="s">
        <v>56</v>
      </c>
      <c r="J1434" s="4" t="s">
        <v>57</v>
      </c>
      <c r="K1434" s="4" t="s">
        <v>351</v>
      </c>
      <c r="L1434" s="4" t="s">
        <v>58</v>
      </c>
      <c r="M1434" s="6">
        <v>176582.44</v>
      </c>
      <c r="N1434" s="6">
        <v>235732.17</v>
      </c>
      <c r="O1434" s="19">
        <v>0.61899999999999999</v>
      </c>
      <c r="P1434" s="6">
        <v>0.02</v>
      </c>
      <c r="Q1434" s="6">
        <v>0.03</v>
      </c>
      <c r="R1434" s="19">
        <v>0.05</v>
      </c>
      <c r="S1434" s="20">
        <v>22</v>
      </c>
      <c r="T1434" s="6">
        <v>0.05</v>
      </c>
      <c r="U1434" s="6">
        <v>0.06</v>
      </c>
      <c r="V1434" s="6">
        <v>7.0000000000000007E-2</v>
      </c>
      <c r="W1434" s="19">
        <v>0.90629999999999999</v>
      </c>
      <c r="X1434" s="6">
        <v>3.65</v>
      </c>
      <c r="Y1434" s="21">
        <v>-288048.03787567798</v>
      </c>
      <c r="Z1434" s="6">
        <v>-7993</v>
      </c>
      <c r="AA1434" s="6">
        <v>-3.8324923812070799</v>
      </c>
    </row>
    <row r="1435" spans="1:27" x14ac:dyDescent="0.25">
      <c r="A1435" s="7" t="str">
        <f t="shared" si="22"/>
        <v>3931Swedish Issaquah344022576390 MAMMOGRAPHY</v>
      </c>
      <c r="B1435" s="7"/>
      <c r="C1435" s="29" t="s">
        <v>185</v>
      </c>
      <c r="D1435" s="29" t="s">
        <v>521</v>
      </c>
      <c r="E1435" s="29" t="s">
        <v>186</v>
      </c>
      <c r="F1435" s="29">
        <v>3931</v>
      </c>
      <c r="G1435" s="4" t="s">
        <v>743</v>
      </c>
      <c r="H1435" s="5">
        <v>3440</v>
      </c>
      <c r="I1435" s="4" t="s">
        <v>119</v>
      </c>
      <c r="J1435" s="4" t="s">
        <v>57</v>
      </c>
      <c r="K1435" s="4" t="s">
        <v>759</v>
      </c>
      <c r="L1435" s="4" t="s">
        <v>99</v>
      </c>
      <c r="M1435" s="6">
        <v>19521.91</v>
      </c>
      <c r="N1435" s="6">
        <v>29446</v>
      </c>
      <c r="O1435" s="19">
        <v>0.61899999999999999</v>
      </c>
      <c r="P1435" s="6">
        <v>0.45</v>
      </c>
      <c r="Q1435" s="6">
        <v>0.35</v>
      </c>
      <c r="R1435" s="19">
        <v>4.7600000000000003E-2</v>
      </c>
      <c r="S1435" s="20">
        <v>22</v>
      </c>
      <c r="T1435" s="6">
        <v>0.47</v>
      </c>
      <c r="U1435" s="6">
        <v>0.49</v>
      </c>
      <c r="V1435" s="6">
        <v>0.57999999999999996</v>
      </c>
      <c r="W1435" s="19">
        <v>0.91159999999999997</v>
      </c>
      <c r="X1435" s="6">
        <v>5.36</v>
      </c>
      <c r="Y1435" s="21">
        <v>-210493.354680588</v>
      </c>
      <c r="Z1435" s="6">
        <v>-4648</v>
      </c>
      <c r="AA1435" s="6">
        <v>-2.2286798301385899</v>
      </c>
    </row>
    <row r="1436" spans="1:27" x14ac:dyDescent="0.25">
      <c r="A1436" s="7" t="str">
        <f t="shared" si="22"/>
        <v>3931Swedish Issaquah487122577708 IP REHAB SERVICES</v>
      </c>
      <c r="B1436" s="7"/>
      <c r="C1436" s="29" t="s">
        <v>185</v>
      </c>
      <c r="D1436" s="29" t="s">
        <v>521</v>
      </c>
      <c r="E1436" s="29" t="s">
        <v>186</v>
      </c>
      <c r="F1436" s="29">
        <v>3931</v>
      </c>
      <c r="G1436" s="4" t="s">
        <v>743</v>
      </c>
      <c r="H1436" s="5">
        <v>4871</v>
      </c>
      <c r="I1436" s="4" t="s">
        <v>196</v>
      </c>
      <c r="J1436" s="4" t="s">
        <v>41</v>
      </c>
      <c r="K1436" s="4" t="s">
        <v>767</v>
      </c>
      <c r="L1436" s="4" t="s">
        <v>79</v>
      </c>
      <c r="M1436" s="6">
        <v>399.84</v>
      </c>
      <c r="N1436" s="6">
        <v>441.72</v>
      </c>
      <c r="O1436" s="19">
        <v>0.59089999999999998</v>
      </c>
      <c r="P1436" s="6">
        <v>23.16</v>
      </c>
      <c r="Q1436" s="6">
        <v>22.08</v>
      </c>
      <c r="R1436" s="19">
        <v>0.13639999999999999</v>
      </c>
      <c r="S1436" s="20">
        <v>23</v>
      </c>
      <c r="T1436" s="6">
        <v>24.83</v>
      </c>
      <c r="U1436" s="6">
        <v>27.28</v>
      </c>
      <c r="V1436" s="6">
        <v>29.43</v>
      </c>
      <c r="W1436" s="19">
        <v>0.94269999999999998</v>
      </c>
      <c r="X1436" s="6">
        <v>4.97</v>
      </c>
      <c r="Y1436" s="21">
        <v>-119048.281118035</v>
      </c>
      <c r="Z1436" s="6">
        <v>-2417</v>
      </c>
      <c r="AA1436" s="6">
        <v>-1.1586677983752101</v>
      </c>
    </row>
    <row r="1437" spans="1:27" x14ac:dyDescent="0.25">
      <c r="A1437" s="7" t="str">
        <f t="shared" si="22"/>
        <v>3931Swedish Issaquah201022570100 EMERGENCY SERVICES</v>
      </c>
      <c r="B1437" s="7"/>
      <c r="C1437" s="29" t="s">
        <v>185</v>
      </c>
      <c r="D1437" s="29" t="s">
        <v>521</v>
      </c>
      <c r="E1437" s="29" t="s">
        <v>186</v>
      </c>
      <c r="F1437" s="29">
        <v>3931</v>
      </c>
      <c r="G1437" s="4" t="s">
        <v>743</v>
      </c>
      <c r="H1437" s="5">
        <v>2010</v>
      </c>
      <c r="I1437" s="4" t="s">
        <v>75</v>
      </c>
      <c r="J1437" s="4" t="s">
        <v>76</v>
      </c>
      <c r="K1437" s="4" t="s">
        <v>749</v>
      </c>
      <c r="L1437" s="4" t="s">
        <v>77</v>
      </c>
      <c r="M1437" s="6">
        <v>25478</v>
      </c>
      <c r="N1437" s="6">
        <v>27962</v>
      </c>
      <c r="O1437" s="19">
        <v>0.54549999999999998</v>
      </c>
      <c r="P1437" s="6">
        <v>2.69</v>
      </c>
      <c r="Q1437" s="6">
        <v>2.52</v>
      </c>
      <c r="R1437" s="19">
        <v>0.33329999999999999</v>
      </c>
      <c r="S1437" s="20">
        <v>23</v>
      </c>
      <c r="T1437" s="6">
        <v>2.44</v>
      </c>
      <c r="U1437" s="6">
        <v>2.52</v>
      </c>
      <c r="V1437" s="6">
        <v>2.58</v>
      </c>
      <c r="W1437" s="19">
        <v>0.90439999999999998</v>
      </c>
      <c r="X1437" s="6">
        <v>37.43</v>
      </c>
      <c r="Y1437" s="21">
        <v>7245.7260505553604</v>
      </c>
      <c r="Z1437" s="6">
        <v>155</v>
      </c>
      <c r="AA1437" s="6">
        <v>7.4343146928114806E-2</v>
      </c>
    </row>
    <row r="1438" spans="1:27" x14ac:dyDescent="0.25">
      <c r="A1438" s="7" t="str">
        <f t="shared" si="22"/>
        <v>3931Swedish Issaquah487222577709 OP REHAB SERVICES</v>
      </c>
      <c r="B1438" s="7"/>
      <c r="C1438" s="29" t="s">
        <v>185</v>
      </c>
      <c r="D1438" s="29" t="s">
        <v>521</v>
      </c>
      <c r="E1438" s="29" t="s">
        <v>186</v>
      </c>
      <c r="F1438" s="29">
        <v>3931</v>
      </c>
      <c r="G1438" s="4" t="s">
        <v>743</v>
      </c>
      <c r="H1438" s="5">
        <v>4872</v>
      </c>
      <c r="I1438" s="4" t="s">
        <v>197</v>
      </c>
      <c r="J1438" s="4" t="s">
        <v>41</v>
      </c>
      <c r="K1438" s="4" t="s">
        <v>768</v>
      </c>
      <c r="L1438" s="4" t="s">
        <v>79</v>
      </c>
      <c r="M1438" s="6">
        <v>678.31</v>
      </c>
      <c r="N1438" s="6">
        <v>773.4</v>
      </c>
      <c r="O1438" s="19">
        <v>0.56520000000000004</v>
      </c>
      <c r="P1438" s="6">
        <v>20.14</v>
      </c>
      <c r="Q1438" s="6">
        <v>19.09</v>
      </c>
      <c r="R1438" s="19">
        <v>4.7600000000000003E-2</v>
      </c>
      <c r="S1438" s="20">
        <v>24</v>
      </c>
      <c r="T1438" s="6">
        <v>22.56</v>
      </c>
      <c r="U1438" s="6">
        <v>22.91</v>
      </c>
      <c r="V1438" s="6">
        <v>25.15</v>
      </c>
      <c r="W1438" s="19">
        <v>0.87490000000000001</v>
      </c>
      <c r="X1438" s="6">
        <v>8.11</v>
      </c>
      <c r="Y1438" s="21">
        <v>-148786.53696798801</v>
      </c>
      <c r="Z1438" s="6">
        <v>-3337</v>
      </c>
      <c r="AA1438" s="6">
        <v>-1.59999484304655</v>
      </c>
    </row>
    <row r="1439" spans="1:27" x14ac:dyDescent="0.25">
      <c r="A1439" s="7" t="str">
        <f t="shared" si="22"/>
        <v>3931Swedish Issaquah591022584200 SECURITY</v>
      </c>
      <c r="B1439" s="7"/>
      <c r="C1439" s="29" t="s">
        <v>185</v>
      </c>
      <c r="D1439" s="29" t="s">
        <v>521</v>
      </c>
      <c r="E1439" s="29" t="s">
        <v>186</v>
      </c>
      <c r="F1439" s="29">
        <v>3931</v>
      </c>
      <c r="G1439" s="4" t="s">
        <v>743</v>
      </c>
      <c r="H1439" s="5">
        <v>5910</v>
      </c>
      <c r="I1439" s="4" t="s">
        <v>139</v>
      </c>
      <c r="J1439" s="4" t="s">
        <v>136</v>
      </c>
      <c r="K1439" s="4" t="s">
        <v>775</v>
      </c>
      <c r="L1439" s="4" t="s">
        <v>140</v>
      </c>
      <c r="M1439" s="6">
        <v>1221</v>
      </c>
      <c r="N1439" s="6">
        <v>1221</v>
      </c>
      <c r="O1439" s="19">
        <v>0.56520000000000004</v>
      </c>
      <c r="P1439" s="6">
        <v>16.39</v>
      </c>
      <c r="Q1439" s="6">
        <v>17.22</v>
      </c>
      <c r="R1439" s="19">
        <v>0.43480000000000002</v>
      </c>
      <c r="S1439" s="20">
        <v>24</v>
      </c>
      <c r="T1439" s="6">
        <v>14.94</v>
      </c>
      <c r="U1439" s="6">
        <v>15.59</v>
      </c>
      <c r="V1439" s="6">
        <v>18.579999999999998</v>
      </c>
      <c r="W1439" s="19">
        <v>0.89829999999999999</v>
      </c>
      <c r="X1439" s="6">
        <v>11.25</v>
      </c>
      <c r="Y1439" s="21">
        <v>53911.461079935201</v>
      </c>
      <c r="Z1439" s="6">
        <v>2274</v>
      </c>
      <c r="AA1439" s="6">
        <v>1.0901209390998801</v>
      </c>
    </row>
    <row r="1440" spans="1:27" x14ac:dyDescent="0.25">
      <c r="A1440" s="7" t="str">
        <f t="shared" si="22"/>
        <v>3931Swedish Issaquah2299Ambulatory Services Administration (N)</v>
      </c>
      <c r="B1440" s="7"/>
      <c r="C1440" s="29" t="s">
        <v>185</v>
      </c>
      <c r="D1440" s="29" t="s">
        <v>521</v>
      </c>
      <c r="E1440" s="29" t="s">
        <v>186</v>
      </c>
      <c r="F1440" s="29">
        <v>3931</v>
      </c>
      <c r="G1440" s="4" t="s">
        <v>743</v>
      </c>
      <c r="H1440" s="5">
        <v>2299</v>
      </c>
      <c r="I1440" s="4" t="s">
        <v>187</v>
      </c>
      <c r="J1440" s="4" t="s">
        <v>176</v>
      </c>
      <c r="K1440" s="4" t="s">
        <v>666</v>
      </c>
      <c r="L1440" s="4" t="s">
        <v>188</v>
      </c>
      <c r="M1440" s="6">
        <v>4874</v>
      </c>
      <c r="N1440" s="6">
        <v>9699</v>
      </c>
      <c r="O1440" s="19">
        <v>0.5</v>
      </c>
      <c r="P1440" s="6">
        <v>0.87</v>
      </c>
      <c r="Q1440" s="6">
        <v>0.57999999999999996</v>
      </c>
      <c r="R1440" s="19">
        <v>0.86360000000000003</v>
      </c>
      <c r="S1440" s="20">
        <v>25</v>
      </c>
      <c r="T1440" s="6">
        <v>0.26</v>
      </c>
      <c r="U1440" s="6">
        <v>0.28999999999999998</v>
      </c>
      <c r="V1440" s="6">
        <v>0.31</v>
      </c>
      <c r="W1440" s="19">
        <v>0.88929999999999998</v>
      </c>
      <c r="X1440" s="6">
        <v>3.03</v>
      </c>
      <c r="Y1440" s="21">
        <v>93607.534992057102</v>
      </c>
      <c r="Z1440" s="6">
        <v>3157</v>
      </c>
      <c r="AA1440" s="6">
        <v>1.5135614238008801</v>
      </c>
    </row>
    <row r="1441" spans="1:27" x14ac:dyDescent="0.25">
      <c r="A1441" s="7" t="str">
        <f t="shared" si="22"/>
        <v>3931Swedish Issaquah224222574202 WEIGHT LOSS CLINIC</v>
      </c>
      <c r="B1441" s="7"/>
      <c r="C1441" s="29" t="s">
        <v>185</v>
      </c>
      <c r="D1441" s="29" t="s">
        <v>521</v>
      </c>
      <c r="E1441" s="29" t="s">
        <v>186</v>
      </c>
      <c r="F1441" s="29">
        <v>3931</v>
      </c>
      <c r="G1441" s="4" t="s">
        <v>743</v>
      </c>
      <c r="H1441" s="5">
        <v>2242</v>
      </c>
      <c r="I1441" s="4" t="s">
        <v>537</v>
      </c>
      <c r="J1441" s="4" t="s">
        <v>176</v>
      </c>
      <c r="K1441" s="4" t="s">
        <v>752</v>
      </c>
      <c r="L1441" s="4" t="s">
        <v>77</v>
      </c>
      <c r="M1441" s="6">
        <v>768</v>
      </c>
      <c r="N1441" s="6">
        <v>1858</v>
      </c>
      <c r="O1441" s="19">
        <v>0.5</v>
      </c>
      <c r="P1441" s="6">
        <v>5.13</v>
      </c>
      <c r="Q1441" s="6">
        <v>3.49</v>
      </c>
      <c r="R1441" s="19">
        <v>0.86960000000000004</v>
      </c>
      <c r="S1441" s="20">
        <v>25</v>
      </c>
      <c r="T1441" s="6">
        <v>1.62</v>
      </c>
      <c r="U1441" s="6">
        <v>1.84</v>
      </c>
      <c r="V1441" s="6">
        <v>2</v>
      </c>
      <c r="W1441" s="19">
        <v>0.94950000000000001</v>
      </c>
      <c r="X1441" s="6">
        <v>3.28</v>
      </c>
      <c r="Y1441" s="21">
        <v>173784.12357800899</v>
      </c>
      <c r="Z1441" s="6">
        <v>3241</v>
      </c>
      <c r="AA1441" s="6">
        <v>1.5536982036431899</v>
      </c>
    </row>
    <row r="1442" spans="1:27" x14ac:dyDescent="0.25">
      <c r="A1442" s="7" t="str">
        <f t="shared" si="22"/>
        <v>3931Swedish Issaquah3020Post Anesthesia Care Unit (PACU) (N)</v>
      </c>
      <c r="B1442" s="7"/>
      <c r="C1442" s="29" t="s">
        <v>185</v>
      </c>
      <c r="D1442" s="29" t="s">
        <v>521</v>
      </c>
      <c r="E1442" s="29" t="s">
        <v>186</v>
      </c>
      <c r="F1442" s="29">
        <v>3931</v>
      </c>
      <c r="G1442" s="4" t="s">
        <v>743</v>
      </c>
      <c r="H1442" s="5">
        <v>3020</v>
      </c>
      <c r="I1442" s="4" t="s">
        <v>89</v>
      </c>
      <c r="J1442" s="4" t="s">
        <v>47</v>
      </c>
      <c r="K1442" s="4" t="s">
        <v>771</v>
      </c>
      <c r="L1442" s="4" t="s">
        <v>90</v>
      </c>
      <c r="M1442" s="6">
        <v>5416.81</v>
      </c>
      <c r="N1442" s="6">
        <v>3832.68</v>
      </c>
      <c r="O1442" s="19">
        <v>0.54169999999999996</v>
      </c>
      <c r="P1442" s="6">
        <v>3.03</v>
      </c>
      <c r="Q1442" s="6">
        <v>5.25</v>
      </c>
      <c r="R1442" s="19">
        <v>0.70830000000000004</v>
      </c>
      <c r="S1442" s="20">
        <v>25</v>
      </c>
      <c r="T1442" s="6">
        <v>3.19</v>
      </c>
      <c r="U1442" s="6">
        <v>3.87</v>
      </c>
      <c r="V1442" s="6">
        <v>4.3099999999999996</v>
      </c>
      <c r="W1442" s="19">
        <v>0.91830000000000001</v>
      </c>
      <c r="X1442" s="6">
        <v>10.54</v>
      </c>
      <c r="Y1442" s="21">
        <v>296933.85359260201</v>
      </c>
      <c r="Z1442" s="6">
        <v>5831</v>
      </c>
      <c r="AA1442" s="6">
        <v>2.7957903786799698</v>
      </c>
    </row>
    <row r="1443" spans="1:27" x14ac:dyDescent="0.25">
      <c r="A1443" s="7" t="str">
        <f t="shared" si="22"/>
        <v>3931Swedish Issaquah411022577200 RESPIRATORY THERAPY</v>
      </c>
      <c r="B1443" s="7"/>
      <c r="C1443" s="29" t="s">
        <v>185</v>
      </c>
      <c r="D1443" s="29" t="s">
        <v>521</v>
      </c>
      <c r="E1443" s="29" t="s">
        <v>186</v>
      </c>
      <c r="F1443" s="29">
        <v>3931</v>
      </c>
      <c r="G1443" s="4" t="s">
        <v>743</v>
      </c>
      <c r="H1443" s="5">
        <v>4110</v>
      </c>
      <c r="I1443" s="4" t="s">
        <v>145</v>
      </c>
      <c r="J1443" s="4" t="s">
        <v>44</v>
      </c>
      <c r="K1443" s="4" t="s">
        <v>772</v>
      </c>
      <c r="L1443" s="4" t="s">
        <v>45</v>
      </c>
      <c r="M1443" s="6">
        <v>7619.1</v>
      </c>
      <c r="N1443" s="6">
        <v>9223.36</v>
      </c>
      <c r="O1443" s="19">
        <v>0.76</v>
      </c>
      <c r="P1443" s="6">
        <v>2.62</v>
      </c>
      <c r="Q1443" s="6">
        <v>2.1800000000000002</v>
      </c>
      <c r="R1443" s="19">
        <v>0.2</v>
      </c>
      <c r="S1443" s="20">
        <v>26</v>
      </c>
      <c r="T1443" s="6">
        <v>2.2599999999999998</v>
      </c>
      <c r="U1443" s="6">
        <v>2.97</v>
      </c>
      <c r="V1443" s="6">
        <v>3.68</v>
      </c>
      <c r="W1443" s="19">
        <v>0.93230000000000002</v>
      </c>
      <c r="X1443" s="6">
        <v>10.37</v>
      </c>
      <c r="Y1443" s="21">
        <v>-322400.20697060501</v>
      </c>
      <c r="Z1443" s="6">
        <v>-7754</v>
      </c>
      <c r="AA1443" s="6">
        <v>-3.7176347779016399</v>
      </c>
    </row>
    <row r="1444" spans="1:27" x14ac:dyDescent="0.25">
      <c r="A1444" s="7" t="str">
        <f t="shared" si="22"/>
        <v>3931Swedish Issaquah307022574701 STERILE PROCESSING</v>
      </c>
      <c r="B1444" s="7"/>
      <c r="C1444" s="29" t="s">
        <v>185</v>
      </c>
      <c r="D1444" s="29" t="s">
        <v>521</v>
      </c>
      <c r="E1444" s="29" t="s">
        <v>186</v>
      </c>
      <c r="F1444" s="29">
        <v>3931</v>
      </c>
      <c r="G1444" s="4" t="s">
        <v>743</v>
      </c>
      <c r="H1444" s="5">
        <v>3070</v>
      </c>
      <c r="I1444" s="4" t="s">
        <v>91</v>
      </c>
      <c r="J1444" s="4" t="s">
        <v>47</v>
      </c>
      <c r="K1444" s="4" t="s">
        <v>755</v>
      </c>
      <c r="L1444" s="4" t="s">
        <v>92</v>
      </c>
      <c r="M1444" s="6">
        <v>1149.73</v>
      </c>
      <c r="N1444" s="6">
        <v>1294.33</v>
      </c>
      <c r="O1444" s="19">
        <v>0.56000000000000005</v>
      </c>
      <c r="P1444" s="6">
        <v>16.239999999999998</v>
      </c>
      <c r="Q1444" s="6">
        <v>15.84</v>
      </c>
      <c r="R1444" s="19">
        <v>0.29170000000000001</v>
      </c>
      <c r="S1444" s="20">
        <v>26</v>
      </c>
      <c r="T1444" s="6">
        <v>14.67</v>
      </c>
      <c r="U1444" s="6">
        <v>16.510000000000002</v>
      </c>
      <c r="V1444" s="6">
        <v>21.16</v>
      </c>
      <c r="W1444" s="19">
        <v>0.91259999999999997</v>
      </c>
      <c r="X1444" s="6">
        <v>10.8</v>
      </c>
      <c r="Y1444" s="21">
        <v>-22559.239030667999</v>
      </c>
      <c r="Z1444" s="6">
        <v>-890</v>
      </c>
      <c r="AA1444" s="6">
        <v>-0.42689820944603502</v>
      </c>
    </row>
    <row r="1445" spans="1:27" x14ac:dyDescent="0.25">
      <c r="A1445" s="7" t="str">
        <f t="shared" si="22"/>
        <v>3931Swedish Issaquah500122584500 FACILITY MANAGEMENT/22584560 FACILITIES CONSTRUCTION/22584602 GROUNDS</v>
      </c>
      <c r="B1445" s="7"/>
      <c r="C1445" s="29" t="s">
        <v>185</v>
      </c>
      <c r="D1445" s="29" t="s">
        <v>521</v>
      </c>
      <c r="E1445" s="29" t="s">
        <v>186</v>
      </c>
      <c r="F1445" s="29">
        <v>3931</v>
      </c>
      <c r="G1445" s="4" t="s">
        <v>743</v>
      </c>
      <c r="H1445" s="5">
        <v>5001</v>
      </c>
      <c r="I1445" s="4" t="s">
        <v>141</v>
      </c>
      <c r="J1445" s="4" t="s">
        <v>62</v>
      </c>
      <c r="K1445" s="4" t="s">
        <v>778</v>
      </c>
      <c r="L1445" s="4" t="s">
        <v>63</v>
      </c>
      <c r="M1445" s="6">
        <v>997.86</v>
      </c>
      <c r="N1445" s="6">
        <v>691.83</v>
      </c>
      <c r="O1445" s="19">
        <v>0.61539999999999995</v>
      </c>
      <c r="P1445" s="6">
        <v>26.78</v>
      </c>
      <c r="Q1445" s="6">
        <v>39.840000000000003</v>
      </c>
      <c r="R1445" s="19">
        <v>0.52</v>
      </c>
      <c r="S1445" s="20">
        <v>27</v>
      </c>
      <c r="T1445" s="6">
        <v>30.21</v>
      </c>
      <c r="U1445" s="6">
        <v>33.450000000000003</v>
      </c>
      <c r="V1445" s="6">
        <v>38.68</v>
      </c>
      <c r="W1445" s="19">
        <v>0.90090000000000003</v>
      </c>
      <c r="X1445" s="6">
        <v>14.71</v>
      </c>
      <c r="Y1445" s="21">
        <v>181244.43793663001</v>
      </c>
      <c r="Z1445" s="6">
        <v>4993</v>
      </c>
      <c r="AA1445" s="6">
        <v>2.39407360966214</v>
      </c>
    </row>
    <row r="1446" spans="1:27" x14ac:dyDescent="0.25">
      <c r="A1446" s="7" t="str">
        <f t="shared" si="22"/>
        <v>3931Swedish Issaquah511122583401 DIETICIAN SERVICES</v>
      </c>
      <c r="B1446" s="7"/>
      <c r="C1446" s="29" t="s">
        <v>185</v>
      </c>
      <c r="D1446" s="29" t="s">
        <v>521</v>
      </c>
      <c r="E1446" s="29" t="s">
        <v>186</v>
      </c>
      <c r="F1446" s="29">
        <v>3931</v>
      </c>
      <c r="G1446" s="4" t="s">
        <v>743</v>
      </c>
      <c r="H1446" s="5">
        <v>5111</v>
      </c>
      <c r="I1446" s="4" t="s">
        <v>64</v>
      </c>
      <c r="J1446" s="4" t="s">
        <v>65</v>
      </c>
      <c r="K1446" s="4" t="s">
        <v>774</v>
      </c>
      <c r="L1446" s="4" t="s">
        <v>67</v>
      </c>
      <c r="M1446" s="7"/>
      <c r="N1446" s="6">
        <v>11103</v>
      </c>
      <c r="O1446" s="19">
        <v>0.46150000000000002</v>
      </c>
      <c r="P1446" s="7"/>
      <c r="Q1446" s="6">
        <v>0.44</v>
      </c>
      <c r="R1446" s="19">
        <v>0.375</v>
      </c>
      <c r="S1446" s="20">
        <v>27</v>
      </c>
      <c r="T1446" s="6">
        <v>0.39</v>
      </c>
      <c r="U1446" s="6">
        <v>0.44</v>
      </c>
      <c r="V1446" s="6">
        <v>0.48</v>
      </c>
      <c r="W1446" s="19">
        <v>0.92390000000000005</v>
      </c>
      <c r="X1446" s="6">
        <v>2.57</v>
      </c>
      <c r="Y1446" s="21">
        <v>2265.6985958278001</v>
      </c>
      <c r="Z1446" s="6">
        <v>73</v>
      </c>
      <c r="AA1446" s="6">
        <v>3.4776755677203397E-2</v>
      </c>
    </row>
    <row r="1447" spans="1:27" x14ac:dyDescent="0.25">
      <c r="A1447" s="7" t="str">
        <f t="shared" si="22"/>
        <v>3931Swedish Issaquah303022574270 RECOVERY</v>
      </c>
      <c r="B1447" s="7"/>
      <c r="C1447" s="29" t="s">
        <v>185</v>
      </c>
      <c r="D1447" s="29" t="s">
        <v>521</v>
      </c>
      <c r="E1447" s="29" t="s">
        <v>186</v>
      </c>
      <c r="F1447" s="29">
        <v>3931</v>
      </c>
      <c r="G1447" s="4" t="s">
        <v>743</v>
      </c>
      <c r="H1447" s="5">
        <v>3030</v>
      </c>
      <c r="I1447" s="4" t="s">
        <v>80</v>
      </c>
      <c r="J1447" s="4" t="s">
        <v>47</v>
      </c>
      <c r="K1447" s="4" t="s">
        <v>753</v>
      </c>
      <c r="L1447" s="4" t="s">
        <v>81</v>
      </c>
      <c r="M1447" s="6">
        <v>5530.58</v>
      </c>
      <c r="N1447" s="6">
        <v>7008.24</v>
      </c>
      <c r="O1447" s="19">
        <v>0.64290000000000003</v>
      </c>
      <c r="P1447" s="6">
        <v>2.97</v>
      </c>
      <c r="Q1447" s="6">
        <v>2.87</v>
      </c>
      <c r="R1447" s="19">
        <v>0.28000000000000003</v>
      </c>
      <c r="S1447" s="20">
        <v>29</v>
      </c>
      <c r="T1447" s="6">
        <v>2.72</v>
      </c>
      <c r="U1447" s="6">
        <v>2.97</v>
      </c>
      <c r="V1447" s="6">
        <v>3.28</v>
      </c>
      <c r="W1447" s="19">
        <v>0.91830000000000001</v>
      </c>
      <c r="X1447" s="6">
        <v>10.54</v>
      </c>
      <c r="Y1447" s="21">
        <v>-35751.6926009581</v>
      </c>
      <c r="Z1447" s="6">
        <v>-683</v>
      </c>
      <c r="AA1447" s="6">
        <v>-0.32748350965756501</v>
      </c>
    </row>
    <row r="1448" spans="1:27" x14ac:dyDescent="0.25">
      <c r="A1448" s="7" t="str">
        <f t="shared" si="22"/>
        <v>3931Swedish Issaquah4490Pharmacy Administration and Support (N)</v>
      </c>
      <c r="B1448" s="7"/>
      <c r="C1448" s="29" t="s">
        <v>185</v>
      </c>
      <c r="D1448" s="29" t="s">
        <v>521</v>
      </c>
      <c r="E1448" s="29" t="s">
        <v>186</v>
      </c>
      <c r="F1448" s="29">
        <v>3931</v>
      </c>
      <c r="G1448" s="4" t="s">
        <v>743</v>
      </c>
      <c r="H1448" s="5">
        <v>4490</v>
      </c>
      <c r="I1448" s="4" t="s">
        <v>36</v>
      </c>
      <c r="J1448" s="4" t="s">
        <v>37</v>
      </c>
      <c r="K1448" s="4" t="s">
        <v>667</v>
      </c>
      <c r="L1448" s="4" t="s">
        <v>39</v>
      </c>
      <c r="M1448" s="6">
        <v>15888.04</v>
      </c>
      <c r="N1448" s="6">
        <v>18599.919999999998</v>
      </c>
      <c r="O1448" s="19">
        <v>0.58620000000000005</v>
      </c>
      <c r="P1448" s="6">
        <v>0.38</v>
      </c>
      <c r="Q1448" s="6">
        <v>0.34</v>
      </c>
      <c r="R1448" s="19">
        <v>0.62960000000000005</v>
      </c>
      <c r="S1448" s="20">
        <v>30</v>
      </c>
      <c r="T1448" s="6">
        <v>0.19</v>
      </c>
      <c r="U1448" s="6">
        <v>0.25</v>
      </c>
      <c r="V1448" s="6">
        <v>0.3</v>
      </c>
      <c r="W1448" s="19">
        <v>0.89059999999999995</v>
      </c>
      <c r="X1448" s="6">
        <v>3.39</v>
      </c>
      <c r="Y1448" s="21">
        <v>111687.410612006</v>
      </c>
      <c r="Z1448" s="6">
        <v>1849</v>
      </c>
      <c r="AA1448" s="6">
        <v>0.88667894002707204</v>
      </c>
    </row>
    <row r="1449" spans="1:27" x14ac:dyDescent="0.25">
      <c r="A1449" s="7" t="str">
        <f t="shared" si="22"/>
        <v>3931Swedish Issaquah345022576700 ULTRASOUND</v>
      </c>
      <c r="B1449" s="7"/>
      <c r="C1449" s="29" t="s">
        <v>185</v>
      </c>
      <c r="D1449" s="29" t="s">
        <v>521</v>
      </c>
      <c r="E1449" s="29" t="s">
        <v>186</v>
      </c>
      <c r="F1449" s="29">
        <v>3931</v>
      </c>
      <c r="G1449" s="4" t="s">
        <v>743</v>
      </c>
      <c r="H1449" s="5">
        <v>3450</v>
      </c>
      <c r="I1449" s="4" t="s">
        <v>122</v>
      </c>
      <c r="J1449" s="4" t="s">
        <v>57</v>
      </c>
      <c r="K1449" s="4" t="s">
        <v>761</v>
      </c>
      <c r="L1449" s="4" t="s">
        <v>99</v>
      </c>
      <c r="M1449" s="6">
        <v>21442.87</v>
      </c>
      <c r="N1449" s="6">
        <v>23728.87</v>
      </c>
      <c r="O1449" s="19">
        <v>0.65629999999999999</v>
      </c>
      <c r="P1449" s="6">
        <v>0.41</v>
      </c>
      <c r="Q1449" s="6">
        <v>0.48</v>
      </c>
      <c r="R1449" s="19">
        <v>0.5625</v>
      </c>
      <c r="S1449" s="20">
        <v>33</v>
      </c>
      <c r="T1449" s="6">
        <v>0.42</v>
      </c>
      <c r="U1449" s="6">
        <v>0.44</v>
      </c>
      <c r="V1449" s="6">
        <v>0.48</v>
      </c>
      <c r="W1449" s="19">
        <v>0.91169999999999995</v>
      </c>
      <c r="X1449" s="6">
        <v>6.04</v>
      </c>
      <c r="Y1449" s="21">
        <v>57686.254123908897</v>
      </c>
      <c r="Z1449" s="6">
        <v>1146</v>
      </c>
      <c r="AA1449" s="6">
        <v>0.54932247712239002</v>
      </c>
    </row>
    <row r="1450" spans="1:27" x14ac:dyDescent="0.25">
      <c r="A1450" s="7" t="str">
        <f t="shared" si="22"/>
        <v>3931Swedish Issaquah463022577600 ENDOSCOPY</v>
      </c>
      <c r="B1450" s="7"/>
      <c r="C1450" s="29" t="s">
        <v>185</v>
      </c>
      <c r="D1450" s="29" t="s">
        <v>521</v>
      </c>
      <c r="E1450" s="29" t="s">
        <v>186</v>
      </c>
      <c r="F1450" s="29">
        <v>3931</v>
      </c>
      <c r="G1450" s="4" t="s">
        <v>743</v>
      </c>
      <c r="H1450" s="5">
        <v>4630</v>
      </c>
      <c r="I1450" s="4" t="s">
        <v>104</v>
      </c>
      <c r="J1450" s="4" t="s">
        <v>83</v>
      </c>
      <c r="K1450" s="4" t="s">
        <v>766</v>
      </c>
      <c r="L1450" s="4" t="s">
        <v>99</v>
      </c>
      <c r="M1450" s="6">
        <v>57315.71</v>
      </c>
      <c r="N1450" s="6">
        <v>73067.13</v>
      </c>
      <c r="O1450" s="19">
        <v>0.55879999999999996</v>
      </c>
      <c r="P1450" s="6">
        <v>0.36</v>
      </c>
      <c r="Q1450" s="6">
        <v>0.32</v>
      </c>
      <c r="R1450" s="19">
        <v>0.23530000000000001</v>
      </c>
      <c r="S1450" s="20">
        <v>35</v>
      </c>
      <c r="T1450" s="6">
        <v>0.33</v>
      </c>
      <c r="U1450" s="6">
        <v>0.35</v>
      </c>
      <c r="V1450" s="6">
        <v>0.4</v>
      </c>
      <c r="W1450" s="19">
        <v>0.88049999999999995</v>
      </c>
      <c r="X1450" s="6">
        <v>12.76</v>
      </c>
      <c r="Y1450" s="21">
        <v>-113565.611377832</v>
      </c>
      <c r="Z1450" s="6">
        <v>-2431</v>
      </c>
      <c r="AA1450" s="6">
        <v>-1.16543889562241</v>
      </c>
    </row>
    <row r="1451" spans="1:27" x14ac:dyDescent="0.25">
      <c r="A1451" s="7" t="str">
        <f t="shared" si="22"/>
        <v>3931Swedish Issaquah3099Surgical Services Administration (N)</v>
      </c>
      <c r="B1451" s="7"/>
      <c r="C1451" s="29" t="s">
        <v>185</v>
      </c>
      <c r="D1451" s="29" t="s">
        <v>521</v>
      </c>
      <c r="E1451" s="29" t="s">
        <v>186</v>
      </c>
      <c r="F1451" s="29">
        <v>3931</v>
      </c>
      <c r="G1451" s="4" t="s">
        <v>743</v>
      </c>
      <c r="H1451" s="5">
        <v>3099</v>
      </c>
      <c r="I1451" s="4" t="s">
        <v>46</v>
      </c>
      <c r="J1451" s="4" t="s">
        <v>47</v>
      </c>
      <c r="K1451" s="4" t="s">
        <v>699</v>
      </c>
      <c r="L1451" s="4" t="s">
        <v>49</v>
      </c>
      <c r="M1451" s="6">
        <v>4696</v>
      </c>
      <c r="N1451" s="6">
        <v>5739</v>
      </c>
      <c r="O1451" s="19">
        <v>0.45710000000000001</v>
      </c>
      <c r="P1451" s="6">
        <v>1.53</v>
      </c>
      <c r="Q1451" s="6">
        <v>1.47</v>
      </c>
      <c r="R1451" s="19">
        <v>0.48480000000000001</v>
      </c>
      <c r="S1451" s="20">
        <v>36</v>
      </c>
      <c r="T1451" s="6">
        <v>1.04</v>
      </c>
      <c r="U1451" s="6">
        <v>1.26</v>
      </c>
      <c r="V1451" s="6">
        <v>1.49</v>
      </c>
      <c r="W1451" s="19">
        <v>0.91690000000000005</v>
      </c>
      <c r="X1451" s="6">
        <v>4.43</v>
      </c>
      <c r="Y1451" s="21">
        <v>57273.655630962799</v>
      </c>
      <c r="Z1451" s="6">
        <v>1353</v>
      </c>
      <c r="AA1451" s="6">
        <v>0.64877120935583799</v>
      </c>
    </row>
    <row r="1452" spans="1:27" x14ac:dyDescent="0.25">
      <c r="A1452" s="7" t="str">
        <f t="shared" si="22"/>
        <v>3931Swedish Issaquah661022586100 ADMINISTRATION</v>
      </c>
      <c r="B1452" s="7"/>
      <c r="C1452" s="29" t="s">
        <v>185</v>
      </c>
      <c r="D1452" s="29" t="s">
        <v>521</v>
      </c>
      <c r="E1452" s="29" t="s">
        <v>186</v>
      </c>
      <c r="F1452" s="29">
        <v>3931</v>
      </c>
      <c r="G1452" s="4" t="s">
        <v>743</v>
      </c>
      <c r="H1452" s="5">
        <v>6610</v>
      </c>
      <c r="I1452" s="4" t="s">
        <v>72</v>
      </c>
      <c r="J1452" s="4" t="s">
        <v>72</v>
      </c>
      <c r="K1452" s="4" t="s">
        <v>776</v>
      </c>
      <c r="L1452" s="4" t="s">
        <v>14</v>
      </c>
      <c r="M1452" s="6">
        <v>119.67</v>
      </c>
      <c r="N1452" s="6">
        <v>131.88999999999999</v>
      </c>
      <c r="O1452" s="19">
        <v>0.47370000000000001</v>
      </c>
      <c r="P1452" s="6">
        <v>77.7</v>
      </c>
      <c r="Q1452" s="6">
        <v>112.61</v>
      </c>
      <c r="R1452" s="19">
        <v>0.81079999999999997</v>
      </c>
      <c r="S1452" s="20">
        <v>39</v>
      </c>
      <c r="T1452" s="6">
        <v>66.62</v>
      </c>
      <c r="U1452" s="6">
        <v>72.78</v>
      </c>
      <c r="V1452" s="6">
        <v>81.2</v>
      </c>
      <c r="W1452" s="19">
        <v>0.92490000000000006</v>
      </c>
      <c r="X1452" s="6">
        <v>7.72</v>
      </c>
      <c r="Y1452" s="21">
        <v>329747.92408215499</v>
      </c>
      <c r="Z1452" s="6">
        <v>5723</v>
      </c>
      <c r="AA1452" s="6">
        <v>2.7440352065470401</v>
      </c>
    </row>
    <row r="1453" spans="1:27" x14ac:dyDescent="0.25">
      <c r="A1453" s="7" t="str">
        <f t="shared" si="22"/>
        <v>3931Swedish Issaquah342022576800 CT SCANNING</v>
      </c>
      <c r="B1453" s="7"/>
      <c r="C1453" s="29" t="s">
        <v>185</v>
      </c>
      <c r="D1453" s="29" t="s">
        <v>521</v>
      </c>
      <c r="E1453" s="29" t="s">
        <v>186</v>
      </c>
      <c r="F1453" s="29">
        <v>3931</v>
      </c>
      <c r="G1453" s="4" t="s">
        <v>743</v>
      </c>
      <c r="H1453" s="5">
        <v>3420</v>
      </c>
      <c r="I1453" s="4" t="s">
        <v>123</v>
      </c>
      <c r="J1453" s="4" t="s">
        <v>57</v>
      </c>
      <c r="K1453" s="4" t="s">
        <v>762</v>
      </c>
      <c r="L1453" s="4" t="s">
        <v>99</v>
      </c>
      <c r="M1453" s="6">
        <v>36261.64</v>
      </c>
      <c r="N1453" s="6">
        <v>39262.870000000003</v>
      </c>
      <c r="O1453" s="19">
        <v>0.6</v>
      </c>
      <c r="P1453" s="6">
        <v>0.56999999999999995</v>
      </c>
      <c r="Q1453" s="6">
        <v>0.59</v>
      </c>
      <c r="R1453" s="7"/>
      <c r="S1453" s="20">
        <v>51</v>
      </c>
      <c r="T1453" s="6">
        <v>0.24</v>
      </c>
      <c r="U1453" s="6">
        <v>0.26</v>
      </c>
      <c r="V1453" s="6">
        <v>0.28000000000000003</v>
      </c>
      <c r="W1453" s="19">
        <v>0.88949999999999996</v>
      </c>
      <c r="X1453" s="6">
        <v>12.48</v>
      </c>
      <c r="Y1453" s="21">
        <v>666112.02494165301</v>
      </c>
      <c r="Z1453" s="6">
        <v>14553</v>
      </c>
      <c r="AA1453" s="6">
        <v>6.9775311014646899</v>
      </c>
    </row>
    <row r="1454" spans="1:27" x14ac:dyDescent="0.25">
      <c r="A1454" s="7" t="str">
        <f t="shared" si="22"/>
        <v>4001Swedish Mill Creek521123584400, MILL CREEK ENVIRONMENTAL SERVICES</v>
      </c>
      <c r="B1454" s="7"/>
      <c r="C1454" s="29" t="s">
        <v>185</v>
      </c>
      <c r="D1454" s="29" t="s">
        <v>521</v>
      </c>
      <c r="E1454" s="29" t="s">
        <v>186</v>
      </c>
      <c r="F1454" s="29">
        <v>4001</v>
      </c>
      <c r="G1454" s="4" t="s">
        <v>794</v>
      </c>
      <c r="H1454" s="5">
        <v>5211</v>
      </c>
      <c r="I1454" s="4" t="s">
        <v>50</v>
      </c>
      <c r="J1454" s="4" t="s">
        <v>50</v>
      </c>
      <c r="K1454" s="4" t="s">
        <v>798</v>
      </c>
      <c r="L1454" s="4" t="s">
        <v>51</v>
      </c>
      <c r="M1454" s="6">
        <v>54.4</v>
      </c>
      <c r="N1454" s="6">
        <v>57.75</v>
      </c>
      <c r="O1454" s="19">
        <v>0.55559999999999998</v>
      </c>
      <c r="P1454" s="6">
        <v>195.29</v>
      </c>
      <c r="Q1454" s="6">
        <v>194.28</v>
      </c>
      <c r="R1454" s="19">
        <v>0.57140000000000002</v>
      </c>
      <c r="S1454" s="20">
        <v>10</v>
      </c>
      <c r="T1454" s="6">
        <v>163.04</v>
      </c>
      <c r="U1454" s="6">
        <v>169.69</v>
      </c>
      <c r="V1454" s="6">
        <v>185.79</v>
      </c>
      <c r="W1454" s="19">
        <v>0.9526</v>
      </c>
      <c r="X1454" s="6">
        <v>5.66</v>
      </c>
      <c r="Y1454" s="21">
        <v>30577.397233549302</v>
      </c>
      <c r="Z1454" s="6">
        <v>1518</v>
      </c>
      <c r="AA1454" s="6">
        <v>0.72774161365621604</v>
      </c>
    </row>
    <row r="1455" spans="1:27" x14ac:dyDescent="0.25">
      <c r="A1455" s="7" t="str">
        <f t="shared" si="22"/>
        <v>4001Swedish Mill Creek591023584200, MILL CREEK SECURITY</v>
      </c>
      <c r="B1455" s="7"/>
      <c r="C1455" s="29" t="s">
        <v>185</v>
      </c>
      <c r="D1455" s="29" t="s">
        <v>521</v>
      </c>
      <c r="E1455" s="29" t="s">
        <v>186</v>
      </c>
      <c r="F1455" s="29">
        <v>4001</v>
      </c>
      <c r="G1455" s="4" t="s">
        <v>794</v>
      </c>
      <c r="H1455" s="5">
        <v>5910</v>
      </c>
      <c r="I1455" s="4" t="s">
        <v>139</v>
      </c>
      <c r="J1455" s="4" t="s">
        <v>136</v>
      </c>
      <c r="K1455" s="4" t="s">
        <v>797</v>
      </c>
      <c r="L1455" s="4" t="s">
        <v>140</v>
      </c>
      <c r="M1455" s="6">
        <v>274.47000000000003</v>
      </c>
      <c r="N1455" s="6">
        <v>274.47000000000003</v>
      </c>
      <c r="O1455" s="19">
        <v>0.44440000000000002</v>
      </c>
      <c r="P1455" s="6">
        <v>46.53</v>
      </c>
      <c r="Q1455" s="6">
        <v>43.99</v>
      </c>
      <c r="R1455" s="19">
        <v>0.71430000000000005</v>
      </c>
      <c r="S1455" s="20">
        <v>10</v>
      </c>
      <c r="T1455" s="6">
        <v>39.29</v>
      </c>
      <c r="U1455" s="6">
        <v>40.44</v>
      </c>
      <c r="V1455" s="6">
        <v>42.3</v>
      </c>
      <c r="W1455" s="19">
        <v>0.90780000000000005</v>
      </c>
      <c r="X1455" s="6">
        <v>6.39</v>
      </c>
      <c r="Y1455" s="21">
        <v>23907.021381564999</v>
      </c>
      <c r="Z1455" s="6">
        <v>1101</v>
      </c>
      <c r="AA1455" s="6">
        <v>0.52775439534264601</v>
      </c>
    </row>
    <row r="1456" spans="1:27" x14ac:dyDescent="0.25">
      <c r="A1456" s="7" t="str">
        <f t="shared" si="22"/>
        <v>4001Swedish Mill Creek201023570100, MILL CREEK EMERGENCY SERVICES</v>
      </c>
      <c r="B1456" s="7"/>
      <c r="C1456" s="29" t="s">
        <v>185</v>
      </c>
      <c r="D1456" s="29" t="s">
        <v>521</v>
      </c>
      <c r="E1456" s="29" t="s">
        <v>186</v>
      </c>
      <c r="F1456" s="29">
        <v>4001</v>
      </c>
      <c r="G1456" s="4" t="s">
        <v>794</v>
      </c>
      <c r="H1456" s="5">
        <v>2010</v>
      </c>
      <c r="I1456" s="4" t="s">
        <v>75</v>
      </c>
      <c r="J1456" s="4" t="s">
        <v>76</v>
      </c>
      <c r="K1456" s="4" t="s">
        <v>795</v>
      </c>
      <c r="L1456" s="4" t="s">
        <v>77</v>
      </c>
      <c r="M1456" s="6">
        <v>34520</v>
      </c>
      <c r="N1456" s="6">
        <v>41469</v>
      </c>
      <c r="O1456" s="19">
        <v>0.40910000000000002</v>
      </c>
      <c r="P1456" s="6">
        <v>1.87</v>
      </c>
      <c r="Q1456" s="6">
        <v>1.8</v>
      </c>
      <c r="R1456" s="19">
        <v>0</v>
      </c>
      <c r="S1456" s="20">
        <v>23</v>
      </c>
      <c r="T1456" s="6">
        <v>2.42</v>
      </c>
      <c r="U1456" s="6">
        <v>2.54</v>
      </c>
      <c r="V1456" s="6">
        <v>2.68</v>
      </c>
      <c r="W1456" s="19">
        <v>0.83050000000000002</v>
      </c>
      <c r="X1456" s="6">
        <v>43.33</v>
      </c>
      <c r="Y1456" s="21">
        <v>-1733260.2833690599</v>
      </c>
      <c r="Z1456" s="6">
        <v>-36456</v>
      </c>
      <c r="AA1456" s="6">
        <v>-17.4787115505179</v>
      </c>
    </row>
    <row r="1457" spans="1:27" x14ac:dyDescent="0.25">
      <c r="A1457" s="7" t="str">
        <f t="shared" si="22"/>
        <v>4001Swedish Mill Creek481223577709, MILL CREEK OP REHAB SERVICES</v>
      </c>
      <c r="B1457" s="7"/>
      <c r="C1457" s="29" t="s">
        <v>185</v>
      </c>
      <c r="D1457" s="29" t="s">
        <v>521</v>
      </c>
      <c r="E1457" s="29" t="s">
        <v>186</v>
      </c>
      <c r="F1457" s="29">
        <v>4001</v>
      </c>
      <c r="G1457" s="4" t="s">
        <v>794</v>
      </c>
      <c r="H1457" s="5">
        <v>4812</v>
      </c>
      <c r="I1457" s="4" t="s">
        <v>78</v>
      </c>
      <c r="J1457" s="4" t="s">
        <v>41</v>
      </c>
      <c r="K1457" s="4" t="s">
        <v>796</v>
      </c>
      <c r="L1457" s="4" t="s">
        <v>79</v>
      </c>
      <c r="M1457" s="6">
        <v>310.3</v>
      </c>
      <c r="N1457" s="6">
        <v>349.3</v>
      </c>
      <c r="O1457" s="19">
        <v>0.54169999999999996</v>
      </c>
      <c r="P1457" s="6">
        <v>16.72</v>
      </c>
      <c r="Q1457" s="6">
        <v>18.510000000000002</v>
      </c>
      <c r="R1457" s="19">
        <v>4.1700000000000001E-2</v>
      </c>
      <c r="S1457" s="20">
        <v>25</v>
      </c>
      <c r="T1457" s="6">
        <v>20.61</v>
      </c>
      <c r="U1457" s="6">
        <v>21.49</v>
      </c>
      <c r="V1457" s="6">
        <v>22.9</v>
      </c>
      <c r="W1457" s="19">
        <v>0.91959999999999997</v>
      </c>
      <c r="X1457" s="6">
        <v>3.38</v>
      </c>
      <c r="Y1457" s="21">
        <v>-46809.383160539102</v>
      </c>
      <c r="Z1457" s="6">
        <v>-1113</v>
      </c>
      <c r="AA1457" s="6">
        <v>-0.53366994740777496</v>
      </c>
    </row>
    <row r="1458" spans="1:27" x14ac:dyDescent="0.25">
      <c r="A1458" s="7" t="str">
        <f t="shared" si="22"/>
        <v>4002Swedish Redmond Campus591024084200, REDMOND SECURITY</v>
      </c>
      <c r="B1458" s="7"/>
      <c r="C1458" s="29" t="s">
        <v>185</v>
      </c>
      <c r="D1458" s="29" t="s">
        <v>521</v>
      </c>
      <c r="E1458" s="29" t="s">
        <v>186</v>
      </c>
      <c r="F1458" s="29">
        <v>4002</v>
      </c>
      <c r="G1458" s="4" t="s">
        <v>799</v>
      </c>
      <c r="H1458" s="5">
        <v>5910</v>
      </c>
      <c r="I1458" s="4" t="s">
        <v>139</v>
      </c>
      <c r="J1458" s="4" t="s">
        <v>136</v>
      </c>
      <c r="K1458" s="4" t="s">
        <v>803</v>
      </c>
      <c r="L1458" s="4" t="s">
        <v>140</v>
      </c>
      <c r="M1458" s="6">
        <v>196.37</v>
      </c>
      <c r="N1458" s="6">
        <v>196.37</v>
      </c>
      <c r="O1458" s="19">
        <v>0.5</v>
      </c>
      <c r="P1458" s="6">
        <v>48.29</v>
      </c>
      <c r="Q1458" s="6">
        <v>48.05</v>
      </c>
      <c r="R1458" s="19">
        <v>0.83330000000000004</v>
      </c>
      <c r="S1458" s="20">
        <v>9</v>
      </c>
      <c r="T1458" s="6">
        <v>38.51</v>
      </c>
      <c r="U1458" s="6">
        <v>40.159999999999997</v>
      </c>
      <c r="V1458" s="6">
        <v>40.869999999999997</v>
      </c>
      <c r="W1458" s="19">
        <v>0.91259999999999997</v>
      </c>
      <c r="X1458" s="6">
        <v>4.97</v>
      </c>
      <c r="Y1458" s="21">
        <v>39727.662578982301</v>
      </c>
      <c r="Z1458" s="6">
        <v>1724</v>
      </c>
      <c r="AA1458" s="6">
        <v>0.82679388792898001</v>
      </c>
    </row>
    <row r="1459" spans="1:27" x14ac:dyDescent="0.25">
      <c r="A1459" s="7" t="str">
        <f t="shared" si="22"/>
        <v>4002Swedish Redmond Campus521124084400, REDMOND ENVIRONMENTAL SERVICES</v>
      </c>
      <c r="B1459" s="7"/>
      <c r="C1459" s="29" t="s">
        <v>185</v>
      </c>
      <c r="D1459" s="29" t="s">
        <v>521</v>
      </c>
      <c r="E1459" s="29" t="s">
        <v>186</v>
      </c>
      <c r="F1459" s="29">
        <v>4002</v>
      </c>
      <c r="G1459" s="4" t="s">
        <v>799</v>
      </c>
      <c r="H1459" s="5">
        <v>5211</v>
      </c>
      <c r="I1459" s="4" t="s">
        <v>50</v>
      </c>
      <c r="J1459" s="4" t="s">
        <v>50</v>
      </c>
      <c r="K1459" s="4" t="s">
        <v>804</v>
      </c>
      <c r="L1459" s="4" t="s">
        <v>51</v>
      </c>
      <c r="M1459" s="6">
        <v>32.15</v>
      </c>
      <c r="N1459" s="6">
        <v>57.56</v>
      </c>
      <c r="O1459" s="19">
        <v>0.44440000000000002</v>
      </c>
      <c r="P1459" s="6">
        <v>167.62</v>
      </c>
      <c r="Q1459" s="6">
        <v>99.98</v>
      </c>
      <c r="R1459" s="19">
        <v>0</v>
      </c>
      <c r="S1459" s="20">
        <v>10</v>
      </c>
      <c r="T1459" s="6">
        <v>163.04</v>
      </c>
      <c r="U1459" s="6">
        <v>169.69</v>
      </c>
      <c r="V1459" s="6">
        <v>185.79</v>
      </c>
      <c r="W1459" s="19">
        <v>0.95650000000000002</v>
      </c>
      <c r="X1459" s="6">
        <v>2.89</v>
      </c>
      <c r="Y1459" s="21">
        <v>-87002.289828137698</v>
      </c>
      <c r="Z1459" s="6">
        <v>-4184</v>
      </c>
      <c r="AA1459" s="6">
        <v>-2.00598658788227</v>
      </c>
    </row>
    <row r="1460" spans="1:27" x14ac:dyDescent="0.25">
      <c r="A1460" s="7" t="str">
        <f t="shared" si="22"/>
        <v>4002Swedish Redmond Campus481224077709, REDMOND OP REHAB SERVICES</v>
      </c>
      <c r="B1460" s="7"/>
      <c r="C1460" s="29" t="s">
        <v>185</v>
      </c>
      <c r="D1460" s="29" t="s">
        <v>521</v>
      </c>
      <c r="E1460" s="29" t="s">
        <v>186</v>
      </c>
      <c r="F1460" s="29">
        <v>4002</v>
      </c>
      <c r="G1460" s="4" t="s">
        <v>799</v>
      </c>
      <c r="H1460" s="5">
        <v>4812</v>
      </c>
      <c r="I1460" s="4" t="s">
        <v>78</v>
      </c>
      <c r="J1460" s="4" t="s">
        <v>41</v>
      </c>
      <c r="K1460" s="4" t="s">
        <v>801</v>
      </c>
      <c r="L1460" s="4" t="s">
        <v>79</v>
      </c>
      <c r="M1460" s="6">
        <v>286.43</v>
      </c>
      <c r="N1460" s="6">
        <v>299.41000000000003</v>
      </c>
      <c r="O1460" s="19">
        <v>0.58330000000000004</v>
      </c>
      <c r="P1460" s="6">
        <v>19.28</v>
      </c>
      <c r="Q1460" s="6">
        <v>21.52</v>
      </c>
      <c r="R1460" s="19">
        <v>0.1429</v>
      </c>
      <c r="S1460" s="20">
        <v>25</v>
      </c>
      <c r="T1460" s="6">
        <v>22.92</v>
      </c>
      <c r="U1460" s="6">
        <v>23.76</v>
      </c>
      <c r="V1460" s="6">
        <v>25.1</v>
      </c>
      <c r="W1460" s="19">
        <v>0.88539999999999996</v>
      </c>
      <c r="X1460" s="6">
        <v>3.5</v>
      </c>
      <c r="Y1460" s="21">
        <v>-34115.2569961708</v>
      </c>
      <c r="Z1460" s="6">
        <v>-735</v>
      </c>
      <c r="AA1460" s="6">
        <v>-0.35231133700469602</v>
      </c>
    </row>
    <row r="1461" spans="1:27" x14ac:dyDescent="0.25">
      <c r="A1461" s="7" t="str">
        <f t="shared" si="22"/>
        <v>4002Swedish Redmond Campus432024078740, REDMOND SLEEP LAB</v>
      </c>
      <c r="B1461" s="7"/>
      <c r="C1461" s="29" t="s">
        <v>185</v>
      </c>
      <c r="D1461" s="29" t="s">
        <v>521</v>
      </c>
      <c r="E1461" s="29" t="s">
        <v>186</v>
      </c>
      <c r="F1461" s="29">
        <v>4002</v>
      </c>
      <c r="G1461" s="4" t="s">
        <v>799</v>
      </c>
      <c r="H1461" s="5">
        <v>4320</v>
      </c>
      <c r="I1461" s="4" t="s">
        <v>166</v>
      </c>
      <c r="J1461" s="4" t="s">
        <v>116</v>
      </c>
      <c r="K1461" s="4" t="s">
        <v>802</v>
      </c>
      <c r="L1461" s="4" t="s">
        <v>99</v>
      </c>
      <c r="M1461" s="6">
        <v>6037.59</v>
      </c>
      <c r="N1461" s="6">
        <v>6664.18</v>
      </c>
      <c r="O1461" s="19">
        <v>0.48</v>
      </c>
      <c r="P1461" s="6">
        <v>0.68</v>
      </c>
      <c r="Q1461" s="6">
        <v>0.65</v>
      </c>
      <c r="R1461" s="7"/>
      <c r="S1461" s="20">
        <v>26</v>
      </c>
      <c r="T1461" s="6">
        <v>0.95</v>
      </c>
      <c r="U1461" s="6">
        <v>0.96</v>
      </c>
      <c r="V1461" s="6">
        <v>1</v>
      </c>
      <c r="W1461" s="19">
        <v>0.94140000000000001</v>
      </c>
      <c r="X1461" s="6">
        <v>2.2000000000000002</v>
      </c>
      <c r="Y1461" s="21">
        <v>-83205.119163271302</v>
      </c>
      <c r="Z1461" s="6">
        <v>-2207</v>
      </c>
      <c r="AA1461" s="6">
        <v>-1.0583063651164599</v>
      </c>
    </row>
    <row r="1462" spans="1:27" x14ac:dyDescent="0.25">
      <c r="A1462" s="7" t="str">
        <f t="shared" si="22"/>
        <v>4002Swedish Redmond Campus201024070100, REDMOND EMERGENCY SERVICES</v>
      </c>
      <c r="B1462" s="7"/>
      <c r="C1462" s="29" t="s">
        <v>185</v>
      </c>
      <c r="D1462" s="29" t="s">
        <v>521</v>
      </c>
      <c r="E1462" s="29" t="s">
        <v>186</v>
      </c>
      <c r="F1462" s="29">
        <v>4002</v>
      </c>
      <c r="G1462" s="4" t="s">
        <v>799</v>
      </c>
      <c r="H1462" s="5">
        <v>2010</v>
      </c>
      <c r="I1462" s="4" t="s">
        <v>75</v>
      </c>
      <c r="J1462" s="4" t="s">
        <v>76</v>
      </c>
      <c r="K1462" s="4" t="s">
        <v>800</v>
      </c>
      <c r="L1462" s="4" t="s">
        <v>77</v>
      </c>
      <c r="M1462" s="6">
        <v>8257</v>
      </c>
      <c r="N1462" s="6">
        <v>9706</v>
      </c>
      <c r="O1462" s="19">
        <v>0.48</v>
      </c>
      <c r="P1462" s="6">
        <v>4.3600000000000003</v>
      </c>
      <c r="Q1462" s="6">
        <v>3.98</v>
      </c>
      <c r="R1462" s="19">
        <v>0.60870000000000002</v>
      </c>
      <c r="S1462" s="20">
        <v>26</v>
      </c>
      <c r="T1462" s="6">
        <v>2.99</v>
      </c>
      <c r="U1462" s="6">
        <v>3.05</v>
      </c>
      <c r="V1462" s="6">
        <v>3.64</v>
      </c>
      <c r="W1462" s="19">
        <v>0.89590000000000003</v>
      </c>
      <c r="X1462" s="6">
        <v>20.71</v>
      </c>
      <c r="Y1462" s="21">
        <v>475738.60114526702</v>
      </c>
      <c r="Z1462" s="6">
        <v>10152</v>
      </c>
      <c r="AA1462" s="6">
        <v>4.8673164089969303</v>
      </c>
    </row>
    <row r="1464" spans="1:27" x14ac:dyDescent="0.25">
      <c r="R1464" s="98"/>
    </row>
    <row r="1466" spans="1:27" x14ac:dyDescent="0.25">
      <c r="R1466" s="98"/>
    </row>
    <row r="1467" spans="1:27" x14ac:dyDescent="0.25">
      <c r="R1467" s="95"/>
    </row>
    <row r="1468" spans="1:27" x14ac:dyDescent="0.25">
      <c r="R1468" s="95"/>
    </row>
  </sheetData>
  <autoFilter ref="A2:AA1462">
    <sortState ref="A409:AA458">
      <sortCondition descending="1" ref="AA2:AA1462"/>
    </sortState>
  </autoFilter>
  <mergeCells count="4">
    <mergeCell ref="M1:O1"/>
    <mergeCell ref="P1:R1"/>
    <mergeCell ref="T1:V1"/>
    <mergeCell ref="Y1:AA1"/>
  </mergeCells>
  <pageMargins left="0.7" right="0.7" top="0.75" bottom="0.75" header="0.3" footer="0.3"/>
  <pageSetup paperSize="5" scale="32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Summary_Market_Facility</vt:lpstr>
      <vt:lpstr>Copy Values</vt:lpstr>
      <vt:lpstr>CustomCompareVolumesExport_0813</vt:lpstr>
      <vt:lpstr>CustomCompareVolumesExport_0813!Print_Area</vt:lpstr>
      <vt:lpstr>Summary_Market_Facility!Print_Area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Pohlman, Kimberly</dc:creator>
  <cp:lastModifiedBy>Bell, Christopher J</cp:lastModifiedBy>
  <cp:lastPrinted>2016-09-07T16:11:19Z</cp:lastPrinted>
  <dcterms:created xsi:type="dcterms:W3CDTF">2016-08-13T20:31:41Z</dcterms:created>
  <dcterms:modified xsi:type="dcterms:W3CDTF">2016-09-07T16:19:22Z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_NewReviewCycle">
    <vt:lpwstr/>
  </property>
</Properties>
</file>