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acadata\SIMBAD\Calculs\Chenal\"/>
    </mc:Choice>
  </mc:AlternateContent>
  <bookViews>
    <workbookView xWindow="-24" yWindow="-24" windowWidth="16776" windowHeight="4704" activeTab="5"/>
  </bookViews>
  <sheets>
    <sheet name="NOTICE" sheetId="67" r:id="rId1"/>
    <sheet name="NOTE" sheetId="68" r:id="rId2"/>
    <sheet name="Initial data" sheetId="57" r:id="rId3"/>
    <sheet name="Results_Depth" sheetId="53" r:id="rId4"/>
    <sheet name="Dynamic_Heel" sheetId="54" r:id="rId5"/>
    <sheet name="Squat results" sheetId="4" r:id="rId6"/>
    <sheet name="Squat data" sheetId="25" r:id="rId7"/>
    <sheet name="V+2" sheetId="59" r:id="rId8"/>
    <sheet name="V+4" sheetId="60" r:id="rId9"/>
    <sheet name="V+6" sheetId="61" r:id="rId10"/>
    <sheet name="V+8" sheetId="62" r:id="rId11"/>
    <sheet name="V+10" sheetId="63" r:id="rId12"/>
    <sheet name="V+12" sheetId="64" r:id="rId13"/>
    <sheet name="V+14" sheetId="65" r:id="rId14"/>
    <sheet name="V+16" sheetId="66" r:id="rId15"/>
  </sheets>
  <definedNames>
    <definedName name="MetaL1">#REF!</definedName>
    <definedName name="ML2L1">#REF!</definedName>
    <definedName name="XetaL1">#REF!</definedName>
    <definedName name="xL2L1">#REF!</definedName>
    <definedName name="YetaL1">#REF!</definedName>
    <definedName name="YL2L1">#REF!</definedName>
  </definedNames>
  <calcPr calcId="162913"/>
</workbook>
</file>

<file path=xl/calcChain.xml><?xml version="1.0" encoding="utf-8"?>
<calcChain xmlns="http://schemas.openxmlformats.org/spreadsheetml/2006/main">
  <c r="C14" i="4" l="1"/>
  <c r="C13" i="4"/>
  <c r="C12" i="4"/>
  <c r="C11" i="4"/>
  <c r="C10" i="4"/>
  <c r="C9" i="4"/>
  <c r="C8" i="4"/>
  <c r="C7" i="4"/>
  <c r="D9" i="53" l="1"/>
  <c r="D8" i="53"/>
  <c r="E113" i="54"/>
  <c r="D94" i="54"/>
  <c r="C37" i="54"/>
  <c r="C35" i="54"/>
  <c r="C14" i="57"/>
  <c r="D66" i="54" s="1"/>
  <c r="D96" i="54"/>
  <c r="D56" i="4"/>
  <c r="D55" i="4"/>
  <c r="H6" i="4" s="1"/>
  <c r="H7" i="4" s="1"/>
  <c r="H8" i="4" s="1"/>
  <c r="F5" i="54"/>
  <c r="H9" i="4" l="1"/>
  <c r="B31" i="66"/>
  <c r="B30" i="66"/>
  <c r="B29" i="66"/>
  <c r="B28" i="66"/>
  <c r="B27" i="66"/>
  <c r="B24" i="66"/>
  <c r="B23" i="66"/>
  <c r="B22" i="66"/>
  <c r="E63" i="66" s="1"/>
  <c r="B21" i="66"/>
  <c r="D63" i="66" s="1"/>
  <c r="B20" i="66"/>
  <c r="B63" i="66" s="1"/>
  <c r="B18" i="66"/>
  <c r="B14" i="66"/>
  <c r="B13" i="66"/>
  <c r="B31" i="65"/>
  <c r="B30" i="65"/>
  <c r="B29" i="65"/>
  <c r="B28" i="65"/>
  <c r="B27" i="65"/>
  <c r="B24" i="65"/>
  <c r="B23" i="65"/>
  <c r="B22" i="65"/>
  <c r="E63" i="65" s="1"/>
  <c r="B21" i="65"/>
  <c r="D63" i="65" s="1"/>
  <c r="B20" i="65"/>
  <c r="B63" i="65" s="1"/>
  <c r="B18" i="65"/>
  <c r="B14" i="65"/>
  <c r="B13" i="65"/>
  <c r="B31" i="64"/>
  <c r="B30" i="64"/>
  <c r="B29" i="64"/>
  <c r="B28" i="64"/>
  <c r="B27" i="64"/>
  <c r="B24" i="64"/>
  <c r="B23" i="64"/>
  <c r="B15" i="64" s="1"/>
  <c r="B22" i="64"/>
  <c r="E63" i="64" s="1"/>
  <c r="B21" i="64"/>
  <c r="D63" i="64" s="1"/>
  <c r="B20" i="64"/>
  <c r="B63" i="64" s="1"/>
  <c r="B18" i="64"/>
  <c r="B14" i="64"/>
  <c r="B13" i="64"/>
  <c r="B31" i="63"/>
  <c r="B30" i="63"/>
  <c r="B29" i="63"/>
  <c r="B28" i="63"/>
  <c r="B27" i="63"/>
  <c r="B24" i="63"/>
  <c r="B23" i="63"/>
  <c r="B22" i="63"/>
  <c r="E63" i="63" s="1"/>
  <c r="B21" i="63"/>
  <c r="D63" i="63" s="1"/>
  <c r="B20" i="63"/>
  <c r="B63" i="63" s="1"/>
  <c r="B18" i="63"/>
  <c r="B15" i="63"/>
  <c r="B14" i="63"/>
  <c r="B13" i="63"/>
  <c r="B31" i="62"/>
  <c r="B30" i="62"/>
  <c r="B29" i="62"/>
  <c r="B28" i="62"/>
  <c r="B27" i="62"/>
  <c r="B24" i="62"/>
  <c r="B23" i="62"/>
  <c r="B22" i="62"/>
  <c r="E63" i="62" s="1"/>
  <c r="B21" i="62"/>
  <c r="D63" i="62" s="1"/>
  <c r="B20" i="62"/>
  <c r="B63" i="62" s="1"/>
  <c r="B18" i="62"/>
  <c r="B14" i="62"/>
  <c r="B13" i="62"/>
  <c r="B31" i="61"/>
  <c r="B30" i="61"/>
  <c r="B29" i="61"/>
  <c r="B28" i="61"/>
  <c r="B27" i="61"/>
  <c r="B24" i="61"/>
  <c r="B23" i="61"/>
  <c r="B22" i="61"/>
  <c r="E63" i="61" s="1"/>
  <c r="B21" i="61"/>
  <c r="D63" i="61" s="1"/>
  <c r="B20" i="61"/>
  <c r="B63" i="61" s="1"/>
  <c r="B18" i="61"/>
  <c r="B14" i="61"/>
  <c r="B13" i="61"/>
  <c r="B31" i="60"/>
  <c r="B30" i="60"/>
  <c r="B29" i="60"/>
  <c r="B28" i="60"/>
  <c r="B27" i="60"/>
  <c r="B24" i="60"/>
  <c r="B23" i="60"/>
  <c r="B15" i="60" s="1"/>
  <c r="B22" i="60"/>
  <c r="E63" i="60" s="1"/>
  <c r="B21" i="60"/>
  <c r="D63" i="60" s="1"/>
  <c r="B20" i="60"/>
  <c r="B63" i="60" s="1"/>
  <c r="B18" i="60"/>
  <c r="B14" i="60"/>
  <c r="B13" i="60"/>
  <c r="B31" i="59"/>
  <c r="B30" i="59"/>
  <c r="B29" i="59"/>
  <c r="B28" i="59"/>
  <c r="B27" i="59"/>
  <c r="B24" i="59"/>
  <c r="B23" i="59"/>
  <c r="B22" i="59"/>
  <c r="E63" i="59" s="1"/>
  <c r="B21" i="59"/>
  <c r="D63" i="59" s="1"/>
  <c r="B20" i="59"/>
  <c r="B63" i="59" s="1"/>
  <c r="B18" i="59"/>
  <c r="B14" i="59"/>
  <c r="B13" i="59"/>
  <c r="C8" i="54"/>
  <c r="B31" i="25"/>
  <c r="B30" i="25"/>
  <c r="C63" i="62" l="1"/>
  <c r="B15" i="62"/>
  <c r="B15" i="66"/>
  <c r="K63" i="66"/>
  <c r="G53" i="63"/>
  <c r="F63" i="65"/>
  <c r="C63" i="59"/>
  <c r="G53" i="60"/>
  <c r="C63" i="61"/>
  <c r="B32" i="63"/>
  <c r="E59" i="63" s="1"/>
  <c r="C63" i="63"/>
  <c r="B59" i="66"/>
  <c r="K63" i="60"/>
  <c r="B15" i="59"/>
  <c r="B32" i="59" s="1"/>
  <c r="E59" i="59" s="1"/>
  <c r="B59" i="60"/>
  <c r="B15" i="61"/>
  <c r="G53" i="61" s="1"/>
  <c r="B59" i="59"/>
  <c r="F63" i="60"/>
  <c r="B15" i="65"/>
  <c r="F63" i="66"/>
  <c r="F59" i="64"/>
  <c r="F63" i="64"/>
  <c r="C63" i="64"/>
  <c r="F63" i="59"/>
  <c r="F59" i="60"/>
  <c r="G53" i="62"/>
  <c r="K63" i="63"/>
  <c r="G53" i="64"/>
  <c r="K63" i="64"/>
  <c r="C63" i="65"/>
  <c r="G53" i="66"/>
  <c r="F63" i="61"/>
  <c r="F63" i="62"/>
  <c r="C63" i="60"/>
  <c r="B59" i="61"/>
  <c r="B59" i="62"/>
  <c r="F63" i="63"/>
  <c r="B59" i="64"/>
  <c r="G53" i="65"/>
  <c r="B53" i="66"/>
  <c r="F59" i="66"/>
  <c r="B59" i="65"/>
  <c r="C63" i="66"/>
  <c r="C53" i="66"/>
  <c r="B49" i="66"/>
  <c r="J49" i="66"/>
  <c r="J53" i="66"/>
  <c r="G59" i="66"/>
  <c r="B32" i="66"/>
  <c r="L63" i="66"/>
  <c r="C49" i="66"/>
  <c r="F49" i="66" s="1"/>
  <c r="H49" i="66" s="1"/>
  <c r="G49" i="66"/>
  <c r="F59" i="65"/>
  <c r="K63" i="65"/>
  <c r="B32" i="65"/>
  <c r="L63" i="65"/>
  <c r="B49" i="65"/>
  <c r="J49" i="65"/>
  <c r="B53" i="65"/>
  <c r="J53" i="65"/>
  <c r="G59" i="65"/>
  <c r="C49" i="65"/>
  <c r="F49" i="65" s="1"/>
  <c r="H49" i="65" s="1"/>
  <c r="G49" i="65"/>
  <c r="C53" i="65"/>
  <c r="F53" i="65" s="1"/>
  <c r="H53" i="65" s="1"/>
  <c r="B32" i="64"/>
  <c r="B49" i="64"/>
  <c r="J49" i="64"/>
  <c r="B53" i="64"/>
  <c r="J53" i="64"/>
  <c r="G59" i="64"/>
  <c r="L63" i="64"/>
  <c r="C49" i="64"/>
  <c r="F49" i="64" s="1"/>
  <c r="H49" i="64" s="1"/>
  <c r="G49" i="64"/>
  <c r="C53" i="64"/>
  <c r="F53" i="64" s="1"/>
  <c r="H53" i="64" s="1"/>
  <c r="B59" i="63"/>
  <c r="F59" i="63"/>
  <c r="L63" i="63"/>
  <c r="B49" i="63"/>
  <c r="J49" i="63"/>
  <c r="B53" i="63"/>
  <c r="J53" i="63"/>
  <c r="G59" i="63"/>
  <c r="C49" i="63"/>
  <c r="F49" i="63" s="1"/>
  <c r="H49" i="63" s="1"/>
  <c r="G49" i="63"/>
  <c r="C53" i="63"/>
  <c r="F53" i="63" s="1"/>
  <c r="H53" i="63" s="1"/>
  <c r="F59" i="62"/>
  <c r="K63" i="62"/>
  <c r="B32" i="62"/>
  <c r="L63" i="62"/>
  <c r="B49" i="62"/>
  <c r="J49" i="62"/>
  <c r="B53" i="62"/>
  <c r="J53" i="62"/>
  <c r="G59" i="62"/>
  <c r="C49" i="62"/>
  <c r="F49" i="62" s="1"/>
  <c r="H49" i="62" s="1"/>
  <c r="G49" i="62"/>
  <c r="C53" i="62"/>
  <c r="F53" i="62" s="1"/>
  <c r="H53" i="62" s="1"/>
  <c r="L63" i="61"/>
  <c r="G59" i="61"/>
  <c r="C49" i="61"/>
  <c r="F49" i="61" s="1"/>
  <c r="H49" i="61" s="1"/>
  <c r="C53" i="61"/>
  <c r="F53" i="61" s="1"/>
  <c r="H53" i="61" s="1"/>
  <c r="B32" i="60"/>
  <c r="B49" i="60"/>
  <c r="J49" i="60"/>
  <c r="B53" i="60"/>
  <c r="J53" i="60"/>
  <c r="G59" i="60"/>
  <c r="H59" i="60" s="1"/>
  <c r="L63" i="60"/>
  <c r="C49" i="60"/>
  <c r="F49" i="60" s="1"/>
  <c r="H49" i="60" s="1"/>
  <c r="G49" i="60"/>
  <c r="C53" i="60"/>
  <c r="F53" i="60" s="1"/>
  <c r="H53" i="60" s="1"/>
  <c r="L63" i="59"/>
  <c r="G59" i="59"/>
  <c r="C49" i="59"/>
  <c r="F49" i="59" s="1"/>
  <c r="H49" i="59" s="1"/>
  <c r="C53" i="59"/>
  <c r="F53" i="59" s="1"/>
  <c r="H53" i="59" s="1"/>
  <c r="B49" i="61" l="1"/>
  <c r="J53" i="61"/>
  <c r="B53" i="61"/>
  <c r="K63" i="61"/>
  <c r="M63" i="61" s="1"/>
  <c r="J49" i="61"/>
  <c r="F59" i="61"/>
  <c r="H59" i="61" s="1"/>
  <c r="M63" i="66"/>
  <c r="H59" i="64"/>
  <c r="K63" i="59"/>
  <c r="M63" i="59" s="1"/>
  <c r="J53" i="59"/>
  <c r="G53" i="59"/>
  <c r="M63" i="60"/>
  <c r="G49" i="61"/>
  <c r="B32" i="61"/>
  <c r="E59" i="61" s="1"/>
  <c r="F59" i="59"/>
  <c r="H59" i="59" s="1"/>
  <c r="J49" i="59"/>
  <c r="M63" i="64"/>
  <c r="G49" i="59"/>
  <c r="B53" i="59"/>
  <c r="D53" i="59" s="1"/>
  <c r="E53" i="59" s="1"/>
  <c r="I53" i="59" s="1"/>
  <c r="B49" i="59"/>
  <c r="D49" i="59" s="1"/>
  <c r="E49" i="59" s="1"/>
  <c r="I49" i="59" s="1"/>
  <c r="B42" i="59" s="1"/>
  <c r="H59" i="66"/>
  <c r="D53" i="63"/>
  <c r="E53" i="63" s="1"/>
  <c r="I53" i="63" s="1"/>
  <c r="M63" i="63"/>
  <c r="D53" i="66"/>
  <c r="E53" i="66" s="1"/>
  <c r="F53" i="66"/>
  <c r="H53" i="66" s="1"/>
  <c r="H59" i="65"/>
  <c r="M63" i="62"/>
  <c r="D53" i="61"/>
  <c r="E53" i="61" s="1"/>
  <c r="I53" i="61" s="1"/>
  <c r="H59" i="62"/>
  <c r="D49" i="60"/>
  <c r="E49" i="60" s="1"/>
  <c r="I49" i="60" s="1"/>
  <c r="B42" i="60" s="1"/>
  <c r="D49" i="63"/>
  <c r="E49" i="63" s="1"/>
  <c r="I49" i="63" s="1"/>
  <c r="B42" i="63" s="1"/>
  <c r="D53" i="64"/>
  <c r="E53" i="64" s="1"/>
  <c r="I53" i="64" s="1"/>
  <c r="E59" i="66"/>
  <c r="D49" i="66"/>
  <c r="E49" i="66" s="1"/>
  <c r="I49" i="66" s="1"/>
  <c r="B42" i="66" s="1"/>
  <c r="E59" i="65"/>
  <c r="D49" i="65"/>
  <c r="E49" i="65" s="1"/>
  <c r="I49" i="65" s="1"/>
  <c r="B42" i="65" s="1"/>
  <c r="D53" i="65"/>
  <c r="E53" i="65" s="1"/>
  <c r="I53" i="65" s="1"/>
  <c r="M63" i="65"/>
  <c r="D49" i="64"/>
  <c r="E49" i="64" s="1"/>
  <c r="I49" i="64" s="1"/>
  <c r="B42" i="64" s="1"/>
  <c r="E59" i="64"/>
  <c r="H59" i="63"/>
  <c r="E59" i="62"/>
  <c r="D49" i="62"/>
  <c r="E49" i="62" s="1"/>
  <c r="I49" i="62" s="1"/>
  <c r="B42" i="62" s="1"/>
  <c r="D53" i="62"/>
  <c r="E53" i="62" s="1"/>
  <c r="I53" i="62" s="1"/>
  <c r="D49" i="61"/>
  <c r="E49" i="61" s="1"/>
  <c r="I49" i="61" s="1"/>
  <c r="B42" i="61" s="1"/>
  <c r="D53" i="60"/>
  <c r="E53" i="60" s="1"/>
  <c r="I53" i="60" s="1"/>
  <c r="E59" i="60"/>
  <c r="I53" i="66" l="1"/>
  <c r="L53" i="66" s="1"/>
  <c r="M53" i="66" s="1"/>
  <c r="C42" i="66"/>
  <c r="D42" i="66" s="1"/>
  <c r="L49" i="66"/>
  <c r="L53" i="65"/>
  <c r="M53" i="65" s="1"/>
  <c r="C42" i="65"/>
  <c r="D42" i="65" s="1"/>
  <c r="L49" i="65"/>
  <c r="L53" i="64"/>
  <c r="M53" i="64" s="1"/>
  <c r="L49" i="64"/>
  <c r="C42" i="64"/>
  <c r="D42" i="64" s="1"/>
  <c r="L53" i="63"/>
  <c r="M53" i="63" s="1"/>
  <c r="L49" i="63"/>
  <c r="C42" i="63"/>
  <c r="D42" i="63" s="1"/>
  <c r="L53" i="62"/>
  <c r="M53" i="62" s="1"/>
  <c r="L49" i="62"/>
  <c r="C42" i="62"/>
  <c r="D42" i="62" s="1"/>
  <c r="L53" i="61"/>
  <c r="M53" i="61" s="1"/>
  <c r="L49" i="61"/>
  <c r="C42" i="61"/>
  <c r="D42" i="61" s="1"/>
  <c r="L53" i="60"/>
  <c r="M53" i="60" s="1"/>
  <c r="C42" i="60"/>
  <c r="D42" i="60" s="1"/>
  <c r="L49" i="60"/>
  <c r="L53" i="59"/>
  <c r="M53" i="59" s="1"/>
  <c r="L49" i="59"/>
  <c r="C42" i="59"/>
  <c r="D42" i="59" s="1"/>
  <c r="D59" i="66" l="1"/>
  <c r="I63" i="66"/>
  <c r="J63" i="66"/>
  <c r="D59" i="65"/>
  <c r="I63" i="65"/>
  <c r="J63" i="65"/>
  <c r="D59" i="64"/>
  <c r="I63" i="64"/>
  <c r="J63" i="64"/>
  <c r="D59" i="63"/>
  <c r="I63" i="63"/>
  <c r="J63" i="63"/>
  <c r="D59" i="62"/>
  <c r="I63" i="62"/>
  <c r="J63" i="62"/>
  <c r="D59" i="61"/>
  <c r="I63" i="61"/>
  <c r="J63" i="61"/>
  <c r="D59" i="60"/>
  <c r="I63" i="60"/>
  <c r="J63" i="60"/>
  <c r="D59" i="59"/>
  <c r="I63" i="59"/>
  <c r="J63" i="59"/>
  <c r="B29" i="25" l="1"/>
  <c r="B28" i="25"/>
  <c r="B27" i="25"/>
  <c r="J8" i="57"/>
  <c r="B22" i="25"/>
  <c r="B21" i="25"/>
  <c r="B20" i="25"/>
  <c r="H23" i="57" l="1"/>
  <c r="B17" i="65"/>
  <c r="B17" i="60"/>
  <c r="B17" i="66"/>
  <c r="B17" i="63"/>
  <c r="B17" i="61"/>
  <c r="B17" i="59"/>
  <c r="B17" i="64"/>
  <c r="B17" i="62"/>
  <c r="D14" i="4"/>
  <c r="D9" i="4"/>
  <c r="D12" i="4"/>
  <c r="D8" i="4"/>
  <c r="D13" i="4"/>
  <c r="D11" i="4"/>
  <c r="D7" i="4"/>
  <c r="D10" i="4"/>
  <c r="B24" i="25"/>
  <c r="B23" i="25"/>
  <c r="H63" i="66" l="1"/>
  <c r="K49" i="66"/>
  <c r="M49" i="66" s="1"/>
  <c r="B16" i="66"/>
  <c r="B35" i="66"/>
  <c r="C59" i="66"/>
  <c r="N63" i="66"/>
  <c r="O63" i="66" s="1"/>
  <c r="I59" i="66"/>
  <c r="J59" i="66" s="1"/>
  <c r="G63" i="66" s="1"/>
  <c r="C59" i="59"/>
  <c r="K49" i="59"/>
  <c r="M49" i="59" s="1"/>
  <c r="H63" i="59"/>
  <c r="B35" i="59"/>
  <c r="B16" i="59"/>
  <c r="N63" i="59"/>
  <c r="O63" i="59" s="1"/>
  <c r="I59" i="59"/>
  <c r="J59" i="59" s="1"/>
  <c r="G63" i="59" s="1"/>
  <c r="B16" i="60"/>
  <c r="K49" i="60"/>
  <c r="M49" i="60" s="1"/>
  <c r="H63" i="60"/>
  <c r="C59" i="60"/>
  <c r="B35" i="60"/>
  <c r="N63" i="60"/>
  <c r="O63" i="60" s="1"/>
  <c r="I59" i="60"/>
  <c r="J59" i="60" s="1"/>
  <c r="G63" i="60" s="1"/>
  <c r="B16" i="64"/>
  <c r="K49" i="64"/>
  <c r="M49" i="64" s="1"/>
  <c r="H63" i="64"/>
  <c r="C59" i="64"/>
  <c r="B35" i="64"/>
  <c r="I59" i="64"/>
  <c r="J59" i="64" s="1"/>
  <c r="G63" i="64" s="1"/>
  <c r="N63" i="64"/>
  <c r="O63" i="64" s="1"/>
  <c r="H63" i="61"/>
  <c r="C59" i="61"/>
  <c r="B35" i="61"/>
  <c r="K49" i="61"/>
  <c r="M49" i="61" s="1"/>
  <c r="B16" i="61"/>
  <c r="I59" i="61"/>
  <c r="J59" i="61" s="1"/>
  <c r="G63" i="61" s="1"/>
  <c r="N63" i="61"/>
  <c r="O63" i="61" s="1"/>
  <c r="H63" i="65"/>
  <c r="C59" i="65"/>
  <c r="K49" i="65"/>
  <c r="M49" i="65" s="1"/>
  <c r="B16" i="65"/>
  <c r="B35" i="65"/>
  <c r="I59" i="65"/>
  <c r="J59" i="65" s="1"/>
  <c r="G63" i="65" s="1"/>
  <c r="N63" i="65"/>
  <c r="O63" i="65" s="1"/>
  <c r="K49" i="62"/>
  <c r="M49" i="62" s="1"/>
  <c r="H63" i="62"/>
  <c r="C59" i="62"/>
  <c r="B16" i="62"/>
  <c r="B35" i="62"/>
  <c r="N63" i="62"/>
  <c r="O63" i="62" s="1"/>
  <c r="I59" i="62"/>
  <c r="J59" i="62" s="1"/>
  <c r="G63" i="62" s="1"/>
  <c r="B16" i="63"/>
  <c r="H63" i="63"/>
  <c r="K49" i="63"/>
  <c r="M49" i="63" s="1"/>
  <c r="B35" i="63"/>
  <c r="C59" i="63"/>
  <c r="I59" i="63"/>
  <c r="J59" i="63" s="1"/>
  <c r="G63" i="63" s="1"/>
  <c r="N63" i="63"/>
  <c r="O63" i="63" s="1"/>
  <c r="B15" i="25"/>
  <c r="B17" i="25"/>
  <c r="B18" i="25"/>
  <c r="B14" i="25"/>
  <c r="B13" i="25"/>
  <c r="C5" i="54"/>
  <c r="C4" i="54"/>
  <c r="P63" i="62" l="1"/>
  <c r="P63" i="65"/>
  <c r="K59" i="64"/>
  <c r="K59" i="66"/>
  <c r="K59" i="61"/>
  <c r="K59" i="59"/>
  <c r="K59" i="63"/>
  <c r="K59" i="62"/>
  <c r="B65" i="62" s="1"/>
  <c r="K59" i="65"/>
  <c r="P63" i="61"/>
  <c r="B65" i="61" s="1"/>
  <c r="K59" i="60"/>
  <c r="P63" i="60"/>
  <c r="B66" i="60" s="1"/>
  <c r="P63" i="59"/>
  <c r="P63" i="63"/>
  <c r="P63" i="64"/>
  <c r="B65" i="64" s="1"/>
  <c r="P63" i="66"/>
  <c r="F6" i="54"/>
  <c r="B66" i="63" l="1"/>
  <c r="B65" i="60"/>
  <c r="E8" i="4" s="1"/>
  <c r="F8" i="4" s="1"/>
  <c r="B65" i="66"/>
  <c r="B66" i="62"/>
  <c r="E10" i="4" s="1"/>
  <c r="F10" i="4" s="1"/>
  <c r="I8" i="4" s="1"/>
  <c r="B65" i="59"/>
  <c r="B65" i="65"/>
  <c r="B65" i="63"/>
  <c r="E11" i="4" s="1"/>
  <c r="F11" i="4" s="1"/>
  <c r="I9" i="4" s="1"/>
  <c r="B66" i="66"/>
  <c r="B66" i="61"/>
  <c r="E9" i="4" s="1"/>
  <c r="F9" i="4" s="1"/>
  <c r="B66" i="64"/>
  <c r="E12" i="4" s="1"/>
  <c r="F12" i="4" s="1"/>
  <c r="B66" i="59"/>
  <c r="E7" i="4" s="1"/>
  <c r="F7" i="4" s="1"/>
  <c r="B66" i="65"/>
  <c r="E13" i="4" s="1"/>
  <c r="F13" i="4" s="1"/>
  <c r="C7" i="54"/>
  <c r="C6" i="54"/>
  <c r="E14" i="4" l="1"/>
  <c r="F14" i="4" s="1"/>
  <c r="E56" i="4" s="1"/>
  <c r="H10" i="4"/>
  <c r="D10" i="53" s="1"/>
  <c r="C56" i="4" l="1"/>
  <c r="E116" i="54"/>
  <c r="G136" i="54" s="1"/>
  <c r="G141" i="54" s="1"/>
  <c r="H147" i="54" s="1"/>
  <c r="G100" i="54"/>
  <c r="E11" i="54"/>
  <c r="I11" i="54"/>
  <c r="D49" i="54"/>
  <c r="H49" i="54" s="1"/>
  <c r="K49" i="54" s="1"/>
  <c r="G11" i="54"/>
  <c r="I105" i="54"/>
  <c r="C11" i="54"/>
  <c r="C29" i="54" s="1"/>
  <c r="B32" i="25"/>
  <c r="B16" i="25"/>
  <c r="G49" i="25"/>
  <c r="B49" i="25"/>
  <c r="K49" i="25"/>
  <c r="J49" i="25"/>
  <c r="B53" i="25"/>
  <c r="J53" i="25"/>
  <c r="B59" i="25"/>
  <c r="B63" i="25"/>
  <c r="C63" i="25"/>
  <c r="D63" i="25"/>
  <c r="E63" i="25"/>
  <c r="B35" i="25"/>
  <c r="C59" i="25"/>
  <c r="F59" i="25"/>
  <c r="H63" i="25"/>
  <c r="K63" i="25"/>
  <c r="G53" i="25"/>
  <c r="L63" i="25"/>
  <c r="F63" i="25" l="1"/>
  <c r="C32" i="54"/>
  <c r="E59" i="25"/>
  <c r="F110" i="54"/>
  <c r="E127" i="54" s="1"/>
  <c r="G20" i="53"/>
  <c r="M63" i="25"/>
  <c r="N63" i="25" s="1"/>
  <c r="O63" i="25" s="1"/>
  <c r="C26" i="54"/>
  <c r="C49" i="25"/>
  <c r="D49" i="25" s="1"/>
  <c r="E49" i="25" s="1"/>
  <c r="G59" i="25"/>
  <c r="H59" i="25" s="1"/>
  <c r="I59" i="25" s="1"/>
  <c r="J59" i="25" s="1"/>
  <c r="C53" i="25"/>
  <c r="G63" i="25" l="1"/>
  <c r="D40" i="54"/>
  <c r="E44" i="54" s="1"/>
  <c r="G53" i="54" s="1"/>
  <c r="F49" i="25"/>
  <c r="H49" i="25" s="1"/>
  <c r="F53" i="25"/>
  <c r="H53" i="25" s="1"/>
  <c r="D53" i="25"/>
  <c r="E53" i="25" s="1"/>
  <c r="E79" i="54" l="1"/>
  <c r="G85" i="54" s="1"/>
  <c r="D11" i="53" s="1"/>
  <c r="I49" i="25"/>
  <c r="I53" i="25"/>
  <c r="B55" i="4" l="1"/>
  <c r="B42" i="25"/>
  <c r="C42" i="25" s="1"/>
  <c r="D42" i="25" s="1"/>
  <c r="B56" i="4"/>
  <c r="L49" i="25" l="1"/>
  <c r="M49" i="25" s="1"/>
  <c r="L53" i="25"/>
  <c r="M53" i="25" s="1"/>
  <c r="D59" i="25"/>
  <c r="K59" i="25" s="1"/>
  <c r="I63" i="25"/>
  <c r="J63" i="25"/>
  <c r="C6" i="4" l="1"/>
  <c r="P63" i="25"/>
  <c r="B65" i="25" s="1"/>
  <c r="B66" i="25" l="1"/>
  <c r="E6" i="4" s="1"/>
  <c r="D6" i="4" l="1"/>
  <c r="F6" i="4" s="1"/>
  <c r="D19" i="53" l="1"/>
  <c r="D20" i="53" s="1"/>
  <c r="D21" i="53" l="1"/>
</calcChain>
</file>

<file path=xl/sharedStrings.xml><?xml version="1.0" encoding="utf-8"?>
<sst xmlns="http://schemas.openxmlformats.org/spreadsheetml/2006/main" count="1073" uniqueCount="159">
  <si>
    <t>Lpp (m)</t>
  </si>
  <si>
    <t>As(m2)</t>
  </si>
  <si>
    <t>Ach(m2)</t>
  </si>
  <si>
    <t>As/Ach</t>
  </si>
  <si>
    <t>Sb</t>
  </si>
  <si>
    <t>CB</t>
  </si>
  <si>
    <t>Restrictions:</t>
  </si>
  <si>
    <t>Cwp</t>
  </si>
  <si>
    <t xml:space="preserve">Weff </t>
  </si>
  <si>
    <t xml:space="preserve"> </t>
  </si>
  <si>
    <t>Squat Sb</t>
  </si>
  <si>
    <t>Squat Ss</t>
  </si>
  <si>
    <t>Kc</t>
  </si>
  <si>
    <t>hm</t>
  </si>
  <si>
    <t>Kch</t>
  </si>
  <si>
    <t>hmT</t>
  </si>
  <si>
    <t>Vitesse limite Vcr</t>
  </si>
  <si>
    <t>KdT</t>
  </si>
  <si>
    <t>Cf</t>
  </si>
  <si>
    <t>Cv</t>
  </si>
  <si>
    <t>Ss</t>
  </si>
  <si>
    <t>O</t>
  </si>
  <si>
    <t>Ankudinov</t>
  </si>
  <si>
    <t>Kps</t>
  </si>
  <si>
    <t>Phu</t>
  </si>
  <si>
    <t>Pfnh</t>
  </si>
  <si>
    <t>Ph/T</t>
  </si>
  <si>
    <t>Sh</t>
  </si>
  <si>
    <t>Sm</t>
  </si>
  <si>
    <t>Fnh &lt; =0.6</t>
  </si>
  <si>
    <t>Pch2</t>
  </si>
  <si>
    <t>Ph/Tm</t>
  </si>
  <si>
    <t>KpT</t>
  </si>
  <si>
    <t>KbT</t>
  </si>
  <si>
    <t>KTrT</t>
  </si>
  <si>
    <t>KT1T</t>
  </si>
  <si>
    <t>KTr</t>
  </si>
  <si>
    <t>Pch1</t>
  </si>
  <si>
    <t>Trim</t>
  </si>
  <si>
    <t>Römisch</t>
  </si>
  <si>
    <t>Weff=[7.04/CB**0.85]*B</t>
  </si>
  <si>
    <t>Hooft</t>
  </si>
  <si>
    <t>V</t>
  </si>
  <si>
    <t>GRILLE D'ESTIMATION DU SQUAT</t>
  </si>
  <si>
    <t>h/T</t>
  </si>
  <si>
    <t>m</t>
  </si>
  <si>
    <t>Net under keel clearance (m)</t>
  </si>
  <si>
    <t>Squat (m)</t>
  </si>
  <si>
    <t>Density variation (m)</t>
  </si>
  <si>
    <t>Water level factors</t>
  </si>
  <si>
    <t>Reference level</t>
  </si>
  <si>
    <t>Ship-related factors</t>
  </si>
  <si>
    <t>Static draught (m)</t>
  </si>
  <si>
    <t>Dynamic heel (m)</t>
  </si>
  <si>
    <t>Wave response allowance (m)</t>
  </si>
  <si>
    <t>Bottom-related factors</t>
  </si>
  <si>
    <t>Design Water level (m/.ref. level)</t>
  </si>
  <si>
    <t>Channel dredge level (m/ref. level)</t>
  </si>
  <si>
    <t>Bottom changes between dredging</t>
  </si>
  <si>
    <t>Dredging execution tolerance</t>
  </si>
  <si>
    <t>Length
Overall
(m)</t>
    <phoneticPr fontId="5"/>
  </si>
  <si>
    <t>Length
P.P.
(m)</t>
    <phoneticPr fontId="5"/>
  </si>
  <si>
    <t>Full load displacement (t)</t>
  </si>
  <si>
    <t>Block coefficient CB</t>
  </si>
  <si>
    <t>Heel angle due to wind forces</t>
  </si>
  <si>
    <t>Wind Characteristics:</t>
  </si>
  <si>
    <t>m/s</t>
  </si>
  <si>
    <t>kN</t>
  </si>
  <si>
    <t>kNm</t>
  </si>
  <si>
    <t xml:space="preserve">with </t>
  </si>
  <si>
    <t>Wind lateral force:</t>
  </si>
  <si>
    <t>m2</t>
  </si>
  <si>
    <t>m3</t>
  </si>
  <si>
    <t>Heel angle due to turning</t>
  </si>
  <si>
    <t>deg.</t>
  </si>
  <si>
    <t>knots</t>
  </si>
  <si>
    <t>Cb=</t>
  </si>
  <si>
    <t>C1is in the range of 0.5 to 2 depending on ship condition. C1=1 is a good mean value.</t>
  </si>
  <si>
    <t>Manoeuvrability margin</t>
  </si>
  <si>
    <t xml:space="preserve">must be greater than 0.6 m or </t>
  </si>
  <si>
    <t>Uncertainties on the ship-related factors (m)</t>
  </si>
  <si>
    <t>Bed level uncertainties and bottom changes (m)</t>
  </si>
  <si>
    <t>Wind Lateral Area (m2)</t>
  </si>
  <si>
    <t>Wind Front Area (m2)</t>
  </si>
  <si>
    <t>Waterplane coefficient Cwp</t>
  </si>
  <si>
    <t>Breadth
(m)</t>
  </si>
  <si>
    <t>Breadth B (m)</t>
  </si>
  <si>
    <t>Vk (knots)</t>
  </si>
  <si>
    <t>Number of Propellers 
(1 or 2)</t>
  </si>
  <si>
    <t xml:space="preserve">Number of propellers </t>
  </si>
  <si>
    <t>Ship characteristics (Oil Tanker)</t>
  </si>
  <si>
    <t>Mean Draft T (m)</t>
  </si>
  <si>
    <t>Forward bulb (O or N)</t>
  </si>
  <si>
    <t>Forward bulb 
(O or N)</t>
  </si>
  <si>
    <t>Transom stern (O or N)</t>
  </si>
  <si>
    <t>Transom stern
(O or N)</t>
  </si>
  <si>
    <t>Note: O if existing; N for non existing</t>
  </si>
  <si>
    <t>Forward draft (m)</t>
  </si>
  <si>
    <t>Aft draft (m)</t>
  </si>
  <si>
    <t>Ship characteristics</t>
  </si>
  <si>
    <t>Stern
Draft
(m)</t>
  </si>
  <si>
    <t>Bow 
Draft
(m)</t>
  </si>
  <si>
    <t>Channel characteristics</t>
  </si>
  <si>
    <t>Design water level 
(m/ref. level)</t>
  </si>
  <si>
    <t>Water density (t/m3)</t>
  </si>
  <si>
    <t>Displacement (m3)</t>
  </si>
  <si>
    <t>Design water level (m)</t>
  </si>
  <si>
    <t>Water depth h (m)</t>
  </si>
  <si>
    <t>Channel configurations (from ref. [1])</t>
  </si>
  <si>
    <t>Height of trench hT (m)</t>
  </si>
  <si>
    <t>Height of trench (m)</t>
  </si>
  <si>
    <t>Channel width W (m)</t>
  </si>
  <si>
    <t>Inverse bank slope n (m/m)</t>
  </si>
  <si>
    <t>Water depth h 
(m)</t>
  </si>
  <si>
    <t>Channel width 
(m)</t>
  </si>
  <si>
    <t>Effective width Weff (m)</t>
  </si>
  <si>
    <t>Inverse bank slope n (m:m)</t>
  </si>
  <si>
    <t>If unrestricted channel:</t>
  </si>
  <si>
    <r>
      <t xml:space="preserve">Note: As the squat and the wave response allowance depend on the water depth, it is important to perform channel depth calculations </t>
    </r>
    <r>
      <rPr>
        <b/>
        <sz val="12"/>
        <color rgb="FFFF0000"/>
        <rFont val="Arial"/>
        <family val="2"/>
      </rPr>
      <t>iteratively</t>
    </r>
  </si>
  <si>
    <t>Hooft formula</t>
  </si>
  <si>
    <t>Froude numb.</t>
  </si>
  <si>
    <t>SQUAT Sb</t>
  </si>
  <si>
    <t>Formula gives squat at the bow Sb</t>
  </si>
  <si>
    <t>Römisch formula</t>
  </si>
  <si>
    <t>Formula gives squat at the bow Sb and at the stern Ss</t>
  </si>
  <si>
    <t>Speed limit Vcr</t>
  </si>
  <si>
    <t>SQUAT Ss</t>
  </si>
  <si>
    <t>Ankudinov formula (USCE)</t>
  </si>
  <si>
    <t xml:space="preserve">Formula gives the squat at midship Sm </t>
  </si>
  <si>
    <t>SQUAT Sm</t>
  </si>
  <si>
    <t xml:space="preserve">Formula gives the trim </t>
  </si>
  <si>
    <t>Maximum squat (m)</t>
  </si>
  <si>
    <t>Ship speed over water (knots)</t>
  </si>
  <si>
    <t>Unrestricted channel</t>
  </si>
  <si>
    <t>Restricted channel</t>
  </si>
  <si>
    <t>Canal</t>
  </si>
  <si>
    <t>For an unrestricted channel: height hT = 0; slope n = 0; width W &gt;= Weff
For a restricted channel: height hT &lt; h; slope n &gt;=0
For a canal: height hT = h; slope n&gt;=0</t>
  </si>
  <si>
    <t>Max squat (m)</t>
  </si>
  <si>
    <t>Max squat for the ship speed (m)</t>
  </si>
  <si>
    <t>Min</t>
  </si>
  <si>
    <t>Max</t>
  </si>
  <si>
    <t>Index</t>
  </si>
  <si>
    <t>Max Ship</t>
  </si>
  <si>
    <t>Navigation characteristics</t>
  </si>
  <si>
    <t>Ship speed over water
(knots)</t>
  </si>
  <si>
    <t xml:space="preserve">Metacentric height (m) 
</t>
  </si>
  <si>
    <t>(Another estimation of GM is also possible according to this table)</t>
  </si>
  <si>
    <t>Relative wind angle (°)</t>
  </si>
  <si>
    <t>Wind speed (m/s)</t>
  </si>
  <si>
    <t xml:space="preserve">Rudder angle at turning (°) </t>
  </si>
  <si>
    <t>Index of turning ability 
KR (*)</t>
  </si>
  <si>
    <t xml:space="preserve">(*) See table in tab "Dynamic heel" </t>
  </si>
  <si>
    <t>ZH</t>
  </si>
  <si>
    <t xml:space="preserve">to be defined as a percentage of draught </t>
  </si>
  <si>
    <t xml:space="preserve">to be estimated with a specific calculation program  </t>
  </si>
  <si>
    <t>Channel or Canal</t>
  </si>
  <si>
    <t>SPREAD SHEET TO ESTIMATE WATER DEPTH FOR A CHANNEL OR CANAL</t>
  </si>
  <si>
    <t>This estimation is based on the following publication:</t>
  </si>
  <si>
    <t>a) PIANC, 2014, " Harbour approach channels design guidelines", Report n°121, Maritime Navigation Commission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</si>
</sst>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_-* #,##0\ _€_-;\-* #,##0\ _€_-;_-* &quot;-&quot;\ _€_-;_-@_-"/>
    <numFmt numFmtId="165" formatCode="0.000"/>
    <numFmt numFmtId="166" formatCode="0.0"/>
    <numFmt numFmtId="167" formatCode="0.0000"/>
    <numFmt numFmtId="168" formatCode="0.00000"/>
    <numFmt numFmtId="169" formatCode="0.000000"/>
  </numFmts>
  <fonts count="35" x14ac:knownFonts="1">
    <font>
      <sz val="9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Arial"/>
      <family val="2"/>
    </font>
    <font>
      <b/>
      <sz val="9"/>
      <name val="Arial"/>
      <family val="2"/>
    </font>
    <font>
      <u/>
      <sz val="9"/>
      <color indexed="12"/>
      <name val="Arial"/>
      <family val="2"/>
    </font>
    <font>
      <sz val="9"/>
      <color indexed="10"/>
      <name val="Arial"/>
      <family val="2"/>
    </font>
    <font>
      <sz val="9"/>
      <color indexed="48"/>
      <name val="Arial"/>
      <family val="2"/>
    </font>
    <font>
      <b/>
      <sz val="9"/>
      <color indexed="48"/>
      <name val="Arial"/>
      <family val="2"/>
    </font>
    <font>
      <sz val="9"/>
      <color indexed="48"/>
      <name val="Arial"/>
      <family val="2"/>
    </font>
    <font>
      <sz val="8"/>
      <name val="Arial"/>
      <family val="2"/>
    </font>
    <font>
      <sz val="9"/>
      <name val="Arial"/>
      <family val="2"/>
    </font>
    <font>
      <b/>
      <sz val="9"/>
      <color indexed="10"/>
      <name val="Arial"/>
      <family val="2"/>
    </font>
    <font>
      <sz val="9"/>
      <color indexed="12"/>
      <name val="Arial"/>
      <family val="2"/>
    </font>
    <font>
      <sz val="16"/>
      <color indexed="10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1"/>
      <name val="Times New Roman"/>
      <family val="1"/>
    </font>
    <font>
      <sz val="14"/>
      <name val="Arial"/>
      <family val="2"/>
    </font>
    <font>
      <b/>
      <sz val="14"/>
      <name val="Arial"/>
      <family val="2"/>
    </font>
    <font>
      <sz val="18"/>
      <name val="Arial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  <font>
      <b/>
      <sz val="12"/>
      <color rgb="FFFF0000"/>
      <name val="Arial"/>
      <family val="2"/>
    </font>
    <font>
      <sz val="9"/>
      <color rgb="FFFF0000"/>
      <name val="Arial"/>
      <family val="2"/>
    </font>
    <font>
      <sz val="8"/>
      <color rgb="FFFF0000"/>
      <name val="Arial"/>
      <family val="2"/>
    </font>
    <font>
      <sz val="11"/>
      <color rgb="FFFF0000"/>
      <name val="Arial"/>
      <family val="2"/>
    </font>
    <font>
      <i/>
      <sz val="11"/>
      <color indexed="10"/>
      <name val="Arial"/>
      <family val="2"/>
    </font>
    <font>
      <b/>
      <sz val="11"/>
      <color rgb="FFFF0000"/>
      <name val="Arial"/>
      <family val="2"/>
    </font>
    <font>
      <sz val="12"/>
      <color theme="3" tint="0.39997558519241921"/>
      <name val="Arial"/>
      <family val="2"/>
    </font>
    <font>
      <sz val="9"/>
      <color theme="3" tint="0.39997558519241921"/>
      <name val="Arial"/>
      <family val="2"/>
    </font>
    <font>
      <b/>
      <i/>
      <sz val="11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</fills>
  <borders count="5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0" fontId="2" fillId="0" borderId="0"/>
    <xf numFmtId="164" fontId="2" fillId="0" borderId="0" applyFont="0" applyFill="0" applyBorder="0" applyAlignment="0" applyProtection="0"/>
    <xf numFmtId="0" fontId="1" fillId="0" borderId="0"/>
  </cellStyleXfs>
  <cellXfs count="289">
    <xf numFmtId="0" fontId="0" fillId="0" borderId="0" xfId="0"/>
    <xf numFmtId="0" fontId="0" fillId="0" borderId="0" xfId="0" applyFill="1" applyBorder="1" applyAlignment="1"/>
    <xf numFmtId="0" fontId="0" fillId="0" borderId="0" xfId="0" applyBorder="1"/>
    <xf numFmtId="2" fontId="4" fillId="0" borderId="0" xfId="0" applyNumberFormat="1" applyFont="1" applyFill="1" applyBorder="1" applyAlignment="1">
      <alignment horizontal="center"/>
    </xf>
    <xf numFmtId="0" fontId="0" fillId="2" borderId="2" xfId="0" applyFill="1" applyBorder="1" applyAlignment="1">
      <alignment horizontal="left"/>
    </xf>
    <xf numFmtId="0" fontId="0" fillId="2" borderId="3" xfId="0" applyFill="1" applyBorder="1" applyAlignment="1">
      <alignment horizontal="left"/>
    </xf>
    <xf numFmtId="0" fontId="0" fillId="2" borderId="2" xfId="0" applyFill="1" applyBorder="1" applyAlignment="1"/>
    <xf numFmtId="0" fontId="0" fillId="2" borderId="3" xfId="0" applyFill="1" applyBorder="1" applyAlignment="1"/>
    <xf numFmtId="0" fontId="0" fillId="0" borderId="0" xfId="0" applyFill="1" applyBorder="1" applyAlignment="1" applyProtection="1">
      <alignment horizontal="center"/>
    </xf>
    <xf numFmtId="0" fontId="0" fillId="2" borderId="5" xfId="0" applyFill="1" applyBorder="1" applyAlignment="1">
      <alignment horizontal="left"/>
    </xf>
    <xf numFmtId="165" fontId="6" fillId="0" borderId="6" xfId="0" applyNumberFormat="1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0" fillId="0" borderId="11" xfId="0" applyFill="1" applyBorder="1" applyAlignment="1" applyProtection="1">
      <alignment horizontal="center"/>
    </xf>
    <xf numFmtId="0" fontId="6" fillId="0" borderId="0" xfId="0" applyFont="1" applyFill="1" applyBorder="1" applyAlignment="1">
      <alignment horizontal="center"/>
    </xf>
    <xf numFmtId="0" fontId="4" fillId="0" borderId="0" xfId="0" applyFont="1" applyFill="1" applyBorder="1" applyAlignment="1"/>
    <xf numFmtId="165" fontId="6" fillId="0" borderId="11" xfId="0" applyNumberFormat="1" applyFont="1" applyBorder="1" applyAlignment="1">
      <alignment horizontal="center"/>
    </xf>
    <xf numFmtId="0" fontId="0" fillId="0" borderId="12" xfId="0" applyBorder="1"/>
    <xf numFmtId="0" fontId="7" fillId="0" borderId="8" xfId="0" applyFont="1" applyFill="1" applyBorder="1" applyAlignment="1">
      <alignment horizontal="center"/>
    </xf>
    <xf numFmtId="0" fontId="7" fillId="0" borderId="10" xfId="0" applyFont="1" applyFill="1" applyBorder="1" applyAlignment="1">
      <alignment horizontal="center"/>
    </xf>
    <xf numFmtId="0" fontId="0" fillId="0" borderId="6" xfId="0" applyBorder="1"/>
    <xf numFmtId="0" fontId="7" fillId="0" borderId="13" xfId="0" applyFont="1" applyBorder="1" applyAlignment="1">
      <alignment horizontal="center"/>
    </xf>
    <xf numFmtId="165" fontId="6" fillId="0" borderId="14" xfId="0" applyNumberFormat="1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0" fillId="0" borderId="11" xfId="0" applyBorder="1"/>
    <xf numFmtId="0" fontId="7" fillId="0" borderId="17" xfId="0" applyFont="1" applyBorder="1" applyAlignment="1">
      <alignment horizontal="center"/>
    </xf>
    <xf numFmtId="0" fontId="0" fillId="0" borderId="17" xfId="0" applyBorder="1"/>
    <xf numFmtId="0" fontId="0" fillId="0" borderId="18" xfId="0" applyFill="1" applyBorder="1" applyAlignment="1" applyProtection="1">
      <alignment horizontal="center"/>
    </xf>
    <xf numFmtId="0" fontId="8" fillId="0" borderId="10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0" fontId="7" fillId="0" borderId="0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168" fontId="7" fillId="0" borderId="0" xfId="0" applyNumberFormat="1" applyFont="1" applyFill="1" applyBorder="1" applyAlignment="1">
      <alignment horizontal="center"/>
    </xf>
    <xf numFmtId="2" fontId="9" fillId="0" borderId="0" xfId="0" applyNumberFormat="1" applyFont="1" applyFill="1" applyBorder="1" applyAlignment="1">
      <alignment horizontal="center"/>
    </xf>
    <xf numFmtId="165" fontId="7" fillId="0" borderId="0" xfId="0" applyNumberFormat="1" applyFont="1" applyFill="1" applyBorder="1" applyAlignment="1">
      <alignment horizontal="center"/>
    </xf>
    <xf numFmtId="2" fontId="7" fillId="0" borderId="0" xfId="0" applyNumberFormat="1" applyFont="1" applyFill="1" applyBorder="1" applyAlignment="1">
      <alignment horizontal="center"/>
    </xf>
    <xf numFmtId="167" fontId="7" fillId="0" borderId="0" xfId="0" applyNumberFormat="1" applyFont="1" applyFill="1" applyBorder="1" applyAlignment="1">
      <alignment horizontal="center"/>
    </xf>
    <xf numFmtId="165" fontId="6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167" fontId="0" fillId="0" borderId="0" xfId="0" applyNumberFormat="1" applyFill="1" applyBorder="1" applyAlignment="1">
      <alignment horizontal="center"/>
    </xf>
    <xf numFmtId="0" fontId="6" fillId="0" borderId="0" xfId="0" applyFont="1" applyFill="1" applyBorder="1" applyAlignment="1"/>
    <xf numFmtId="0" fontId="4" fillId="0" borderId="0" xfId="0" applyFont="1" applyFill="1" applyBorder="1" applyAlignment="1">
      <alignment wrapText="1"/>
    </xf>
    <xf numFmtId="0" fontId="0" fillId="2" borderId="21" xfId="0" applyFill="1" applyBorder="1" applyAlignment="1"/>
    <xf numFmtId="0" fontId="0" fillId="0" borderId="0" xfId="0" applyFill="1"/>
    <xf numFmtId="0" fontId="0" fillId="4" borderId="3" xfId="0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6" fillId="4" borderId="19" xfId="0" applyFont="1" applyFill="1" applyBorder="1" applyAlignment="1">
      <alignment horizontal="center"/>
    </xf>
    <xf numFmtId="0" fontId="3" fillId="4" borderId="25" xfId="0" applyFont="1" applyFill="1" applyBorder="1" applyAlignment="1">
      <alignment horizontal="center"/>
    </xf>
    <xf numFmtId="0" fontId="6" fillId="4" borderId="4" xfId="0" applyFont="1" applyFill="1" applyBorder="1" applyAlignment="1">
      <alignment horizontal="center"/>
    </xf>
    <xf numFmtId="0" fontId="0" fillId="5" borderId="19" xfId="0" applyFill="1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4" fillId="0" borderId="24" xfId="0" applyFont="1" applyBorder="1" applyAlignment="1">
      <alignment horizontal="center"/>
    </xf>
    <xf numFmtId="2" fontId="0" fillId="0" borderId="26" xfId="0" applyNumberFormat="1" applyBorder="1" applyAlignment="1">
      <alignment horizontal="center"/>
    </xf>
    <xf numFmtId="2" fontId="0" fillId="0" borderId="24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28" xfId="0" applyBorder="1" applyAlignment="1"/>
    <xf numFmtId="0" fontId="11" fillId="4" borderId="19" xfId="0" applyFont="1" applyFill="1" applyBorder="1" applyAlignment="1">
      <alignment horizontal="center"/>
    </xf>
    <xf numFmtId="0" fontId="0" fillId="8" borderId="24" xfId="0" applyFill="1" applyBorder="1" applyAlignment="1" applyProtection="1">
      <alignment horizontal="center"/>
    </xf>
    <xf numFmtId="2" fontId="0" fillId="8" borderId="27" xfId="0" applyNumberFormat="1" applyFill="1" applyBorder="1" applyAlignment="1" applyProtection="1">
      <alignment horizontal="center"/>
    </xf>
    <xf numFmtId="2" fontId="0" fillId="5" borderId="13" xfId="0" applyNumberFormat="1" applyFill="1" applyBorder="1" applyAlignment="1" applyProtection="1">
      <alignment horizontal="center"/>
    </xf>
    <xf numFmtId="0" fontId="13" fillId="0" borderId="6" xfId="0" applyFont="1" applyFill="1" applyBorder="1" applyAlignment="1" applyProtection="1"/>
    <xf numFmtId="165" fontId="4" fillId="4" borderId="13" xfId="0" applyNumberFormat="1" applyFont="1" applyFill="1" applyBorder="1" applyAlignment="1" applyProtection="1">
      <alignment horizontal="center"/>
    </xf>
    <xf numFmtId="2" fontId="7" fillId="0" borderId="9" xfId="0" applyNumberFormat="1" applyFont="1" applyBorder="1" applyAlignment="1" applyProtection="1">
      <alignment horizontal="center"/>
    </xf>
    <xf numFmtId="167" fontId="7" fillId="0" borderId="9" xfId="0" applyNumberFormat="1" applyFont="1" applyBorder="1" applyAlignment="1" applyProtection="1">
      <alignment horizontal="center"/>
    </xf>
    <xf numFmtId="165" fontId="7" fillId="0" borderId="9" xfId="0" applyNumberFormat="1" applyFont="1" applyBorder="1" applyAlignment="1" applyProtection="1">
      <alignment horizontal="center"/>
    </xf>
    <xf numFmtId="165" fontId="7" fillId="0" borderId="9" xfId="0" applyNumberFormat="1" applyFont="1" applyFill="1" applyBorder="1" applyAlignment="1" applyProtection="1">
      <alignment horizontal="center"/>
    </xf>
    <xf numFmtId="2" fontId="8" fillId="0" borderId="16" xfId="0" applyNumberFormat="1" applyFont="1" applyFill="1" applyBorder="1" applyAlignment="1" applyProtection="1">
      <alignment horizontal="center"/>
    </xf>
    <xf numFmtId="0" fontId="7" fillId="0" borderId="9" xfId="0" applyFont="1" applyBorder="1" applyAlignment="1" applyProtection="1">
      <alignment horizontal="center"/>
    </xf>
    <xf numFmtId="2" fontId="4" fillId="4" borderId="25" xfId="0" applyNumberFormat="1" applyFont="1" applyFill="1" applyBorder="1" applyAlignment="1" applyProtection="1">
      <alignment horizontal="center"/>
    </xf>
    <xf numFmtId="2" fontId="4" fillId="0" borderId="2" xfId="0" applyNumberFormat="1" applyFont="1" applyBorder="1" applyAlignment="1">
      <alignment horizontal="center"/>
    </xf>
    <xf numFmtId="2" fontId="4" fillId="0" borderId="4" xfId="0" applyNumberFormat="1" applyFont="1" applyBorder="1" applyAlignment="1">
      <alignment horizontal="center"/>
    </xf>
    <xf numFmtId="0" fontId="0" fillId="0" borderId="26" xfId="0" applyBorder="1" applyAlignment="1">
      <alignment horizontal="center"/>
    </xf>
    <xf numFmtId="0" fontId="0" fillId="2" borderId="1" xfId="0" applyFill="1" applyBorder="1" applyAlignment="1" applyProtection="1">
      <alignment horizontal="center"/>
    </xf>
    <xf numFmtId="2" fontId="0" fillId="0" borderId="0" xfId="0" applyNumberFormat="1"/>
    <xf numFmtId="0" fontId="19" fillId="0" borderId="1" xfId="0" applyFont="1" applyBorder="1" applyAlignment="1">
      <alignment horizontal="center"/>
    </xf>
    <xf numFmtId="2" fontId="17" fillId="0" borderId="27" xfId="0" applyNumberFormat="1" applyFont="1" applyBorder="1" applyAlignment="1">
      <alignment horizontal="center"/>
    </xf>
    <xf numFmtId="0" fontId="15" fillId="0" borderId="0" xfId="0" applyFont="1"/>
    <xf numFmtId="0" fontId="17" fillId="0" borderId="0" xfId="0" applyFont="1"/>
    <xf numFmtId="0" fontId="15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168" fontId="15" fillId="11" borderId="0" xfId="0" applyNumberFormat="1" applyFont="1" applyFill="1" applyAlignment="1">
      <alignment horizontal="center"/>
    </xf>
    <xf numFmtId="0" fontId="15" fillId="9" borderId="0" xfId="0" applyFont="1" applyFill="1" applyAlignment="1">
      <alignment horizontal="center"/>
    </xf>
    <xf numFmtId="166" fontId="15" fillId="9" borderId="0" xfId="0" applyNumberFormat="1" applyFont="1" applyFill="1" applyAlignment="1">
      <alignment horizontal="center"/>
    </xf>
    <xf numFmtId="0" fontId="21" fillId="0" borderId="0" xfId="0" applyFont="1" applyBorder="1" applyAlignment="1">
      <alignment horizontal="center"/>
    </xf>
    <xf numFmtId="0" fontId="17" fillId="0" borderId="0" xfId="0" applyFont="1" applyBorder="1" applyAlignment="1">
      <alignment horizontal="center"/>
    </xf>
    <xf numFmtId="169" fontId="15" fillId="11" borderId="0" xfId="0" applyNumberFormat="1" applyFont="1" applyFill="1" applyAlignment="1">
      <alignment horizontal="center"/>
    </xf>
    <xf numFmtId="0" fontId="15" fillId="11" borderId="0" xfId="0" applyFont="1" applyFill="1" applyAlignment="1">
      <alignment horizontal="center"/>
    </xf>
    <xf numFmtId="2" fontId="15" fillId="11" borderId="0" xfId="0" applyNumberFormat="1" applyFont="1" applyFill="1" applyAlignment="1">
      <alignment horizontal="center"/>
    </xf>
    <xf numFmtId="166" fontId="15" fillId="11" borderId="0" xfId="0" applyNumberFormat="1" applyFont="1" applyFill="1" applyAlignment="1">
      <alignment horizontal="center"/>
    </xf>
    <xf numFmtId="166" fontId="17" fillId="11" borderId="0" xfId="0" applyNumberFormat="1" applyFont="1" applyFill="1" applyAlignment="1">
      <alignment horizontal="center"/>
    </xf>
    <xf numFmtId="0" fontId="16" fillId="0" borderId="0" xfId="0" applyFont="1"/>
    <xf numFmtId="165" fontId="18" fillId="11" borderId="0" xfId="0" applyNumberFormat="1" applyFont="1" applyFill="1" applyAlignment="1">
      <alignment horizontal="center"/>
    </xf>
    <xf numFmtId="0" fontId="18" fillId="0" borderId="0" xfId="0" applyFont="1"/>
    <xf numFmtId="165" fontId="22" fillId="8" borderId="0" xfId="0" applyNumberFormat="1" applyFont="1" applyFill="1" applyAlignment="1">
      <alignment horizontal="center"/>
    </xf>
    <xf numFmtId="166" fontId="18" fillId="11" borderId="0" xfId="0" applyNumberFormat="1" applyFont="1" applyFill="1" applyAlignment="1">
      <alignment horizontal="center"/>
    </xf>
    <xf numFmtId="0" fontId="3" fillId="0" borderId="0" xfId="0" applyFont="1"/>
    <xf numFmtId="0" fontId="25" fillId="0" borderId="0" xfId="0" applyFont="1" applyFill="1" applyAlignment="1"/>
    <xf numFmtId="0" fontId="25" fillId="0" borderId="0" xfId="0" applyFont="1"/>
    <xf numFmtId="166" fontId="19" fillId="0" borderId="27" xfId="0" applyNumberFormat="1" applyFont="1" applyBorder="1" applyAlignment="1">
      <alignment horizontal="center"/>
    </xf>
    <xf numFmtId="2" fontId="18" fillId="8" borderId="27" xfId="0" applyNumberFormat="1" applyFont="1" applyFill="1" applyBorder="1" applyAlignment="1">
      <alignment horizontal="center"/>
    </xf>
    <xf numFmtId="166" fontId="19" fillId="0" borderId="32" xfId="0" applyNumberFormat="1" applyFont="1" applyFill="1" applyBorder="1" applyAlignment="1">
      <alignment horizontal="center"/>
    </xf>
    <xf numFmtId="0" fontId="20" fillId="9" borderId="9" xfId="1" applyFont="1" applyFill="1" applyBorder="1" applyAlignment="1">
      <alignment horizontal="center"/>
    </xf>
    <xf numFmtId="166" fontId="20" fillId="9" borderId="9" xfId="1" applyNumberFormat="1" applyFont="1" applyFill="1" applyBorder="1" applyAlignment="1">
      <alignment horizontal="center"/>
    </xf>
    <xf numFmtId="0" fontId="19" fillId="0" borderId="26" xfId="0" applyFont="1" applyFill="1" applyBorder="1" applyAlignment="1">
      <alignment horizontal="center"/>
    </xf>
    <xf numFmtId="0" fontId="0" fillId="10" borderId="26" xfId="0" applyFill="1" applyBorder="1" applyAlignment="1" applyProtection="1">
      <alignment horizontal="center"/>
    </xf>
    <xf numFmtId="0" fontId="0" fillId="10" borderId="24" xfId="0" applyFill="1" applyBorder="1" applyAlignment="1" applyProtection="1">
      <alignment horizontal="center"/>
    </xf>
    <xf numFmtId="2" fontId="0" fillId="10" borderId="24" xfId="0" applyNumberFormat="1" applyFill="1" applyBorder="1" applyAlignment="1" applyProtection="1">
      <alignment horizontal="center"/>
    </xf>
    <xf numFmtId="0" fontId="3" fillId="2" borderId="3" xfId="0" applyFont="1" applyFill="1" applyBorder="1" applyAlignment="1">
      <alignment horizontal="left"/>
    </xf>
    <xf numFmtId="0" fontId="3" fillId="2" borderId="4" xfId="0" applyFont="1" applyFill="1" applyBorder="1" applyAlignment="1">
      <alignment horizontal="left"/>
    </xf>
    <xf numFmtId="0" fontId="0" fillId="0" borderId="23" xfId="0" applyBorder="1" applyAlignment="1">
      <alignment horizontal="center"/>
    </xf>
    <xf numFmtId="0" fontId="4" fillId="0" borderId="33" xfId="0" applyFont="1" applyFill="1" applyBorder="1" applyAlignment="1">
      <alignment horizontal="center"/>
    </xf>
    <xf numFmtId="0" fontId="0" fillId="2" borderId="7" xfId="0" applyFill="1" applyBorder="1" applyAlignment="1">
      <alignment wrapText="1"/>
    </xf>
    <xf numFmtId="0" fontId="0" fillId="2" borderId="15" xfId="0" applyFill="1" applyBorder="1" applyAlignment="1">
      <alignment wrapText="1"/>
    </xf>
    <xf numFmtId="0" fontId="0" fillId="2" borderId="15" xfId="0" applyFill="1" applyBorder="1" applyAlignment="1">
      <alignment horizontal="left"/>
    </xf>
    <xf numFmtId="2" fontId="0" fillId="10" borderId="26" xfId="0" applyNumberFormat="1" applyFill="1" applyBorder="1" applyAlignment="1" applyProtection="1">
      <alignment horizontal="center"/>
    </xf>
    <xf numFmtId="0" fontId="0" fillId="2" borderId="19" xfId="0" applyFill="1" applyBorder="1" applyAlignment="1">
      <alignment horizontal="left"/>
    </xf>
    <xf numFmtId="2" fontId="0" fillId="10" borderId="1" xfId="0" applyNumberFormat="1" applyFill="1" applyBorder="1" applyAlignment="1" applyProtection="1">
      <alignment horizontal="center"/>
    </xf>
    <xf numFmtId="0" fontId="20" fillId="12" borderId="0" xfId="1" applyFont="1" applyFill="1" applyBorder="1" applyAlignment="1"/>
    <xf numFmtId="0" fontId="20" fillId="9" borderId="15" xfId="1" applyFont="1" applyFill="1" applyBorder="1" applyAlignment="1">
      <alignment horizontal="center"/>
    </xf>
    <xf numFmtId="166" fontId="20" fillId="9" borderId="16" xfId="1" applyNumberFormat="1" applyFont="1" applyFill="1" applyBorder="1" applyAlignment="1">
      <alignment horizontal="center"/>
    </xf>
    <xf numFmtId="0" fontId="0" fillId="0" borderId="9" xfId="0" applyBorder="1"/>
    <xf numFmtId="0" fontId="0" fillId="0" borderId="15" xfId="0" applyBorder="1"/>
    <xf numFmtId="0" fontId="0" fillId="0" borderId="16" xfId="0" applyBorder="1"/>
    <xf numFmtId="1" fontId="0" fillId="8" borderId="24" xfId="0" applyNumberFormat="1" applyFill="1" applyBorder="1" applyAlignment="1" applyProtection="1">
      <alignment horizontal="center"/>
    </xf>
    <xf numFmtId="2" fontId="20" fillId="13" borderId="6" xfId="1" applyNumberFormat="1" applyFont="1" applyFill="1" applyBorder="1" applyAlignment="1">
      <alignment horizontal="center"/>
    </xf>
    <xf numFmtId="2" fontId="20" fillId="9" borderId="17" xfId="1" applyNumberFormat="1" applyFont="1" applyFill="1" applyBorder="1" applyAlignment="1" applyProtection="1">
      <alignment horizontal="center"/>
      <protection locked="0"/>
    </xf>
    <xf numFmtId="0" fontId="20" fillId="9" borderId="6" xfId="1" applyFont="1" applyFill="1" applyBorder="1" applyAlignment="1" applyProtection="1">
      <alignment horizontal="center"/>
      <protection locked="0"/>
    </xf>
    <xf numFmtId="166" fontId="20" fillId="9" borderId="6" xfId="1" applyNumberFormat="1" applyFont="1" applyFill="1" applyBorder="1" applyAlignment="1" applyProtection="1">
      <alignment horizontal="center"/>
      <protection locked="0"/>
    </xf>
    <xf numFmtId="166" fontId="20" fillId="9" borderId="13" xfId="1" applyNumberFormat="1" applyFont="1" applyFill="1" applyBorder="1" applyAlignment="1" applyProtection="1">
      <alignment horizontal="center"/>
      <protection locked="0"/>
    </xf>
    <xf numFmtId="0" fontId="20" fillId="9" borderId="19" xfId="1" applyFont="1" applyFill="1" applyBorder="1" applyAlignment="1" applyProtection="1">
      <alignment horizontal="center"/>
      <protection locked="0"/>
    </xf>
    <xf numFmtId="1" fontId="20" fillId="9" borderId="6" xfId="1" applyNumberFormat="1" applyFont="1" applyFill="1" applyBorder="1" applyAlignment="1" applyProtection="1">
      <alignment horizontal="center"/>
      <protection locked="0"/>
    </xf>
    <xf numFmtId="0" fontId="3" fillId="2" borderId="3" xfId="0" applyFont="1" applyFill="1" applyBorder="1" applyAlignment="1"/>
    <xf numFmtId="2" fontId="20" fillId="9" borderId="6" xfId="1" applyNumberFormat="1" applyFont="1" applyFill="1" applyBorder="1" applyAlignment="1" applyProtection="1">
      <alignment horizontal="center"/>
      <protection locked="0"/>
    </xf>
    <xf numFmtId="0" fontId="3" fillId="2" borderId="4" xfId="0" applyFont="1" applyFill="1" applyBorder="1" applyAlignment="1"/>
    <xf numFmtId="165" fontId="20" fillId="13" borderId="6" xfId="1" applyNumberFormat="1" applyFont="1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2" fontId="7" fillId="0" borderId="6" xfId="0" applyNumberFormat="1" applyFont="1" applyBorder="1" applyAlignment="1" applyProtection="1">
      <alignment horizontal="center"/>
    </xf>
    <xf numFmtId="167" fontId="7" fillId="0" borderId="6" xfId="0" applyNumberFormat="1" applyFont="1" applyBorder="1" applyAlignment="1" applyProtection="1">
      <alignment horizontal="center"/>
    </xf>
    <xf numFmtId="165" fontId="7" fillId="0" borderId="6" xfId="0" applyNumberFormat="1" applyFont="1" applyBorder="1" applyAlignment="1" applyProtection="1">
      <alignment horizontal="center"/>
    </xf>
    <xf numFmtId="2" fontId="4" fillId="4" borderId="13" xfId="0" applyNumberFormat="1" applyFont="1" applyFill="1" applyBorder="1" applyAlignment="1" applyProtection="1">
      <alignment horizontal="center"/>
    </xf>
    <xf numFmtId="0" fontId="3" fillId="4" borderId="1" xfId="0" applyFont="1" applyFill="1" applyBorder="1" applyAlignment="1">
      <alignment horizontal="center"/>
    </xf>
    <xf numFmtId="2" fontId="4" fillId="4" borderId="1" xfId="0" applyNumberFormat="1" applyFont="1" applyFill="1" applyBorder="1" applyAlignment="1" applyProtection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0" fontId="4" fillId="0" borderId="37" xfId="0" applyFont="1" applyBorder="1" applyAlignment="1">
      <alignment horizontal="center"/>
    </xf>
    <xf numFmtId="2" fontId="0" fillId="0" borderId="37" xfId="0" applyNumberFormat="1" applyBorder="1" applyAlignment="1">
      <alignment horizontal="center"/>
    </xf>
    <xf numFmtId="2" fontId="0" fillId="0" borderId="33" xfId="0" applyNumberFormat="1" applyBorder="1" applyAlignment="1">
      <alignment horizontal="center"/>
    </xf>
    <xf numFmtId="0" fontId="0" fillId="0" borderId="9" xfId="0" applyFill="1" applyBorder="1" applyAlignment="1">
      <alignment horizontal="center"/>
    </xf>
    <xf numFmtId="2" fontId="3" fillId="0" borderId="7" xfId="0" applyNumberFormat="1" applyFont="1" applyBorder="1" applyAlignment="1">
      <alignment horizontal="center"/>
    </xf>
    <xf numFmtId="0" fontId="3" fillId="0" borderId="15" xfId="0" applyFont="1" applyFill="1" applyBorder="1" applyAlignment="1">
      <alignment horizontal="center"/>
    </xf>
    <xf numFmtId="0" fontId="3" fillId="0" borderId="19" xfId="0" applyFont="1" applyFill="1" applyBorder="1" applyAlignment="1">
      <alignment horizontal="center"/>
    </xf>
    <xf numFmtId="2" fontId="0" fillId="0" borderId="13" xfId="0" applyNumberFormat="1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2" fontId="0" fillId="0" borderId="16" xfId="0" applyNumberFormat="1" applyFill="1" applyBorder="1" applyAlignment="1">
      <alignment horizontal="center"/>
    </xf>
    <xf numFmtId="2" fontId="25" fillId="0" borderId="0" xfId="0" applyNumberFormat="1" applyFont="1" applyFill="1" applyBorder="1" applyAlignment="1"/>
    <xf numFmtId="2" fontId="25" fillId="0" borderId="37" xfId="0" applyNumberFormat="1" applyFont="1" applyFill="1" applyBorder="1" applyAlignment="1">
      <alignment horizontal="center"/>
    </xf>
    <xf numFmtId="1" fontId="17" fillId="9" borderId="9" xfId="0" applyNumberFormat="1" applyFont="1" applyFill="1" applyBorder="1" applyAlignment="1">
      <alignment horizontal="center"/>
    </xf>
    <xf numFmtId="0" fontId="17" fillId="0" borderId="9" xfId="0" applyFont="1" applyBorder="1" applyAlignment="1">
      <alignment horizontal="center"/>
    </xf>
    <xf numFmtId="0" fontId="17" fillId="9" borderId="9" xfId="0" applyFont="1" applyFill="1" applyBorder="1" applyAlignment="1">
      <alignment horizontal="center"/>
    </xf>
    <xf numFmtId="2" fontId="17" fillId="9" borderId="9" xfId="0" applyNumberFormat="1" applyFont="1" applyFill="1" applyBorder="1" applyAlignment="1">
      <alignment horizontal="center"/>
    </xf>
    <xf numFmtId="165" fontId="15" fillId="11" borderId="0" xfId="0" applyNumberFormat="1" applyFont="1" applyFill="1" applyAlignment="1">
      <alignment horizontal="center"/>
    </xf>
    <xf numFmtId="2" fontId="15" fillId="9" borderId="0" xfId="0" applyNumberFormat="1" applyFont="1" applyFill="1" applyAlignment="1">
      <alignment horizontal="center"/>
    </xf>
    <xf numFmtId="0" fontId="4" fillId="0" borderId="0" xfId="0" applyFont="1"/>
    <xf numFmtId="2" fontId="20" fillId="9" borderId="13" xfId="1" applyNumberFormat="1" applyFont="1" applyFill="1" applyBorder="1" applyAlignment="1" applyProtection="1">
      <alignment horizontal="center"/>
      <protection locked="0"/>
    </xf>
    <xf numFmtId="0" fontId="28" fillId="0" borderId="0" xfId="0" applyFont="1" applyBorder="1" applyAlignment="1">
      <alignment wrapText="1"/>
    </xf>
    <xf numFmtId="0" fontId="27" fillId="0" borderId="21" xfId="0" applyFont="1" applyBorder="1" applyAlignment="1"/>
    <xf numFmtId="0" fontId="27" fillId="0" borderId="0" xfId="0" applyFont="1" applyBorder="1" applyAlignment="1"/>
    <xf numFmtId="2" fontId="19" fillId="0" borderId="24" xfId="0" applyNumberFormat="1" applyFont="1" applyBorder="1" applyAlignment="1" applyProtection="1">
      <alignment horizontal="center"/>
      <protection locked="0"/>
    </xf>
    <xf numFmtId="2" fontId="32" fillId="0" borderId="24" xfId="0" applyNumberFormat="1" applyFont="1" applyBorder="1" applyAlignment="1">
      <alignment horizontal="center"/>
    </xf>
    <xf numFmtId="0" fontId="32" fillId="0" borderId="1" xfId="0" applyFont="1" applyBorder="1" applyAlignment="1">
      <alignment horizontal="center"/>
    </xf>
    <xf numFmtId="166" fontId="32" fillId="0" borderId="26" xfId="0" applyNumberFormat="1" applyFont="1" applyBorder="1" applyAlignment="1">
      <alignment horizontal="center"/>
    </xf>
    <xf numFmtId="0" fontId="19" fillId="0" borderId="24" xfId="0" applyFont="1" applyBorder="1" applyAlignment="1" applyProtection="1">
      <alignment horizontal="center"/>
      <protection locked="0"/>
    </xf>
    <xf numFmtId="0" fontId="19" fillId="0" borderId="37" xfId="0" applyFont="1" applyBorder="1" applyAlignment="1" applyProtection="1">
      <alignment horizontal="center"/>
      <protection locked="0"/>
    </xf>
    <xf numFmtId="166" fontId="19" fillId="0" borderId="26" xfId="0" applyNumberFormat="1" applyFont="1" applyFill="1" applyBorder="1" applyAlignment="1" applyProtection="1">
      <alignment horizontal="center"/>
      <protection locked="0"/>
    </xf>
    <xf numFmtId="2" fontId="33" fillId="0" borderId="0" xfId="0" applyNumberFormat="1" applyFont="1" applyAlignment="1">
      <alignment horizontal="left"/>
    </xf>
    <xf numFmtId="0" fontId="33" fillId="0" borderId="0" xfId="0" applyFont="1"/>
    <xf numFmtId="0" fontId="34" fillId="0" borderId="0" xfId="3" applyFont="1"/>
    <xf numFmtId="0" fontId="1" fillId="0" borderId="0" xfId="3"/>
    <xf numFmtId="0" fontId="24" fillId="0" borderId="0" xfId="3" quotePrefix="1" applyFont="1"/>
    <xf numFmtId="0" fontId="20" fillId="8" borderId="23" xfId="1" applyFont="1" applyFill="1" applyBorder="1" applyAlignment="1">
      <alignment horizontal="center"/>
    </xf>
    <xf numFmtId="0" fontId="20" fillId="8" borderId="31" xfId="1" applyFont="1" applyFill="1" applyBorder="1" applyAlignment="1">
      <alignment horizontal="center"/>
    </xf>
    <xf numFmtId="0" fontId="20" fillId="8" borderId="28" xfId="1" applyFont="1" applyFill="1" applyBorder="1" applyAlignment="1">
      <alignment horizontal="center"/>
    </xf>
    <xf numFmtId="0" fontId="31" fillId="0" borderId="0" xfId="0" applyFont="1" applyAlignment="1">
      <alignment horizontal="center"/>
    </xf>
    <xf numFmtId="0" fontId="20" fillId="11" borderId="48" xfId="1" applyFont="1" applyFill="1" applyBorder="1" applyAlignment="1">
      <alignment horizontal="center" vertical="center" wrapText="1"/>
    </xf>
    <xf numFmtId="0" fontId="20" fillId="11" borderId="51" xfId="1" applyFont="1" applyFill="1" applyBorder="1" applyAlignment="1">
      <alignment horizontal="center" vertical="center" wrapText="1"/>
    </xf>
    <xf numFmtId="0" fontId="20" fillId="11" borderId="42" xfId="1" applyFont="1" applyFill="1" applyBorder="1" applyAlignment="1">
      <alignment horizontal="center" vertical="center" wrapText="1"/>
    </xf>
    <xf numFmtId="0" fontId="20" fillId="11" borderId="49" xfId="1" applyFont="1" applyFill="1" applyBorder="1" applyAlignment="1">
      <alignment horizontal="center" vertical="center" wrapText="1"/>
    </xf>
    <xf numFmtId="0" fontId="20" fillId="11" borderId="46" xfId="1" applyFont="1" applyFill="1" applyBorder="1" applyAlignment="1">
      <alignment horizontal="center" vertical="center" wrapText="1"/>
    </xf>
    <xf numFmtId="0" fontId="20" fillId="11" borderId="45" xfId="1" applyFont="1" applyFill="1" applyBorder="1" applyAlignment="1">
      <alignment horizontal="center" vertical="center" wrapText="1"/>
    </xf>
    <xf numFmtId="164" fontId="20" fillId="11" borderId="50" xfId="2" applyFont="1" applyFill="1" applyBorder="1" applyAlignment="1">
      <alignment horizontal="center" vertical="center" wrapText="1"/>
    </xf>
    <xf numFmtId="164" fontId="20" fillId="11" borderId="52" xfId="2" applyFont="1" applyFill="1" applyBorder="1" applyAlignment="1">
      <alignment horizontal="center" vertical="center" wrapText="1"/>
    </xf>
    <xf numFmtId="164" fontId="20" fillId="11" borderId="53" xfId="2" applyFont="1" applyFill="1" applyBorder="1" applyAlignment="1">
      <alignment horizontal="center" vertical="center" wrapText="1"/>
    </xf>
    <xf numFmtId="0" fontId="29" fillId="0" borderId="0" xfId="0" applyFont="1" applyAlignment="1">
      <alignment horizontal="center"/>
    </xf>
    <xf numFmtId="0" fontId="20" fillId="8" borderId="22" xfId="1" applyFont="1" applyFill="1" applyBorder="1" applyAlignment="1">
      <alignment horizontal="center"/>
    </xf>
    <xf numFmtId="0" fontId="20" fillId="8" borderId="36" xfId="1" applyFont="1" applyFill="1" applyBorder="1" applyAlignment="1">
      <alignment horizontal="center"/>
    </xf>
    <xf numFmtId="0" fontId="20" fillId="8" borderId="34" xfId="1" applyFont="1" applyFill="1" applyBorder="1" applyAlignment="1">
      <alignment horizontal="center"/>
    </xf>
    <xf numFmtId="0" fontId="30" fillId="0" borderId="0" xfId="0" applyFont="1" applyBorder="1" applyAlignment="1">
      <alignment horizontal="center" wrapText="1"/>
    </xf>
    <xf numFmtId="0" fontId="20" fillId="11" borderId="8" xfId="1" applyFont="1" applyFill="1" applyBorder="1" applyAlignment="1">
      <alignment horizontal="center" vertical="center" wrapText="1"/>
    </xf>
    <xf numFmtId="0" fontId="20" fillId="11" borderId="9" xfId="1" applyFont="1" applyFill="1" applyBorder="1" applyAlignment="1">
      <alignment horizontal="center" vertical="center" wrapText="1"/>
    </xf>
    <xf numFmtId="0" fontId="20" fillId="11" borderId="10" xfId="1" applyFont="1" applyFill="1" applyBorder="1" applyAlignment="1">
      <alignment horizontal="center" vertical="center" wrapText="1"/>
    </xf>
    <xf numFmtId="0" fontId="20" fillId="11" borderId="16" xfId="1" applyFont="1" applyFill="1" applyBorder="1" applyAlignment="1">
      <alignment horizontal="center" vertical="center" wrapText="1"/>
    </xf>
    <xf numFmtId="0" fontId="20" fillId="11" borderId="7" xfId="1" applyFont="1" applyFill="1" applyBorder="1" applyAlignment="1">
      <alignment horizontal="center" vertical="center" wrapText="1"/>
    </xf>
    <xf numFmtId="0" fontId="20" fillId="11" borderId="15" xfId="1" applyFont="1" applyFill="1" applyBorder="1" applyAlignment="1">
      <alignment horizontal="center" vertical="center" wrapText="1"/>
    </xf>
    <xf numFmtId="164" fontId="20" fillId="11" borderId="49" xfId="2" applyFont="1" applyFill="1" applyBorder="1" applyAlignment="1">
      <alignment horizontal="center" vertical="center" wrapText="1"/>
    </xf>
    <xf numFmtId="164" fontId="20" fillId="11" borderId="46" xfId="2" applyFont="1" applyFill="1" applyBorder="1" applyAlignment="1">
      <alignment horizontal="center" vertical="center" wrapText="1"/>
    </xf>
    <xf numFmtId="164" fontId="20" fillId="11" borderId="45" xfId="2" applyFont="1" applyFill="1" applyBorder="1" applyAlignment="1">
      <alignment horizontal="center" vertical="center" wrapText="1"/>
    </xf>
    <xf numFmtId="0" fontId="20" fillId="11" borderId="54" xfId="1" applyFont="1" applyFill="1" applyBorder="1" applyAlignment="1">
      <alignment horizontal="center" vertical="center" wrapText="1"/>
    </xf>
    <xf numFmtId="0" fontId="20" fillId="11" borderId="55" xfId="1" applyFont="1" applyFill="1" applyBorder="1" applyAlignment="1">
      <alignment horizontal="center" vertical="center" wrapText="1"/>
    </xf>
    <xf numFmtId="0" fontId="20" fillId="11" borderId="43" xfId="1" applyFont="1" applyFill="1" applyBorder="1" applyAlignment="1">
      <alignment horizontal="center" vertical="center" wrapText="1"/>
    </xf>
    <xf numFmtId="0" fontId="18" fillId="8" borderId="23" xfId="0" applyFont="1" applyFill="1" applyBorder="1" applyAlignment="1">
      <alignment horizontal="center"/>
    </xf>
    <xf numFmtId="0" fontId="18" fillId="8" borderId="31" xfId="0" applyFont="1" applyFill="1" applyBorder="1" applyAlignment="1">
      <alignment horizontal="center"/>
    </xf>
    <xf numFmtId="0" fontId="18" fillId="8" borderId="28" xfId="0" applyFont="1" applyFill="1" applyBorder="1" applyAlignment="1">
      <alignment horizontal="center"/>
    </xf>
    <xf numFmtId="0" fontId="33" fillId="0" borderId="21" xfId="0" applyFont="1" applyBorder="1" applyAlignment="1">
      <alignment horizontal="right"/>
    </xf>
    <xf numFmtId="0" fontId="33" fillId="0" borderId="0" xfId="0" applyFont="1" applyBorder="1" applyAlignment="1">
      <alignment horizontal="right"/>
    </xf>
    <xf numFmtId="0" fontId="19" fillId="0" borderId="3" xfId="0" applyFont="1" applyBorder="1" applyAlignment="1">
      <alignment horizontal="center"/>
    </xf>
    <xf numFmtId="0" fontId="19" fillId="0" borderId="20" xfId="0" applyFont="1" applyBorder="1" applyAlignment="1">
      <alignment horizontal="center"/>
    </xf>
    <xf numFmtId="0" fontId="18" fillId="0" borderId="23" xfId="0" applyFont="1" applyBorder="1" applyAlignment="1">
      <alignment horizontal="center"/>
    </xf>
    <xf numFmtId="0" fontId="18" fillId="0" borderId="28" xfId="0" applyFont="1" applyBorder="1" applyAlignment="1">
      <alignment horizontal="center"/>
    </xf>
    <xf numFmtId="0" fontId="19" fillId="0" borderId="47" xfId="0" applyFont="1" applyBorder="1" applyAlignment="1">
      <alignment horizontal="center"/>
    </xf>
    <xf numFmtId="0" fontId="19" fillId="0" borderId="18" xfId="0" applyFont="1" applyBorder="1" applyAlignment="1">
      <alignment horizontal="center"/>
    </xf>
    <xf numFmtId="0" fontId="19" fillId="0" borderId="42" xfId="0" applyFont="1" applyBorder="1" applyAlignment="1">
      <alignment horizontal="center"/>
    </xf>
    <xf numFmtId="0" fontId="19" fillId="0" borderId="43" xfId="0" applyFont="1" applyBorder="1" applyAlignment="1">
      <alignment horizontal="center"/>
    </xf>
    <xf numFmtId="0" fontId="19" fillId="0" borderId="45" xfId="0" applyFont="1" applyBorder="1" applyAlignment="1">
      <alignment horizontal="center"/>
    </xf>
    <xf numFmtId="0" fontId="18" fillId="10" borderId="40" xfId="0" applyFont="1" applyFill="1" applyBorder="1" applyAlignment="1">
      <alignment horizontal="center"/>
    </xf>
    <xf numFmtId="0" fontId="18" fillId="10" borderId="39" xfId="0" applyFont="1" applyFill="1" applyBorder="1" applyAlignment="1">
      <alignment horizontal="center"/>
    </xf>
    <xf numFmtId="0" fontId="18" fillId="10" borderId="38" xfId="0" applyFont="1" applyFill="1" applyBorder="1" applyAlignment="1">
      <alignment horizontal="center"/>
    </xf>
    <xf numFmtId="0" fontId="19" fillId="0" borderId="19" xfId="0" applyFont="1" applyBorder="1" applyAlignment="1">
      <alignment horizontal="center"/>
    </xf>
    <xf numFmtId="0" fontId="19" fillId="0" borderId="6" xfId="0" applyFont="1" applyBorder="1" applyAlignment="1">
      <alignment horizontal="center"/>
    </xf>
    <xf numFmtId="0" fontId="18" fillId="11" borderId="40" xfId="0" applyFont="1" applyFill="1" applyBorder="1" applyAlignment="1">
      <alignment horizontal="center"/>
    </xf>
    <xf numFmtId="0" fontId="18" fillId="11" borderId="39" xfId="0" applyFont="1" applyFill="1" applyBorder="1" applyAlignment="1">
      <alignment horizontal="center"/>
    </xf>
    <xf numFmtId="0" fontId="18" fillId="11" borderId="38" xfId="0" applyFont="1" applyFill="1" applyBorder="1" applyAlignment="1">
      <alignment horizontal="center"/>
    </xf>
    <xf numFmtId="0" fontId="16" fillId="0" borderId="19" xfId="0" applyFont="1" applyBorder="1" applyAlignment="1">
      <alignment horizontal="center"/>
    </xf>
    <xf numFmtId="0" fontId="16" fillId="0" borderId="17" xfId="0" applyFont="1" applyBorder="1" applyAlignment="1">
      <alignment horizontal="center"/>
    </xf>
    <xf numFmtId="0" fontId="18" fillId="8" borderId="40" xfId="0" applyFont="1" applyFill="1" applyBorder="1" applyAlignment="1">
      <alignment horizontal="center"/>
    </xf>
    <xf numFmtId="0" fontId="18" fillId="8" borderId="41" xfId="0" applyFont="1" applyFill="1" applyBorder="1" applyAlignment="1">
      <alignment horizontal="center"/>
    </xf>
    <xf numFmtId="0" fontId="19" fillId="0" borderId="15" xfId="0" applyFont="1" applyBorder="1" applyAlignment="1">
      <alignment horizontal="center"/>
    </xf>
    <xf numFmtId="0" fontId="19" fillId="0" borderId="44" xfId="0" applyFont="1" applyBorder="1" applyAlignment="1">
      <alignment horizontal="center"/>
    </xf>
    <xf numFmtId="0" fontId="19" fillId="0" borderId="17" xfId="0" applyFont="1" applyBorder="1" applyAlignment="1">
      <alignment horizontal="center"/>
    </xf>
    <xf numFmtId="0" fontId="23" fillId="8" borderId="23" xfId="0" applyFont="1" applyFill="1" applyBorder="1" applyAlignment="1">
      <alignment horizontal="center"/>
    </xf>
    <xf numFmtId="0" fontId="23" fillId="8" borderId="36" xfId="0" applyFont="1" applyFill="1" applyBorder="1" applyAlignment="1">
      <alignment horizontal="center"/>
    </xf>
    <xf numFmtId="0" fontId="23" fillId="8" borderId="31" xfId="0" applyFont="1" applyFill="1" applyBorder="1" applyAlignment="1">
      <alignment horizontal="center"/>
    </xf>
    <xf numFmtId="0" fontId="23" fillId="8" borderId="28" xfId="0" applyFont="1" applyFill="1" applyBorder="1" applyAlignment="1">
      <alignment horizontal="center"/>
    </xf>
    <xf numFmtId="0" fontId="3" fillId="0" borderId="0" xfId="0" applyFont="1" applyAlignment="1">
      <alignment horizontal="left" wrapText="1"/>
    </xf>
    <xf numFmtId="0" fontId="17" fillId="0" borderId="0" xfId="0" applyFont="1" applyAlignment="1">
      <alignment horizontal="center" wrapText="1"/>
    </xf>
    <xf numFmtId="0" fontId="4" fillId="3" borderId="25" xfId="0" applyFont="1" applyFill="1" applyBorder="1" applyAlignment="1">
      <alignment horizontal="center" wrapText="1"/>
    </xf>
    <xf numFmtId="0" fontId="4" fillId="3" borderId="32" xfId="0" applyFont="1" applyFill="1" applyBorder="1" applyAlignment="1">
      <alignment horizontal="center" wrapText="1"/>
    </xf>
    <xf numFmtId="0" fontId="4" fillId="7" borderId="22" xfId="0" applyFont="1" applyFill="1" applyBorder="1" applyAlignment="1">
      <alignment horizontal="center"/>
    </xf>
    <xf numFmtId="0" fontId="4" fillId="7" borderId="34" xfId="0" applyFont="1" applyFill="1" applyBorder="1" applyAlignment="1">
      <alignment horizontal="center"/>
    </xf>
    <xf numFmtId="0" fontId="4" fillId="7" borderId="21" xfId="0" applyFont="1" applyFill="1" applyBorder="1" applyAlignment="1">
      <alignment horizontal="center"/>
    </xf>
    <xf numFmtId="0" fontId="4" fillId="7" borderId="35" xfId="0" applyFont="1" applyFill="1" applyBorder="1" applyAlignment="1">
      <alignment horizontal="center"/>
    </xf>
    <xf numFmtId="0" fontId="4" fillId="3" borderId="22" xfId="0" applyFont="1" applyFill="1" applyBorder="1" applyAlignment="1">
      <alignment horizontal="center" wrapText="1"/>
    </xf>
    <xf numFmtId="0" fontId="4" fillId="3" borderId="36" xfId="0" applyFont="1" applyFill="1" applyBorder="1" applyAlignment="1">
      <alignment horizontal="center" wrapText="1"/>
    </xf>
    <xf numFmtId="0" fontId="4" fillId="3" borderId="34" xfId="0" applyFont="1" applyFill="1" applyBorder="1" applyAlignment="1">
      <alignment horizontal="center" wrapText="1"/>
    </xf>
    <xf numFmtId="0" fontId="4" fillId="3" borderId="21" xfId="0" applyFont="1" applyFill="1" applyBorder="1" applyAlignment="1">
      <alignment horizontal="center" wrapText="1"/>
    </xf>
    <xf numFmtId="0" fontId="4" fillId="3" borderId="0" xfId="0" applyFont="1" applyFill="1" applyBorder="1" applyAlignment="1">
      <alignment horizontal="center" wrapText="1"/>
    </xf>
    <xf numFmtId="0" fontId="4" fillId="3" borderId="35" xfId="0" applyFont="1" applyFill="1" applyBorder="1" applyAlignment="1">
      <alignment horizontal="center" wrapText="1"/>
    </xf>
    <xf numFmtId="2" fontId="0" fillId="0" borderId="8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2" fontId="0" fillId="0" borderId="16" xfId="0" applyNumberFormat="1" applyBorder="1" applyAlignment="1">
      <alignment horizontal="center"/>
    </xf>
    <xf numFmtId="0" fontId="12" fillId="0" borderId="0" xfId="0" applyFont="1" applyAlignment="1">
      <alignment horizontal="center"/>
    </xf>
    <xf numFmtId="0" fontId="4" fillId="3" borderId="23" xfId="0" applyFont="1" applyFill="1" applyBorder="1" applyAlignment="1">
      <alignment horizontal="center"/>
    </xf>
    <xf numFmtId="0" fontId="4" fillId="3" borderId="31" xfId="0" applyFont="1" applyFill="1" applyBorder="1" applyAlignment="1">
      <alignment horizontal="center"/>
    </xf>
    <xf numFmtId="0" fontId="4" fillId="3" borderId="28" xfId="0" applyFont="1" applyFill="1" applyBorder="1" applyAlignment="1">
      <alignment horizontal="center"/>
    </xf>
    <xf numFmtId="0" fontId="4" fillId="3" borderId="25" xfId="0" applyFont="1" applyFill="1" applyBorder="1" applyAlignment="1">
      <alignment horizontal="center"/>
    </xf>
    <xf numFmtId="0" fontId="4" fillId="3" borderId="32" xfId="0" applyFont="1" applyFill="1" applyBorder="1" applyAlignment="1">
      <alignment horizontal="center"/>
    </xf>
    <xf numFmtId="0" fontId="4" fillId="3" borderId="22" xfId="0" applyFont="1" applyFill="1" applyBorder="1" applyAlignment="1">
      <alignment horizontal="center"/>
    </xf>
    <xf numFmtId="0" fontId="4" fillId="3" borderId="33" xfId="0" applyFont="1" applyFill="1" applyBorder="1" applyAlignment="1">
      <alignment horizontal="center"/>
    </xf>
    <xf numFmtId="0" fontId="4" fillId="3" borderId="37" xfId="0" applyFont="1" applyFill="1" applyBorder="1" applyAlignment="1">
      <alignment horizontal="center" wrapText="1"/>
    </xf>
    <xf numFmtId="0" fontId="4" fillId="0" borderId="23" xfId="0" applyFont="1" applyFill="1" applyBorder="1" applyAlignment="1">
      <alignment horizontal="center"/>
    </xf>
    <xf numFmtId="0" fontId="4" fillId="0" borderId="31" xfId="0" applyFont="1" applyFill="1" applyBorder="1" applyAlignment="1">
      <alignment horizontal="center"/>
    </xf>
    <xf numFmtId="0" fontId="4" fillId="0" borderId="28" xfId="0" applyFont="1" applyFill="1" applyBorder="1" applyAlignment="1">
      <alignment horizontal="center"/>
    </xf>
    <xf numFmtId="0" fontId="3" fillId="0" borderId="23" xfId="0" applyFont="1" applyFill="1" applyBorder="1" applyAlignment="1">
      <alignment horizontal="center"/>
    </xf>
    <xf numFmtId="0" fontId="0" fillId="0" borderId="31" xfId="0" applyFill="1" applyBorder="1" applyAlignment="1">
      <alignment horizontal="center"/>
    </xf>
    <xf numFmtId="0" fontId="0" fillId="0" borderId="28" xfId="0" applyFill="1" applyBorder="1" applyAlignment="1">
      <alignment horizontal="center"/>
    </xf>
    <xf numFmtId="0" fontId="11" fillId="0" borderId="31" xfId="0" applyFont="1" applyFill="1" applyBorder="1" applyAlignment="1">
      <alignment horizontal="center"/>
    </xf>
    <xf numFmtId="0" fontId="11" fillId="0" borderId="28" xfId="0" applyFont="1" applyFill="1" applyBorder="1" applyAlignment="1">
      <alignment horizontal="center"/>
    </xf>
    <xf numFmtId="0" fontId="14" fillId="0" borderId="23" xfId="0" applyFont="1" applyBorder="1" applyAlignment="1">
      <alignment horizontal="center"/>
    </xf>
    <xf numFmtId="0" fontId="14" fillId="0" borderId="31" xfId="0" applyFont="1" applyBorder="1" applyAlignment="1">
      <alignment horizontal="center"/>
    </xf>
    <xf numFmtId="0" fontId="14" fillId="0" borderId="28" xfId="0" applyFont="1" applyBorder="1" applyAlignment="1">
      <alignment horizontal="center"/>
    </xf>
    <xf numFmtId="0" fontId="0" fillId="12" borderId="0" xfId="0" applyFill="1" applyAlignment="1">
      <alignment horizontal="center"/>
    </xf>
    <xf numFmtId="0" fontId="0" fillId="0" borderId="23" xfId="0" applyBorder="1" applyAlignment="1">
      <alignment horizontal="center"/>
    </xf>
    <xf numFmtId="0" fontId="0" fillId="0" borderId="28" xfId="0" applyBorder="1" applyAlignment="1">
      <alignment horizontal="center"/>
    </xf>
    <xf numFmtId="0" fontId="3" fillId="6" borderId="2" xfId="0" applyFont="1" applyFill="1" applyBorder="1" applyAlignment="1">
      <alignment horizontal="center"/>
    </xf>
    <xf numFmtId="0" fontId="0" fillId="6" borderId="29" xfId="0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0" fillId="0" borderId="30" xfId="0" applyFill="1" applyBorder="1" applyAlignment="1">
      <alignment horizontal="center"/>
    </xf>
  </cellXfs>
  <cellStyles count="4">
    <cellStyle name="Milliers [0] 2" xfId="2"/>
    <cellStyle name="Normal" xfId="0" builtinId="0"/>
    <cellStyle name="Normal 2" xfId="1"/>
    <cellStyle name="Normal 3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FR" sz="1800"/>
              <a:t>Maximum</a:t>
            </a:r>
            <a:r>
              <a:rPr lang="fr-FR" sz="1800" baseline="0"/>
              <a:t> squat </a:t>
            </a:r>
            <a:r>
              <a:rPr lang="fr-FR" sz="1800"/>
              <a:t>(m)</a:t>
            </a:r>
          </a:p>
        </c:rich>
      </c:tx>
      <c:layout>
        <c:manualLayout>
          <c:xMode val="edge"/>
          <c:yMode val="edge"/>
          <c:x val="0.405575918054491"/>
          <c:y val="5.623534136110312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2900158478605384E-2"/>
          <c:y val="0.15799270844772709"/>
          <c:w val="0.87194138173164037"/>
          <c:h val="0.70709269198000835"/>
        </c:manualLayout>
      </c:layout>
      <c:scatterChart>
        <c:scatterStyle val="smoothMarker"/>
        <c:varyColors val="0"/>
        <c:ser>
          <c:idx val="3"/>
          <c:order val="0"/>
          <c:tx>
            <c:v>Squat max</c:v>
          </c:tx>
          <c:spPr>
            <a:ln w="28575">
              <a:solidFill>
                <a:schemeClr val="accent2">
                  <a:lumMod val="75000"/>
                </a:schemeClr>
              </a:solidFill>
              <a:prstDash val="solid"/>
            </a:ln>
          </c:spPr>
          <c:marker>
            <c:symbol val="none"/>
          </c:marker>
          <c:xVal>
            <c:numRef>
              <c:f>'Squat results'!$B$6:$B$14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</c:numCache>
            </c:numRef>
          </c:xVal>
          <c:yVal>
            <c:numRef>
              <c:f>'Squat results'!$F$6:$F$14</c:f>
              <c:numCache>
                <c:formatCode>0.00</c:formatCode>
                <c:ptCount val="9"/>
                <c:pt idx="0">
                  <c:v>8.6264230677832621E-2</c:v>
                </c:pt>
                <c:pt idx="1">
                  <c:v>0.2895221365359581</c:v>
                </c:pt>
                <c:pt idx="2">
                  <c:v>0.58689483997910141</c:v>
                </c:pt>
                <c:pt idx="3">
                  <c:v>0.97137433808468221</c:v>
                </c:pt>
                <c:pt idx="4">
                  <c:v>1.4419718085232709</c:v>
                </c:pt>
                <c:pt idx="5">
                  <c:v>2.0353750862939743</c:v>
                </c:pt>
                <c:pt idx="6">
                  <c:v>3.5015874332085923</c:v>
                </c:pt>
                <c:pt idx="7">
                  <c:v>6.5783930939322808</c:v>
                </c:pt>
                <c:pt idx="8">
                  <c:v>6.5783930939322808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2E1-4F38-B959-114EED9A013B}"/>
            </c:ext>
          </c:extLst>
        </c:ser>
        <c:ser>
          <c:idx val="8"/>
          <c:order val="1"/>
          <c:tx>
            <c:v>Speed limit</c:v>
          </c:tx>
          <c:spPr>
            <a:ln w="34925">
              <a:solidFill>
                <a:srgbClr val="FF0000"/>
              </a:solidFill>
              <a:prstDash val="sysDash"/>
            </a:ln>
          </c:spPr>
          <c:marker>
            <c:symbol val="dash"/>
            <c:size val="9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'Squat results'!$B$55:$B$56</c:f>
              <c:numCache>
                <c:formatCode>0.00</c:formatCode>
                <c:ptCount val="2"/>
                <c:pt idx="0">
                  <c:v>15.798834362420404</c:v>
                </c:pt>
                <c:pt idx="1">
                  <c:v>15.798834362420404</c:v>
                </c:pt>
              </c:numCache>
            </c:numRef>
          </c:xVal>
          <c:yVal>
            <c:numRef>
              <c:f>'Squat results'!$C$55:$C$56</c:f>
              <c:numCache>
                <c:formatCode>0.00</c:formatCode>
                <c:ptCount val="2"/>
                <c:pt idx="0" formatCode="General">
                  <c:v>0</c:v>
                </c:pt>
                <c:pt idx="1">
                  <c:v>6.5783930939322808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2E1-4F38-B959-114EED9A013B}"/>
            </c:ext>
          </c:extLst>
        </c:ser>
        <c:ser>
          <c:idx val="0"/>
          <c:order val="2"/>
          <c:tx>
            <c:v>Ship speed</c:v>
          </c:tx>
          <c:spPr>
            <a:ln>
              <a:prstDash val="sysDash"/>
            </a:ln>
          </c:spPr>
          <c:marker>
            <c:symbol val="none"/>
          </c:marker>
          <c:xVal>
            <c:numRef>
              <c:f>'Squat results'!$D$55:$D$56</c:f>
              <c:numCache>
                <c:formatCode>0.00</c:formatCode>
                <c:ptCount val="2"/>
                <c:pt idx="0">
                  <c:v>11</c:v>
                </c:pt>
                <c:pt idx="1">
                  <c:v>11</c:v>
                </c:pt>
              </c:numCache>
            </c:numRef>
          </c:xVal>
          <c:yVal>
            <c:numRef>
              <c:f>'Squat results'!$E$55:$E$56</c:f>
              <c:numCache>
                <c:formatCode>0.00</c:formatCode>
                <c:ptCount val="2"/>
                <c:pt idx="0" formatCode="General">
                  <c:v>0</c:v>
                </c:pt>
                <c:pt idx="1">
                  <c:v>6.5783930939322808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078-4874-BD9E-64E02B4FCE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020928"/>
        <c:axId val="179023232"/>
      </c:scatterChart>
      <c:valAx>
        <c:axId val="179020928"/>
        <c:scaling>
          <c:orientation val="minMax"/>
        </c:scaling>
        <c:delete val="0"/>
        <c:axPos val="b"/>
        <c:majorGridlines>
          <c:spPr>
            <a:ln w="6350">
              <a:solidFill>
                <a:srgbClr val="000000"/>
              </a:solidFill>
              <a:prstDash val="solid"/>
            </a:ln>
          </c:spPr>
        </c:majorGridlines>
        <c:minorGridlines>
          <c:spPr>
            <a:ln w="6350">
              <a:solidFill>
                <a:srgbClr val="000000"/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FR" sz="1200"/>
                  <a:t>Ship</a:t>
                </a:r>
                <a:r>
                  <a:rPr lang="fr-FR" sz="1200" baseline="0"/>
                  <a:t> speed over water (knots)</a:t>
                </a:r>
                <a:endParaRPr lang="fr-FR" sz="1200"/>
              </a:p>
            </c:rich>
          </c:tx>
          <c:layout>
            <c:manualLayout>
              <c:xMode val="edge"/>
              <c:yMode val="edge"/>
              <c:x val="0.37028135267979179"/>
              <c:y val="0.9218016355812174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79023232"/>
        <c:crosses val="autoZero"/>
        <c:crossBetween val="midCat"/>
        <c:minorUnit val="1"/>
      </c:valAx>
      <c:valAx>
        <c:axId val="179023232"/>
        <c:scaling>
          <c:orientation val="minMax"/>
          <c:min val="0"/>
        </c:scaling>
        <c:delete val="0"/>
        <c:axPos val="l"/>
        <c:majorGridlines>
          <c:spPr>
            <a:ln w="6350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FR" sz="1200"/>
                  <a:t>Maximum</a:t>
                </a:r>
                <a:r>
                  <a:rPr lang="fr-FR" sz="1200" baseline="0"/>
                  <a:t> squat (m)</a:t>
                </a:r>
              </a:p>
            </c:rich>
          </c:tx>
          <c:layout>
            <c:manualLayout>
              <c:xMode val="edge"/>
              <c:yMode val="edge"/>
              <c:x val="0"/>
              <c:y val="0.33214676431940188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79020928"/>
        <c:crosses val="autoZero"/>
        <c:crossBetween val="midCat"/>
        <c:majorUnit val="1"/>
        <c:minorUnit val="0.2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33441818581390736"/>
          <c:y val="0.19373942488753343"/>
          <c:w val="0.44322571999807037"/>
          <c:h val="5.313826467763205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0.984251969" l="0.78740157499999996" r="0.78740157499999996" t="0.984251969" header="0.4921259845" footer="0.492125984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50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50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50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0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6.png"/><Relationship Id="rId18" Type="http://schemas.openxmlformats.org/officeDocument/2006/relationships/image" Target="../media/image21.png"/><Relationship Id="rId26" Type="http://schemas.openxmlformats.org/officeDocument/2006/relationships/image" Target="../media/image29.png"/><Relationship Id="rId39" Type="http://schemas.openxmlformats.org/officeDocument/2006/relationships/image" Target="../media/image42.png"/><Relationship Id="rId21" Type="http://schemas.openxmlformats.org/officeDocument/2006/relationships/image" Target="../media/image24.png"/><Relationship Id="rId34" Type="http://schemas.openxmlformats.org/officeDocument/2006/relationships/image" Target="../media/image37.png"/><Relationship Id="rId42" Type="http://schemas.openxmlformats.org/officeDocument/2006/relationships/image" Target="../media/image45.png"/><Relationship Id="rId7" Type="http://schemas.openxmlformats.org/officeDocument/2006/relationships/image" Target="../media/image10.png"/><Relationship Id="rId2" Type="http://schemas.openxmlformats.org/officeDocument/2006/relationships/image" Target="../media/image5.png"/><Relationship Id="rId16" Type="http://schemas.openxmlformats.org/officeDocument/2006/relationships/image" Target="../media/image19.png"/><Relationship Id="rId29" Type="http://schemas.openxmlformats.org/officeDocument/2006/relationships/image" Target="../media/image32.png"/><Relationship Id="rId1" Type="http://schemas.openxmlformats.org/officeDocument/2006/relationships/image" Target="../media/image4.png"/><Relationship Id="rId6" Type="http://schemas.openxmlformats.org/officeDocument/2006/relationships/image" Target="../media/image9.png"/><Relationship Id="rId11" Type="http://schemas.openxmlformats.org/officeDocument/2006/relationships/image" Target="../media/image14.png"/><Relationship Id="rId24" Type="http://schemas.openxmlformats.org/officeDocument/2006/relationships/image" Target="../media/image27.png"/><Relationship Id="rId32" Type="http://schemas.openxmlformats.org/officeDocument/2006/relationships/image" Target="../media/image35.png"/><Relationship Id="rId37" Type="http://schemas.openxmlformats.org/officeDocument/2006/relationships/image" Target="../media/image40.png"/><Relationship Id="rId40" Type="http://schemas.openxmlformats.org/officeDocument/2006/relationships/image" Target="../media/image43.png"/><Relationship Id="rId45" Type="http://schemas.openxmlformats.org/officeDocument/2006/relationships/image" Target="../media/image48.png"/><Relationship Id="rId5" Type="http://schemas.openxmlformats.org/officeDocument/2006/relationships/image" Target="../media/image8.png"/><Relationship Id="rId15" Type="http://schemas.openxmlformats.org/officeDocument/2006/relationships/image" Target="../media/image18.png"/><Relationship Id="rId23" Type="http://schemas.openxmlformats.org/officeDocument/2006/relationships/image" Target="../media/image26.png"/><Relationship Id="rId28" Type="http://schemas.openxmlformats.org/officeDocument/2006/relationships/image" Target="../media/image31.png"/><Relationship Id="rId36" Type="http://schemas.openxmlformats.org/officeDocument/2006/relationships/image" Target="../media/image39.png"/><Relationship Id="rId10" Type="http://schemas.openxmlformats.org/officeDocument/2006/relationships/image" Target="../media/image13.png"/><Relationship Id="rId19" Type="http://schemas.openxmlformats.org/officeDocument/2006/relationships/image" Target="../media/image22.png"/><Relationship Id="rId31" Type="http://schemas.openxmlformats.org/officeDocument/2006/relationships/image" Target="../media/image34.png"/><Relationship Id="rId44" Type="http://schemas.openxmlformats.org/officeDocument/2006/relationships/image" Target="../media/image47.png"/><Relationship Id="rId4" Type="http://schemas.openxmlformats.org/officeDocument/2006/relationships/image" Target="../media/image7.png"/><Relationship Id="rId9" Type="http://schemas.openxmlformats.org/officeDocument/2006/relationships/image" Target="../media/image12.png"/><Relationship Id="rId14" Type="http://schemas.openxmlformats.org/officeDocument/2006/relationships/image" Target="../media/image17.png"/><Relationship Id="rId22" Type="http://schemas.openxmlformats.org/officeDocument/2006/relationships/image" Target="../media/image25.png"/><Relationship Id="rId27" Type="http://schemas.openxmlformats.org/officeDocument/2006/relationships/image" Target="../media/image30.png"/><Relationship Id="rId30" Type="http://schemas.openxmlformats.org/officeDocument/2006/relationships/image" Target="../media/image33.png"/><Relationship Id="rId35" Type="http://schemas.openxmlformats.org/officeDocument/2006/relationships/image" Target="../media/image38.png"/><Relationship Id="rId43" Type="http://schemas.openxmlformats.org/officeDocument/2006/relationships/image" Target="../media/image46.png"/><Relationship Id="rId8" Type="http://schemas.openxmlformats.org/officeDocument/2006/relationships/image" Target="../media/image11.png"/><Relationship Id="rId3" Type="http://schemas.openxmlformats.org/officeDocument/2006/relationships/image" Target="../media/image6.png"/><Relationship Id="rId12" Type="http://schemas.openxmlformats.org/officeDocument/2006/relationships/image" Target="../media/image15.png"/><Relationship Id="rId17" Type="http://schemas.openxmlformats.org/officeDocument/2006/relationships/image" Target="../media/image20.png"/><Relationship Id="rId25" Type="http://schemas.openxmlformats.org/officeDocument/2006/relationships/image" Target="../media/image28.png"/><Relationship Id="rId33" Type="http://schemas.openxmlformats.org/officeDocument/2006/relationships/image" Target="../media/image36.png"/><Relationship Id="rId38" Type="http://schemas.openxmlformats.org/officeDocument/2006/relationships/image" Target="../media/image41.png"/><Relationship Id="rId20" Type="http://schemas.openxmlformats.org/officeDocument/2006/relationships/image" Target="../media/image23.png"/><Relationship Id="rId41" Type="http://schemas.openxmlformats.org/officeDocument/2006/relationships/image" Target="../media/image4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9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50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50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50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5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13</xdr:col>
      <xdr:colOff>180975</xdr:colOff>
      <xdr:row>31</xdr:row>
      <xdr:rowOff>41275</xdr:rowOff>
    </xdr:to>
    <xdr:pic>
      <xdr:nvPicPr>
        <xdr:cNvPr id="3" name="Imag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426575" cy="4568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107950</xdr:colOff>
      <xdr:row>14</xdr:row>
      <xdr:rowOff>12700</xdr:rowOff>
    </xdr:from>
    <xdr:to>
      <xdr:col>12</xdr:col>
      <xdr:colOff>552450</xdr:colOff>
      <xdr:row>23</xdr:row>
      <xdr:rowOff>57150</xdr:rowOff>
    </xdr:to>
    <xdr:pic>
      <xdr:nvPicPr>
        <xdr:cNvPr id="2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447" t="13971" r="41147" b="73953"/>
        <a:stretch>
          <a:fillRect/>
        </a:stretch>
      </xdr:blipFill>
      <xdr:spPr bwMode="auto">
        <a:xfrm>
          <a:off x="3009900" y="2190750"/>
          <a:ext cx="7016750" cy="136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107950</xdr:colOff>
      <xdr:row>14</xdr:row>
      <xdr:rowOff>12700</xdr:rowOff>
    </xdr:from>
    <xdr:to>
      <xdr:col>12</xdr:col>
      <xdr:colOff>552450</xdr:colOff>
      <xdr:row>23</xdr:row>
      <xdr:rowOff>57150</xdr:rowOff>
    </xdr:to>
    <xdr:pic>
      <xdr:nvPicPr>
        <xdr:cNvPr id="2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447" t="13971" r="41147" b="73953"/>
        <a:stretch>
          <a:fillRect/>
        </a:stretch>
      </xdr:blipFill>
      <xdr:spPr bwMode="auto">
        <a:xfrm>
          <a:off x="3009900" y="2190750"/>
          <a:ext cx="7016750" cy="136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107950</xdr:colOff>
      <xdr:row>14</xdr:row>
      <xdr:rowOff>12700</xdr:rowOff>
    </xdr:from>
    <xdr:to>
      <xdr:col>12</xdr:col>
      <xdr:colOff>552450</xdr:colOff>
      <xdr:row>23</xdr:row>
      <xdr:rowOff>57150</xdr:rowOff>
    </xdr:to>
    <xdr:pic>
      <xdr:nvPicPr>
        <xdr:cNvPr id="2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447" t="13971" r="41147" b="73953"/>
        <a:stretch>
          <a:fillRect/>
        </a:stretch>
      </xdr:blipFill>
      <xdr:spPr bwMode="auto">
        <a:xfrm>
          <a:off x="3009900" y="2190750"/>
          <a:ext cx="7016750" cy="136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107950</xdr:colOff>
      <xdr:row>14</xdr:row>
      <xdr:rowOff>12700</xdr:rowOff>
    </xdr:from>
    <xdr:to>
      <xdr:col>12</xdr:col>
      <xdr:colOff>552450</xdr:colOff>
      <xdr:row>23</xdr:row>
      <xdr:rowOff>57150</xdr:rowOff>
    </xdr:to>
    <xdr:pic>
      <xdr:nvPicPr>
        <xdr:cNvPr id="2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447" t="13971" r="41147" b="73953"/>
        <a:stretch>
          <a:fillRect/>
        </a:stretch>
      </xdr:blipFill>
      <xdr:spPr bwMode="auto">
        <a:xfrm>
          <a:off x="3009900" y="2190750"/>
          <a:ext cx="7016750" cy="136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38100</xdr:colOff>
      <xdr:row>15</xdr:row>
      <xdr:rowOff>119923</xdr:rowOff>
    </xdr:from>
    <xdr:to>
      <xdr:col>15</xdr:col>
      <xdr:colOff>379500</xdr:colOff>
      <xdr:row>31</xdr:row>
      <xdr:rowOff>82128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88100" y="2488473"/>
          <a:ext cx="5561100" cy="1562405"/>
        </a:xfrm>
        <a:prstGeom prst="rect">
          <a:avLst/>
        </a:prstGeom>
      </xdr:spPr>
    </xdr:pic>
    <xdr:clientData/>
  </xdr:twoCellAnchor>
  <xdr:twoCellAnchor editAs="oneCell">
    <xdr:from>
      <xdr:col>2</xdr:col>
      <xdr:colOff>292100</xdr:colOff>
      <xdr:row>11</xdr:row>
      <xdr:rowOff>164640</xdr:rowOff>
    </xdr:from>
    <xdr:to>
      <xdr:col>2</xdr:col>
      <xdr:colOff>514350</xdr:colOff>
      <xdr:row>13</xdr:row>
      <xdr:rowOff>0</xdr:rowOff>
    </xdr:to>
    <xdr:pic>
      <xdr:nvPicPr>
        <xdr:cNvPr id="4" name="Image 31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20231"/>
        <a:stretch/>
      </xdr:blipFill>
      <xdr:spPr bwMode="auto">
        <a:xfrm>
          <a:off x="1885950" y="2755440"/>
          <a:ext cx="222250" cy="1592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133350</xdr:colOff>
      <xdr:row>8</xdr:row>
      <xdr:rowOff>123825</xdr:rowOff>
    </xdr:from>
    <xdr:to>
      <xdr:col>1</xdr:col>
      <xdr:colOff>666750</xdr:colOff>
      <xdr:row>12</xdr:row>
      <xdr:rowOff>47625</xdr:rowOff>
    </xdr:to>
    <xdr:pic>
      <xdr:nvPicPr>
        <xdr:cNvPr id="47290" name="Imag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24075" y="2038350"/>
          <a:ext cx="533400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161925</xdr:colOff>
      <xdr:row>8</xdr:row>
      <xdr:rowOff>114300</xdr:rowOff>
    </xdr:from>
    <xdr:to>
      <xdr:col>3</xdr:col>
      <xdr:colOff>685800</xdr:colOff>
      <xdr:row>12</xdr:row>
      <xdr:rowOff>85725</xdr:rowOff>
    </xdr:to>
    <xdr:pic>
      <xdr:nvPicPr>
        <xdr:cNvPr id="47291" name="Imag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76650" y="2028825"/>
          <a:ext cx="523875" cy="609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142875</xdr:colOff>
      <xdr:row>8</xdr:row>
      <xdr:rowOff>76200</xdr:rowOff>
    </xdr:from>
    <xdr:to>
      <xdr:col>5</xdr:col>
      <xdr:colOff>628650</xdr:colOff>
      <xdr:row>12</xdr:row>
      <xdr:rowOff>9525</xdr:rowOff>
    </xdr:to>
    <xdr:pic>
      <xdr:nvPicPr>
        <xdr:cNvPr id="47292" name="Imag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1600" y="1990725"/>
          <a:ext cx="4857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114300</xdr:colOff>
      <xdr:row>8</xdr:row>
      <xdr:rowOff>123825</xdr:rowOff>
    </xdr:from>
    <xdr:to>
      <xdr:col>7</xdr:col>
      <xdr:colOff>657225</xdr:colOff>
      <xdr:row>12</xdr:row>
      <xdr:rowOff>57150</xdr:rowOff>
    </xdr:to>
    <xdr:pic>
      <xdr:nvPicPr>
        <xdr:cNvPr id="47293" name="Image 4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38975" y="2038350"/>
          <a:ext cx="54292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3</xdr:col>
      <xdr:colOff>152400</xdr:colOff>
      <xdr:row>16</xdr:row>
      <xdr:rowOff>95250</xdr:rowOff>
    </xdr:to>
    <xdr:pic>
      <xdr:nvPicPr>
        <xdr:cNvPr id="47294" name="Image 5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" y="2705100"/>
          <a:ext cx="1676400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47625</xdr:colOff>
      <xdr:row>15</xdr:row>
      <xdr:rowOff>104775</xdr:rowOff>
    </xdr:from>
    <xdr:to>
      <xdr:col>8</xdr:col>
      <xdr:colOff>66675</xdr:colOff>
      <xdr:row>20</xdr:row>
      <xdr:rowOff>9525</xdr:rowOff>
    </xdr:to>
    <xdr:pic>
      <xdr:nvPicPr>
        <xdr:cNvPr id="47295" name="Image 6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38350" y="3114675"/>
          <a:ext cx="5715000" cy="666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180975</xdr:colOff>
      <xdr:row>12</xdr:row>
      <xdr:rowOff>57150</xdr:rowOff>
    </xdr:from>
    <xdr:to>
      <xdr:col>17</xdr:col>
      <xdr:colOff>85725</xdr:colOff>
      <xdr:row>23</xdr:row>
      <xdr:rowOff>76200</xdr:rowOff>
    </xdr:to>
    <xdr:pic>
      <xdr:nvPicPr>
        <xdr:cNvPr id="47296" name="Image 8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05850" y="2609850"/>
          <a:ext cx="6000750" cy="1695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66675</xdr:colOff>
      <xdr:row>24</xdr:row>
      <xdr:rowOff>104775</xdr:rowOff>
    </xdr:from>
    <xdr:to>
      <xdr:col>1</xdr:col>
      <xdr:colOff>647700</xdr:colOff>
      <xdr:row>26</xdr:row>
      <xdr:rowOff>76200</xdr:rowOff>
    </xdr:to>
    <xdr:pic>
      <xdr:nvPicPr>
        <xdr:cNvPr id="47297" name="Image 9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57400" y="4486275"/>
          <a:ext cx="5810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57150</xdr:colOff>
      <xdr:row>27</xdr:row>
      <xdr:rowOff>66675</xdr:rowOff>
    </xdr:from>
    <xdr:to>
      <xdr:col>1</xdr:col>
      <xdr:colOff>704850</xdr:colOff>
      <xdr:row>29</xdr:row>
      <xdr:rowOff>85725</xdr:rowOff>
    </xdr:to>
    <xdr:pic>
      <xdr:nvPicPr>
        <xdr:cNvPr id="47298" name="Image 10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7875" y="4914900"/>
          <a:ext cx="64770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85725</xdr:colOff>
      <xdr:row>30</xdr:row>
      <xdr:rowOff>85725</xdr:rowOff>
    </xdr:from>
    <xdr:to>
      <xdr:col>1</xdr:col>
      <xdr:colOff>695325</xdr:colOff>
      <xdr:row>32</xdr:row>
      <xdr:rowOff>76200</xdr:rowOff>
    </xdr:to>
    <xdr:pic>
      <xdr:nvPicPr>
        <xdr:cNvPr id="47299" name="Image 11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6450" y="5400675"/>
          <a:ext cx="6096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1746250</xdr:colOff>
      <xdr:row>37</xdr:row>
      <xdr:rowOff>136525</xdr:rowOff>
    </xdr:from>
    <xdr:to>
      <xdr:col>3</xdr:col>
      <xdr:colOff>0</xdr:colOff>
      <xdr:row>41</xdr:row>
      <xdr:rowOff>69850</xdr:rowOff>
    </xdr:to>
    <xdr:pic>
      <xdr:nvPicPr>
        <xdr:cNvPr id="47300" name="Image 12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6250" y="6372225"/>
          <a:ext cx="1574800" cy="530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161925</xdr:colOff>
      <xdr:row>34</xdr:row>
      <xdr:rowOff>9525</xdr:rowOff>
    </xdr:from>
    <xdr:to>
      <xdr:col>1</xdr:col>
      <xdr:colOff>523875</xdr:colOff>
      <xdr:row>35</xdr:row>
      <xdr:rowOff>38100</xdr:rowOff>
    </xdr:to>
    <xdr:pic>
      <xdr:nvPicPr>
        <xdr:cNvPr id="47301" name="Image 13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5943600"/>
          <a:ext cx="36195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104775</xdr:colOff>
      <xdr:row>35</xdr:row>
      <xdr:rowOff>133350</xdr:rowOff>
    </xdr:from>
    <xdr:to>
      <xdr:col>1</xdr:col>
      <xdr:colOff>647700</xdr:colOff>
      <xdr:row>37</xdr:row>
      <xdr:rowOff>47625</xdr:rowOff>
    </xdr:to>
    <xdr:pic>
      <xdr:nvPicPr>
        <xdr:cNvPr id="47302" name="Image 14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0" y="6257925"/>
          <a:ext cx="5429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114300</xdr:colOff>
      <xdr:row>41</xdr:row>
      <xdr:rowOff>114300</xdr:rowOff>
    </xdr:from>
    <xdr:to>
      <xdr:col>3</xdr:col>
      <xdr:colOff>485775</xdr:colOff>
      <xdr:row>44</xdr:row>
      <xdr:rowOff>114300</xdr:rowOff>
    </xdr:to>
    <xdr:pic>
      <xdr:nvPicPr>
        <xdr:cNvPr id="47303" name="Image 15"/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05025" y="7181850"/>
          <a:ext cx="1895475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104775</xdr:colOff>
      <xdr:row>46</xdr:row>
      <xdr:rowOff>0</xdr:rowOff>
    </xdr:from>
    <xdr:to>
      <xdr:col>2</xdr:col>
      <xdr:colOff>676275</xdr:colOff>
      <xdr:row>50</xdr:row>
      <xdr:rowOff>123825</xdr:rowOff>
    </xdr:to>
    <xdr:pic>
      <xdr:nvPicPr>
        <xdr:cNvPr id="47304" name="Image 16"/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0" y="7867650"/>
          <a:ext cx="1333500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238125</xdr:colOff>
      <xdr:row>46</xdr:row>
      <xdr:rowOff>104775</xdr:rowOff>
    </xdr:from>
    <xdr:to>
      <xdr:col>6</xdr:col>
      <xdr:colOff>704850</xdr:colOff>
      <xdr:row>49</xdr:row>
      <xdr:rowOff>114300</xdr:rowOff>
    </xdr:to>
    <xdr:pic>
      <xdr:nvPicPr>
        <xdr:cNvPr id="47305" name="Image 17"/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14850" y="7972425"/>
          <a:ext cx="1990725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28575</xdr:colOff>
      <xdr:row>47</xdr:row>
      <xdr:rowOff>28575</xdr:rowOff>
    </xdr:from>
    <xdr:to>
      <xdr:col>10</xdr:col>
      <xdr:colOff>453</xdr:colOff>
      <xdr:row>49</xdr:row>
      <xdr:rowOff>104775</xdr:rowOff>
    </xdr:to>
    <xdr:pic>
      <xdr:nvPicPr>
        <xdr:cNvPr id="47306" name="Image 18"/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15250" y="8048625"/>
          <a:ext cx="1524000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85725</xdr:colOff>
      <xdr:row>50</xdr:row>
      <xdr:rowOff>142875</xdr:rowOff>
    </xdr:from>
    <xdr:to>
      <xdr:col>6</xdr:col>
      <xdr:colOff>0</xdr:colOff>
      <xdr:row>53</xdr:row>
      <xdr:rowOff>133350</xdr:rowOff>
    </xdr:to>
    <xdr:pic>
      <xdr:nvPicPr>
        <xdr:cNvPr id="47307" name="Image 19"/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62450" y="8629650"/>
          <a:ext cx="1400175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152400</xdr:colOff>
      <xdr:row>59</xdr:row>
      <xdr:rowOff>142875</xdr:rowOff>
    </xdr:from>
    <xdr:to>
      <xdr:col>3</xdr:col>
      <xdr:colOff>28575</xdr:colOff>
      <xdr:row>65</xdr:row>
      <xdr:rowOff>0</xdr:rowOff>
    </xdr:to>
    <xdr:pic>
      <xdr:nvPicPr>
        <xdr:cNvPr id="47308" name="Image 20"/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3125" y="10029825"/>
          <a:ext cx="1400175" cy="800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752475</xdr:colOff>
      <xdr:row>61</xdr:row>
      <xdr:rowOff>133350</xdr:rowOff>
    </xdr:from>
    <xdr:to>
      <xdr:col>5</xdr:col>
      <xdr:colOff>9525</xdr:colOff>
      <xdr:row>63</xdr:row>
      <xdr:rowOff>47625</xdr:rowOff>
    </xdr:to>
    <xdr:pic>
      <xdr:nvPicPr>
        <xdr:cNvPr id="47309" name="Image 21"/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10325100"/>
          <a:ext cx="7810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12700</xdr:colOff>
      <xdr:row>55</xdr:row>
      <xdr:rowOff>54</xdr:rowOff>
    </xdr:from>
    <xdr:to>
      <xdr:col>13</xdr:col>
      <xdr:colOff>571500</xdr:colOff>
      <xdr:row>72</xdr:row>
      <xdr:rowOff>107949</xdr:rowOff>
    </xdr:to>
    <xdr:pic>
      <xdr:nvPicPr>
        <xdr:cNvPr id="47310" name="Image 22"/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51700" y="8953554"/>
          <a:ext cx="4203700" cy="267329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609600</xdr:colOff>
      <xdr:row>4</xdr:row>
      <xdr:rowOff>28575</xdr:rowOff>
    </xdr:to>
    <xdr:pic>
      <xdr:nvPicPr>
        <xdr:cNvPr id="47311" name="Image 26"/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" y="647700"/>
          <a:ext cx="60960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552450</xdr:colOff>
      <xdr:row>4</xdr:row>
      <xdr:rowOff>257175</xdr:rowOff>
    </xdr:to>
    <xdr:pic>
      <xdr:nvPicPr>
        <xdr:cNvPr id="47312" name="Image 27"/>
        <xdr:cNvPicPr>
          <a:picLocks noChangeAspect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" y="876300"/>
          <a:ext cx="55245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38100</xdr:colOff>
      <xdr:row>4</xdr:row>
      <xdr:rowOff>285750</xdr:rowOff>
    </xdr:from>
    <xdr:to>
      <xdr:col>1</xdr:col>
      <xdr:colOff>400050</xdr:colOff>
      <xdr:row>6</xdr:row>
      <xdr:rowOff>47625</xdr:rowOff>
    </xdr:to>
    <xdr:pic>
      <xdr:nvPicPr>
        <xdr:cNvPr id="47313" name="Image 28"/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8825" y="1162050"/>
          <a:ext cx="36195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95250</xdr:colOff>
      <xdr:row>6</xdr:row>
      <xdr:rowOff>9525</xdr:rowOff>
    </xdr:from>
    <xdr:to>
      <xdr:col>1</xdr:col>
      <xdr:colOff>361950</xdr:colOff>
      <xdr:row>7</xdr:row>
      <xdr:rowOff>9525</xdr:rowOff>
    </xdr:to>
    <xdr:pic>
      <xdr:nvPicPr>
        <xdr:cNvPr id="47314" name="Image 29"/>
        <xdr:cNvPicPr>
          <a:picLocks noChangeAspect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85975" y="1466850"/>
          <a:ext cx="2667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161925</xdr:colOff>
      <xdr:row>6</xdr:row>
      <xdr:rowOff>219075</xdr:rowOff>
    </xdr:from>
    <xdr:to>
      <xdr:col>1</xdr:col>
      <xdr:colOff>400050</xdr:colOff>
      <xdr:row>8</xdr:row>
      <xdr:rowOff>66675</xdr:rowOff>
    </xdr:to>
    <xdr:pic>
      <xdr:nvPicPr>
        <xdr:cNvPr id="47315" name="Image 30"/>
        <xdr:cNvPicPr>
          <a:picLocks noChangeAspect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1676400"/>
          <a:ext cx="238125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161925</xdr:colOff>
      <xdr:row>64</xdr:row>
      <xdr:rowOff>19050</xdr:rowOff>
    </xdr:from>
    <xdr:to>
      <xdr:col>2</xdr:col>
      <xdr:colOff>695325</xdr:colOff>
      <xdr:row>66</xdr:row>
      <xdr:rowOff>19050</xdr:rowOff>
    </xdr:to>
    <xdr:pic>
      <xdr:nvPicPr>
        <xdr:cNvPr id="47316" name="Image 31"/>
        <xdr:cNvPicPr>
          <a:picLocks noChangeAspect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14650" y="10696575"/>
          <a:ext cx="533400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476250</xdr:colOff>
      <xdr:row>75</xdr:row>
      <xdr:rowOff>0</xdr:rowOff>
    </xdr:from>
    <xdr:to>
      <xdr:col>3</xdr:col>
      <xdr:colOff>638175</xdr:colOff>
      <xdr:row>81</xdr:row>
      <xdr:rowOff>0</xdr:rowOff>
    </xdr:to>
    <xdr:pic>
      <xdr:nvPicPr>
        <xdr:cNvPr id="47317" name="Image 32"/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66975" y="12363450"/>
          <a:ext cx="1685925" cy="962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171450</xdr:colOff>
      <xdr:row>4</xdr:row>
      <xdr:rowOff>9525</xdr:rowOff>
    </xdr:from>
    <xdr:to>
      <xdr:col>4</xdr:col>
      <xdr:colOff>581025</xdr:colOff>
      <xdr:row>4</xdr:row>
      <xdr:rowOff>295275</xdr:rowOff>
    </xdr:to>
    <xdr:pic>
      <xdr:nvPicPr>
        <xdr:cNvPr id="47318" name="Image 33"/>
        <xdr:cNvPicPr>
          <a:picLocks noChangeAspect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48175" y="885825"/>
          <a:ext cx="4095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409575</xdr:colOff>
      <xdr:row>80</xdr:row>
      <xdr:rowOff>133350</xdr:rowOff>
    </xdr:from>
    <xdr:to>
      <xdr:col>5</xdr:col>
      <xdr:colOff>561975</xdr:colOff>
      <xdr:row>88</xdr:row>
      <xdr:rowOff>28575</xdr:rowOff>
    </xdr:to>
    <xdr:pic>
      <xdr:nvPicPr>
        <xdr:cNvPr id="47319" name="Image 34"/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0300" y="13306425"/>
          <a:ext cx="3200400" cy="1190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152400</xdr:colOff>
      <xdr:row>92</xdr:row>
      <xdr:rowOff>47625</xdr:rowOff>
    </xdr:from>
    <xdr:to>
      <xdr:col>2</xdr:col>
      <xdr:colOff>704850</xdr:colOff>
      <xdr:row>94</xdr:row>
      <xdr:rowOff>85725</xdr:rowOff>
    </xdr:to>
    <xdr:pic>
      <xdr:nvPicPr>
        <xdr:cNvPr id="47320" name="Image 35"/>
        <xdr:cNvPicPr>
          <a:picLocks noChangeAspect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05125" y="15287625"/>
          <a:ext cx="552450" cy="352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161925</xdr:colOff>
      <xdr:row>94</xdr:row>
      <xdr:rowOff>95250</xdr:rowOff>
    </xdr:from>
    <xdr:to>
      <xdr:col>3</xdr:col>
      <xdr:colOff>0</xdr:colOff>
      <xdr:row>96</xdr:row>
      <xdr:rowOff>95250</xdr:rowOff>
    </xdr:to>
    <xdr:pic>
      <xdr:nvPicPr>
        <xdr:cNvPr id="47321" name="Image 36"/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14650" y="15649575"/>
          <a:ext cx="561975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96</xdr:row>
      <xdr:rowOff>123825</xdr:rowOff>
    </xdr:from>
    <xdr:to>
      <xdr:col>5</xdr:col>
      <xdr:colOff>609600</xdr:colOff>
      <xdr:row>101</xdr:row>
      <xdr:rowOff>104775</xdr:rowOff>
    </xdr:to>
    <xdr:pic>
      <xdr:nvPicPr>
        <xdr:cNvPr id="47322" name="Image 37"/>
        <xdr:cNvPicPr>
          <a:picLocks noChangeAspect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2725" y="15992475"/>
          <a:ext cx="2895600" cy="752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19050</xdr:colOff>
      <xdr:row>102</xdr:row>
      <xdr:rowOff>0</xdr:rowOff>
    </xdr:from>
    <xdr:to>
      <xdr:col>7</xdr:col>
      <xdr:colOff>352425</xdr:colOff>
      <xdr:row>107</xdr:row>
      <xdr:rowOff>28575</xdr:rowOff>
    </xdr:to>
    <xdr:pic>
      <xdr:nvPicPr>
        <xdr:cNvPr id="47323" name="Image 38"/>
        <xdr:cNvPicPr>
          <a:picLocks noChangeAspect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16792575"/>
          <a:ext cx="4505325" cy="800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108</xdr:row>
      <xdr:rowOff>0</xdr:rowOff>
    </xdr:from>
    <xdr:to>
      <xdr:col>4</xdr:col>
      <xdr:colOff>685800</xdr:colOff>
      <xdr:row>110</xdr:row>
      <xdr:rowOff>57150</xdr:rowOff>
    </xdr:to>
    <xdr:pic>
      <xdr:nvPicPr>
        <xdr:cNvPr id="47324" name="Image 39"/>
        <xdr:cNvPicPr>
          <a:picLocks noChangeAspect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2725" y="17716500"/>
          <a:ext cx="220980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113</xdr:row>
      <xdr:rowOff>47625</xdr:rowOff>
    </xdr:from>
    <xdr:to>
      <xdr:col>3</xdr:col>
      <xdr:colOff>638175</xdr:colOff>
      <xdr:row>118</xdr:row>
      <xdr:rowOff>0</xdr:rowOff>
    </xdr:to>
    <xdr:pic>
      <xdr:nvPicPr>
        <xdr:cNvPr id="47325" name="Image 40"/>
        <xdr:cNvPicPr>
          <a:picLocks noChangeAspect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2725" y="18545175"/>
          <a:ext cx="1400175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428625</xdr:colOff>
      <xdr:row>109</xdr:row>
      <xdr:rowOff>0</xdr:rowOff>
    </xdr:from>
    <xdr:to>
      <xdr:col>12</xdr:col>
      <xdr:colOff>523875</xdr:colOff>
      <xdr:row>110</xdr:row>
      <xdr:rowOff>47625</xdr:rowOff>
    </xdr:to>
    <xdr:pic>
      <xdr:nvPicPr>
        <xdr:cNvPr id="47326" name="Image 41"/>
        <xdr:cNvPicPr>
          <a:picLocks noChangeAspect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29350" y="17868900"/>
          <a:ext cx="5105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485775</xdr:colOff>
      <xdr:row>99</xdr:row>
      <xdr:rowOff>28575</xdr:rowOff>
    </xdr:from>
    <xdr:to>
      <xdr:col>15</xdr:col>
      <xdr:colOff>123825</xdr:colOff>
      <xdr:row>100</xdr:row>
      <xdr:rowOff>66675</xdr:rowOff>
    </xdr:to>
    <xdr:pic>
      <xdr:nvPicPr>
        <xdr:cNvPr id="47327" name="Image 42"/>
        <xdr:cNvPicPr>
          <a:picLocks noChangeAspect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10450" y="16354425"/>
          <a:ext cx="581025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476250</xdr:colOff>
      <xdr:row>103</xdr:row>
      <xdr:rowOff>123825</xdr:rowOff>
    </xdr:from>
    <xdr:to>
      <xdr:col>17</xdr:col>
      <xdr:colOff>428625</xdr:colOff>
      <xdr:row>105</xdr:row>
      <xdr:rowOff>28575</xdr:rowOff>
    </xdr:to>
    <xdr:pic>
      <xdr:nvPicPr>
        <xdr:cNvPr id="47328" name="Image 43"/>
        <xdr:cNvPicPr>
          <a:picLocks noChangeAspect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1125" y="17068800"/>
          <a:ext cx="60483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114</xdr:row>
      <xdr:rowOff>114300</xdr:rowOff>
    </xdr:from>
    <xdr:to>
      <xdr:col>7</xdr:col>
      <xdr:colOff>447675</xdr:colOff>
      <xdr:row>116</xdr:row>
      <xdr:rowOff>104775</xdr:rowOff>
    </xdr:to>
    <xdr:pic>
      <xdr:nvPicPr>
        <xdr:cNvPr id="47329" name="Image 44"/>
        <xdr:cNvPicPr>
          <a:picLocks noChangeAspect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00725" y="18764250"/>
          <a:ext cx="1571625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66675</xdr:colOff>
      <xdr:row>111</xdr:row>
      <xdr:rowOff>9525</xdr:rowOff>
    </xdr:from>
    <xdr:to>
      <xdr:col>13</xdr:col>
      <xdr:colOff>104775</xdr:colOff>
      <xdr:row>129</xdr:row>
      <xdr:rowOff>133350</xdr:rowOff>
    </xdr:to>
    <xdr:pic>
      <xdr:nvPicPr>
        <xdr:cNvPr id="47330" name="Image 45"/>
        <xdr:cNvPicPr>
          <a:picLocks noChangeAspect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53350" y="18192750"/>
          <a:ext cx="3924300" cy="2895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238125</xdr:colOff>
      <xdr:row>110</xdr:row>
      <xdr:rowOff>123825</xdr:rowOff>
    </xdr:from>
    <xdr:to>
      <xdr:col>3</xdr:col>
      <xdr:colOff>628650</xdr:colOff>
      <xdr:row>113</xdr:row>
      <xdr:rowOff>38100</xdr:rowOff>
    </xdr:to>
    <xdr:pic>
      <xdr:nvPicPr>
        <xdr:cNvPr id="47331" name="Image 47"/>
        <xdr:cNvPicPr>
          <a:picLocks noChangeAspect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52850" y="18154650"/>
          <a:ext cx="390525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676275</xdr:colOff>
      <xdr:row>124</xdr:row>
      <xdr:rowOff>19050</xdr:rowOff>
    </xdr:from>
    <xdr:to>
      <xdr:col>4</xdr:col>
      <xdr:colOff>0</xdr:colOff>
      <xdr:row>128</xdr:row>
      <xdr:rowOff>85725</xdr:rowOff>
    </xdr:to>
    <xdr:pic>
      <xdr:nvPicPr>
        <xdr:cNvPr id="47332" name="Image 48"/>
        <xdr:cNvPicPr>
          <a:picLocks noChangeAspect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0" y="20202525"/>
          <a:ext cx="1609725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361950</xdr:colOff>
      <xdr:row>132</xdr:row>
      <xdr:rowOff>95250</xdr:rowOff>
    </xdr:from>
    <xdr:to>
      <xdr:col>5</xdr:col>
      <xdr:colOff>685800</xdr:colOff>
      <xdr:row>138</xdr:row>
      <xdr:rowOff>114300</xdr:rowOff>
    </xdr:to>
    <xdr:pic>
      <xdr:nvPicPr>
        <xdr:cNvPr id="47333" name="Image 50"/>
        <xdr:cNvPicPr>
          <a:picLocks noChangeAspect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76675" y="21507450"/>
          <a:ext cx="1847850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342900</xdr:colOff>
      <xdr:row>139</xdr:row>
      <xdr:rowOff>38100</xdr:rowOff>
    </xdr:from>
    <xdr:to>
      <xdr:col>6</xdr:col>
      <xdr:colOff>47625</xdr:colOff>
      <xdr:row>141</xdr:row>
      <xdr:rowOff>104775</xdr:rowOff>
    </xdr:to>
    <xdr:pic>
      <xdr:nvPicPr>
        <xdr:cNvPr id="47334" name="Image 52"/>
        <xdr:cNvPicPr>
          <a:picLocks noChangeAspect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57625" y="22564725"/>
          <a:ext cx="199072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400050</xdr:colOff>
      <xdr:row>143</xdr:row>
      <xdr:rowOff>9525</xdr:rowOff>
    </xdr:from>
    <xdr:to>
      <xdr:col>7</xdr:col>
      <xdr:colOff>0</xdr:colOff>
      <xdr:row>149</xdr:row>
      <xdr:rowOff>123825</xdr:rowOff>
    </xdr:to>
    <xdr:pic>
      <xdr:nvPicPr>
        <xdr:cNvPr id="47335" name="Image 53"/>
        <xdr:cNvPicPr>
          <a:picLocks noChangeAspect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14775" y="23193375"/>
          <a:ext cx="2971800" cy="1104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635000</xdr:colOff>
      <xdr:row>18</xdr:row>
      <xdr:rowOff>9525</xdr:rowOff>
    </xdr:from>
    <xdr:to>
      <xdr:col>10</xdr:col>
      <xdr:colOff>400050</xdr:colOff>
      <xdr:row>49</xdr:row>
      <xdr:rowOff>88900</xdr:rowOff>
    </xdr:to>
    <xdr:graphicFrame macro="">
      <xdr:nvGraphicFramePr>
        <xdr:cNvPr id="413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177800</xdr:colOff>
      <xdr:row>12</xdr:row>
      <xdr:rowOff>62221</xdr:rowOff>
    </xdr:from>
    <xdr:to>
      <xdr:col>11</xdr:col>
      <xdr:colOff>501650</xdr:colOff>
      <xdr:row>23</xdr:row>
      <xdr:rowOff>71163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79750" y="1948171"/>
          <a:ext cx="6184900" cy="1621842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107950</xdr:colOff>
      <xdr:row>14</xdr:row>
      <xdr:rowOff>12700</xdr:rowOff>
    </xdr:from>
    <xdr:to>
      <xdr:col>12</xdr:col>
      <xdr:colOff>552450</xdr:colOff>
      <xdr:row>23</xdr:row>
      <xdr:rowOff>57150</xdr:rowOff>
    </xdr:to>
    <xdr:pic>
      <xdr:nvPicPr>
        <xdr:cNvPr id="2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447" t="13971" r="41147" b="73953"/>
        <a:stretch>
          <a:fillRect/>
        </a:stretch>
      </xdr:blipFill>
      <xdr:spPr bwMode="auto">
        <a:xfrm>
          <a:off x="3009900" y="2190750"/>
          <a:ext cx="7016750" cy="136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107950</xdr:colOff>
      <xdr:row>14</xdr:row>
      <xdr:rowOff>12700</xdr:rowOff>
    </xdr:from>
    <xdr:to>
      <xdr:col>12</xdr:col>
      <xdr:colOff>552450</xdr:colOff>
      <xdr:row>23</xdr:row>
      <xdr:rowOff>57150</xdr:rowOff>
    </xdr:to>
    <xdr:pic>
      <xdr:nvPicPr>
        <xdr:cNvPr id="2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447" t="13971" r="41147" b="73953"/>
        <a:stretch>
          <a:fillRect/>
        </a:stretch>
      </xdr:blipFill>
      <xdr:spPr bwMode="auto">
        <a:xfrm>
          <a:off x="3009900" y="2190750"/>
          <a:ext cx="7016750" cy="136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107950</xdr:colOff>
      <xdr:row>14</xdr:row>
      <xdr:rowOff>12700</xdr:rowOff>
    </xdr:from>
    <xdr:to>
      <xdr:col>12</xdr:col>
      <xdr:colOff>552450</xdr:colOff>
      <xdr:row>23</xdr:row>
      <xdr:rowOff>57150</xdr:rowOff>
    </xdr:to>
    <xdr:pic>
      <xdr:nvPicPr>
        <xdr:cNvPr id="2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447" t="13971" r="41147" b="73953"/>
        <a:stretch>
          <a:fillRect/>
        </a:stretch>
      </xdr:blipFill>
      <xdr:spPr bwMode="auto">
        <a:xfrm>
          <a:off x="3009900" y="2190750"/>
          <a:ext cx="7016750" cy="136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107950</xdr:colOff>
      <xdr:row>14</xdr:row>
      <xdr:rowOff>12700</xdr:rowOff>
    </xdr:from>
    <xdr:to>
      <xdr:col>12</xdr:col>
      <xdr:colOff>552450</xdr:colOff>
      <xdr:row>23</xdr:row>
      <xdr:rowOff>57150</xdr:rowOff>
    </xdr:to>
    <xdr:pic>
      <xdr:nvPicPr>
        <xdr:cNvPr id="2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447" t="13971" r="41147" b="73953"/>
        <a:stretch>
          <a:fillRect/>
        </a:stretch>
      </xdr:blipFill>
      <xdr:spPr bwMode="auto">
        <a:xfrm>
          <a:off x="3009900" y="2190750"/>
          <a:ext cx="7016750" cy="136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80" zoomScaleNormal="80" workbookViewId="0">
      <selection activeCell="P31" sqref="P31"/>
    </sheetView>
  </sheetViews>
  <sheetFormatPr baseColWidth="10" defaultRowHeight="11.4" x14ac:dyDescent="0.2"/>
  <sheetData/>
  <sheetProtection sheet="1" objects="1" scenarios="1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6"/>
  <sheetViews>
    <sheetView topLeftCell="A46" workbookViewId="0">
      <selection activeCell="I52" sqref="I52"/>
    </sheetView>
  </sheetViews>
  <sheetFormatPr baseColWidth="10" defaultRowHeight="11.4" x14ac:dyDescent="0.2"/>
  <cols>
    <col min="1" max="1" width="23.25" customWidth="1"/>
    <col min="9" max="9" width="13.875" customWidth="1"/>
  </cols>
  <sheetData>
    <row r="1" spans="1:10" ht="12" thickBot="1" x14ac:dyDescent="0.25"/>
    <row r="2" spans="1:10" ht="21" thickBot="1" x14ac:dyDescent="0.4">
      <c r="F2" s="279" t="s">
        <v>43</v>
      </c>
      <c r="G2" s="280"/>
      <c r="H2" s="280"/>
      <c r="I2" s="280"/>
      <c r="J2" s="281"/>
    </row>
    <row r="10" spans="1:10" x14ac:dyDescent="0.2">
      <c r="A10" s="282"/>
      <c r="B10" s="282"/>
    </row>
    <row r="11" spans="1:10" ht="12" thickBot="1" x14ac:dyDescent="0.25"/>
    <row r="12" spans="1:10" ht="12" thickBot="1" x14ac:dyDescent="0.25">
      <c r="A12" s="283" t="s">
        <v>99</v>
      </c>
      <c r="B12" s="284"/>
    </row>
    <row r="13" spans="1:10" x14ac:dyDescent="0.2">
      <c r="A13" s="4" t="s">
        <v>0</v>
      </c>
      <c r="B13" s="106">
        <f>'Initial data'!C8</f>
        <v>260</v>
      </c>
    </row>
    <row r="14" spans="1:10" x14ac:dyDescent="0.2">
      <c r="A14" s="109" t="s">
        <v>86</v>
      </c>
      <c r="B14" s="107">
        <f>'Initial data'!D8</f>
        <v>48</v>
      </c>
    </row>
    <row r="15" spans="1:10" x14ac:dyDescent="0.2">
      <c r="A15" s="109" t="s">
        <v>91</v>
      </c>
      <c r="B15" s="59">
        <f>(B23+B24)/2</f>
        <v>17</v>
      </c>
    </row>
    <row r="16" spans="1:10" x14ac:dyDescent="0.2">
      <c r="A16" s="109" t="s">
        <v>105</v>
      </c>
      <c r="B16" s="125">
        <f>B17*B13*B14*B15</f>
        <v>173170.73170731709</v>
      </c>
    </row>
    <row r="17" spans="1:2" x14ac:dyDescent="0.2">
      <c r="A17" s="5" t="s">
        <v>5</v>
      </c>
      <c r="B17" s="108">
        <f>'Initial data'!J8</f>
        <v>0.81622705367325177</v>
      </c>
    </row>
    <row r="18" spans="1:2" x14ac:dyDescent="0.2">
      <c r="A18" s="9" t="s">
        <v>7</v>
      </c>
      <c r="B18" s="108">
        <f>'Initial data'!K8</f>
        <v>0.9</v>
      </c>
    </row>
    <row r="19" spans="1:2" ht="12" thickBot="1" x14ac:dyDescent="0.25">
      <c r="A19" s="110" t="s">
        <v>87</v>
      </c>
      <c r="B19" s="74">
        <v>8</v>
      </c>
    </row>
    <row r="20" spans="1:2" x14ac:dyDescent="0.2">
      <c r="A20" s="113" t="s">
        <v>89</v>
      </c>
      <c r="B20" s="116">
        <f>'Initial data'!L8</f>
        <v>1</v>
      </c>
    </row>
    <row r="21" spans="1:2" x14ac:dyDescent="0.2">
      <c r="A21" s="114" t="s">
        <v>92</v>
      </c>
      <c r="B21" s="108" t="str">
        <f>'Initial data'!M8</f>
        <v>O</v>
      </c>
    </row>
    <row r="22" spans="1:2" ht="11.55" customHeight="1" x14ac:dyDescent="0.2">
      <c r="A22" s="114" t="s">
        <v>94</v>
      </c>
      <c r="B22" s="108" t="str">
        <f>'Initial data'!N8</f>
        <v>O</v>
      </c>
    </row>
    <row r="23" spans="1:2" x14ac:dyDescent="0.2">
      <c r="A23" s="115" t="s">
        <v>97</v>
      </c>
      <c r="B23" s="108">
        <f>'Initial data'!E8</f>
        <v>17</v>
      </c>
    </row>
    <row r="24" spans="1:2" ht="12" thickBot="1" x14ac:dyDescent="0.25">
      <c r="A24" s="117" t="s">
        <v>98</v>
      </c>
      <c r="B24" s="118">
        <f>'Initial data'!F8</f>
        <v>17</v>
      </c>
    </row>
    <row r="25" spans="1:2" ht="12" thickBot="1" x14ac:dyDescent="0.25"/>
    <row r="26" spans="1:2" ht="12" thickBot="1" x14ac:dyDescent="0.25">
      <c r="A26" s="111" t="s">
        <v>102</v>
      </c>
      <c r="B26" s="57"/>
    </row>
    <row r="27" spans="1:2" x14ac:dyDescent="0.2">
      <c r="A27" s="6" t="s">
        <v>106</v>
      </c>
      <c r="B27" s="116">
        <f>'Initial data'!C23</f>
        <v>-0.2</v>
      </c>
    </row>
    <row r="28" spans="1:2" x14ac:dyDescent="0.2">
      <c r="A28" s="7" t="s">
        <v>107</v>
      </c>
      <c r="B28" s="108">
        <f>'Initial data'!D23</f>
        <v>20.75</v>
      </c>
    </row>
    <row r="29" spans="1:2" x14ac:dyDescent="0.2">
      <c r="A29" s="133" t="s">
        <v>110</v>
      </c>
      <c r="B29" s="108">
        <f>'Initial data'!E23</f>
        <v>20.75</v>
      </c>
    </row>
    <row r="30" spans="1:2" x14ac:dyDescent="0.2">
      <c r="A30" s="133" t="s">
        <v>111</v>
      </c>
      <c r="B30" s="108">
        <f>'Initial data'!F23</f>
        <v>300</v>
      </c>
    </row>
    <row r="31" spans="1:2" ht="12" thickBot="1" x14ac:dyDescent="0.25">
      <c r="A31" s="135" t="s">
        <v>116</v>
      </c>
      <c r="B31" s="118">
        <f>'Initial data'!G23</f>
        <v>0</v>
      </c>
    </row>
    <row r="32" spans="1:2" ht="12" thickBot="1" x14ac:dyDescent="0.25">
      <c r="A32" s="44" t="s">
        <v>44</v>
      </c>
      <c r="B32" s="60">
        <f>B28/B15</f>
        <v>1.2205882352941178</v>
      </c>
    </row>
    <row r="33" spans="1:13" x14ac:dyDescent="0.2">
      <c r="A33" s="285" t="s">
        <v>117</v>
      </c>
      <c r="B33" s="286"/>
    </row>
    <row r="34" spans="1:13" x14ac:dyDescent="0.2">
      <c r="A34" s="287" t="s">
        <v>40</v>
      </c>
      <c r="B34" s="288"/>
    </row>
    <row r="35" spans="1:13" ht="12" thickBot="1" x14ac:dyDescent="0.25">
      <c r="A35" s="51" t="s">
        <v>8</v>
      </c>
      <c r="B35" s="61">
        <f>(7.04/B17^0.85)*B14</f>
        <v>401.58229656579465</v>
      </c>
    </row>
    <row r="38" spans="1:13" ht="12" thickBot="1" x14ac:dyDescent="0.25">
      <c r="A38" s="42"/>
      <c r="B38" s="42"/>
    </row>
    <row r="39" spans="1:13" ht="12.6" thickBot="1" x14ac:dyDescent="0.3">
      <c r="A39" s="263" t="s">
        <v>119</v>
      </c>
      <c r="B39" s="264"/>
      <c r="C39" s="264"/>
      <c r="D39" s="265"/>
    </row>
    <row r="40" spans="1:13" ht="12" thickBot="1" x14ac:dyDescent="0.25">
      <c r="A40" s="274" t="s">
        <v>122</v>
      </c>
      <c r="B40" s="277"/>
      <c r="C40" s="277"/>
      <c r="D40" s="278"/>
    </row>
    <row r="41" spans="1:13" x14ac:dyDescent="0.2">
      <c r="A41" s="11" t="s">
        <v>121</v>
      </c>
      <c r="B41" s="12" t="s">
        <v>42</v>
      </c>
      <c r="C41" s="12" t="s">
        <v>120</v>
      </c>
      <c r="D41" s="13" t="s">
        <v>4</v>
      </c>
    </row>
    <row r="42" spans="1:13" ht="12.6" thickBot="1" x14ac:dyDescent="0.3">
      <c r="A42" s="58" t="s">
        <v>41</v>
      </c>
      <c r="B42" s="62">
        <f>IF(B19*1852/3600&lt;I49,B19*1852/3600,I49)</f>
        <v>4.1155555555555559</v>
      </c>
      <c r="C42" s="62">
        <f>B42/SQRT(9.81*($B$27+$B$28))</f>
        <v>0.28985984242338386</v>
      </c>
      <c r="D42" s="63">
        <f xml:space="preserve">  IF($B$29=0,       (IF(B32&lt;1.2, (IF(B17&lt;0.8,          (((2*B17*B14*B15)/B13)*POWER(C42,2)/SQRT(1-POWER(C42,2))),         (0)     )),     (((2*B17*B14*B15)/B13)*POWER(C42,2)/SQRT(1-POWER(C42,2))))),(0))</f>
        <v>0</v>
      </c>
      <c r="E42" s="42"/>
      <c r="F42" s="42"/>
      <c r="G42" s="42"/>
      <c r="H42" s="42"/>
      <c r="I42" s="42"/>
      <c r="J42" s="42"/>
      <c r="K42" s="42"/>
      <c r="L42" s="42"/>
    </row>
    <row r="43" spans="1:13" x14ac:dyDescent="0.2">
      <c r="A43" s="42"/>
      <c r="B43" s="42"/>
      <c r="E43" s="42"/>
      <c r="F43" s="42"/>
      <c r="G43" s="42"/>
      <c r="H43" s="42"/>
      <c r="I43" s="42"/>
      <c r="J43" s="42"/>
      <c r="K43" s="42"/>
      <c r="L43" s="42"/>
    </row>
    <row r="44" spans="1:13" ht="12" thickBot="1" x14ac:dyDescent="0.25">
      <c r="A44" s="45"/>
      <c r="B44" s="45"/>
      <c r="E44" s="42"/>
      <c r="F44" s="42"/>
      <c r="G44" s="42"/>
      <c r="H44" s="42"/>
      <c r="I44" s="42"/>
      <c r="J44" s="42"/>
      <c r="K44" s="42"/>
      <c r="L44" s="42"/>
    </row>
    <row r="45" spans="1:13" ht="12.6" thickBot="1" x14ac:dyDescent="0.3">
      <c r="A45" s="263" t="s">
        <v>123</v>
      </c>
      <c r="B45" s="264"/>
      <c r="C45" s="264"/>
      <c r="D45" s="264"/>
      <c r="E45" s="264"/>
      <c r="F45" s="264"/>
      <c r="G45" s="264"/>
      <c r="H45" s="264"/>
      <c r="I45" s="264"/>
      <c r="J45" s="264"/>
      <c r="K45" s="264"/>
      <c r="L45" s="264"/>
      <c r="M45" s="265"/>
    </row>
    <row r="46" spans="1:13" ht="12" thickBot="1" x14ac:dyDescent="0.25">
      <c r="A46" s="274" t="s">
        <v>124</v>
      </c>
      <c r="B46" s="275"/>
      <c r="C46" s="275"/>
      <c r="D46" s="275"/>
      <c r="E46" s="275"/>
      <c r="F46" s="275"/>
      <c r="G46" s="275"/>
      <c r="H46" s="275"/>
      <c r="I46" s="275"/>
      <c r="J46" s="275"/>
      <c r="K46" s="275"/>
      <c r="L46" s="275"/>
      <c r="M46" s="276"/>
    </row>
    <row r="47" spans="1:13" ht="12.6" thickBot="1" x14ac:dyDescent="0.3">
      <c r="A47" s="271" t="s">
        <v>10</v>
      </c>
      <c r="B47" s="272"/>
      <c r="C47" s="272"/>
      <c r="D47" s="272"/>
      <c r="E47" s="272"/>
      <c r="F47" s="272"/>
      <c r="G47" s="272"/>
      <c r="H47" s="272"/>
      <c r="I47" s="272"/>
      <c r="J47" s="272"/>
      <c r="K47" s="272"/>
      <c r="L47" s="272"/>
      <c r="M47" s="273"/>
    </row>
    <row r="48" spans="1:13" x14ac:dyDescent="0.2">
      <c r="A48" s="11" t="s">
        <v>121</v>
      </c>
      <c r="B48" s="12" t="s">
        <v>1</v>
      </c>
      <c r="C48" s="12" t="s">
        <v>2</v>
      </c>
      <c r="D48" s="12" t="s">
        <v>3</v>
      </c>
      <c r="E48" s="12" t="s">
        <v>12</v>
      </c>
      <c r="F48" s="12" t="s">
        <v>13</v>
      </c>
      <c r="G48" s="12" t="s">
        <v>14</v>
      </c>
      <c r="H48" s="12" t="s">
        <v>15</v>
      </c>
      <c r="I48" s="19" t="s">
        <v>125</v>
      </c>
      <c r="J48" s="19" t="s">
        <v>17</v>
      </c>
      <c r="K48" s="19" t="s">
        <v>18</v>
      </c>
      <c r="L48" s="19" t="s">
        <v>19</v>
      </c>
      <c r="M48" s="20" t="s">
        <v>4</v>
      </c>
    </row>
    <row r="49" spans="1:16" ht="12.6" thickBot="1" x14ac:dyDescent="0.3">
      <c r="A49" s="137" t="s">
        <v>39</v>
      </c>
      <c r="B49" s="138">
        <f>0.98*$B$14*$B$15</f>
        <v>799.68</v>
      </c>
      <c r="C49" s="138">
        <f>IF($B$29=0,IF($B$30&lt;$B$35,$B$30*($B$27+$B$28)+$B$31*POWER($B$27+$B$28,2),$B$35*($B$27+$B$28)+$B$31*POWER($B$27+$B$28,2)),$B$30*($B$27+$B$28)+$B$31*POWER($B$27+$B$28,2))</f>
        <v>6165</v>
      </c>
      <c r="D49" s="139">
        <f>B49/C49</f>
        <v>0.12971289537712893</v>
      </c>
      <c r="E49" s="139">
        <f>POWER(2*COS((PI()+ACOS(1-D49))/3),1.5)</f>
        <v>0.57243095484554007</v>
      </c>
      <c r="F49" s="139">
        <f>IF($B$29=0,IF($B$30&lt;$B$35,C49/($B$30+2*$B$31*($B$27+$B$28)),C49/($B$35+2*$B$31*($B$27+$B$28))),C49/($B$30+2*$B$31*($B$27+$B$28)))</f>
        <v>20.55</v>
      </c>
      <c r="G49" s="139">
        <f>0.58*POWER(($B$27+$B$28)*$B$13/$B$15/$B$14,0.125)</f>
        <v>0.73356714258821765</v>
      </c>
      <c r="H49" s="139">
        <f>($B$27+$B$28)-$B$29*(1-F49/($B$27+$B$28))</f>
        <v>20.55</v>
      </c>
      <c r="I49" s="140">
        <f>IF($B$29=0, G49*SQRT(9.81*($B$27+$B$28)),IF($B$29&lt;($B$28+$B$27),(G49*(1-$B$29/($B$28+$B$27))+E49*$B$29/($B$28+$B$27))*SQRT(9.81*H49),E49*SQRT(9.81*F49)))</f>
        <v>8.1276225664451633</v>
      </c>
      <c r="J49" s="140">
        <f>0.155*SQRT(($B$27+$B$28)/$B$15)</f>
        <v>0.17041709214194936</v>
      </c>
      <c r="K49" s="140">
        <f>POWER(10*$B$14*$B$17/$B$13,2)</f>
        <v>2.270689487652755</v>
      </c>
      <c r="L49" s="140">
        <f>8*POWER(B42/I49,2)*(POWER(B42/I49-0.5,4)+0.0625)</f>
        <v>0.12820350478188278</v>
      </c>
      <c r="M49" s="141">
        <f>IF($B$29=0,(IF(B32&lt;1.2,(IF(B17&gt;=0.8,(L49*K49*J49*B15),(0))),(L49*K49*J49*B15)   )   ),(IF(B28=B29,(IF(B28/B15&lt;1.2,(IF(B17&gt;0.8,(IF(B19&gt;=7,(L49*K49*J49*B15),(0))),(L49*K49*J49*B15))),(L49*K49*J49*B15))),(0))))</f>
        <v>0.84337305047505173</v>
      </c>
    </row>
    <row r="50" spans="1:16" ht="12.6" thickBot="1" x14ac:dyDescent="0.3">
      <c r="A50" s="15"/>
      <c r="B50" s="39"/>
      <c r="C50" s="39"/>
      <c r="D50" s="39"/>
      <c r="E50" s="39"/>
      <c r="F50" s="41"/>
      <c r="G50" s="3"/>
      <c r="H50" s="31"/>
      <c r="I50" s="31"/>
      <c r="J50" s="31"/>
      <c r="K50" s="31"/>
      <c r="L50" s="31"/>
      <c r="M50" s="31"/>
    </row>
    <row r="51" spans="1:16" ht="12.6" thickBot="1" x14ac:dyDescent="0.3">
      <c r="A51" s="271" t="s">
        <v>11</v>
      </c>
      <c r="B51" s="272"/>
      <c r="C51" s="272"/>
      <c r="D51" s="272"/>
      <c r="E51" s="272"/>
      <c r="F51" s="272"/>
      <c r="G51" s="272"/>
      <c r="H51" s="272"/>
      <c r="I51" s="272"/>
      <c r="J51" s="272"/>
      <c r="K51" s="272"/>
      <c r="L51" s="272"/>
      <c r="M51" s="273"/>
    </row>
    <row r="52" spans="1:16" x14ac:dyDescent="0.2">
      <c r="A52" s="11" t="s">
        <v>126</v>
      </c>
      <c r="B52" s="12" t="s">
        <v>1</v>
      </c>
      <c r="C52" s="12" t="s">
        <v>2</v>
      </c>
      <c r="D52" s="12" t="s">
        <v>3</v>
      </c>
      <c r="E52" s="12" t="s">
        <v>12</v>
      </c>
      <c r="F52" s="12" t="s">
        <v>13</v>
      </c>
      <c r="G52" s="12" t="s">
        <v>14</v>
      </c>
      <c r="H52" s="12" t="s">
        <v>15</v>
      </c>
      <c r="I52" s="19" t="s">
        <v>125</v>
      </c>
      <c r="J52" s="19" t="s">
        <v>17</v>
      </c>
      <c r="K52" s="19" t="s">
        <v>18</v>
      </c>
      <c r="L52" s="19" t="s">
        <v>19</v>
      </c>
      <c r="M52" s="20" t="s">
        <v>20</v>
      </c>
    </row>
    <row r="53" spans="1:16" ht="12.6" thickBot="1" x14ac:dyDescent="0.3">
      <c r="A53" s="137" t="s">
        <v>39</v>
      </c>
      <c r="B53" s="138">
        <f>0.98*$B$14*$B$15</f>
        <v>799.68</v>
      </c>
      <c r="C53" s="138">
        <f>IF($B$29=0,IF($B$30&lt;$B$35,$B$30*($B$27+$B$28)+$B$31*POWER($B$27+$B$28,2),$B$35*($B$27+$B$28)+$B$31*POWER($B$27+$B$28,2)),$B$30*($B$27+$B$28)+$B$31*POWER($B$27+$B$28,2))</f>
        <v>6165</v>
      </c>
      <c r="D53" s="139">
        <f>B53/C53</f>
        <v>0.12971289537712893</v>
      </c>
      <c r="E53" s="139">
        <f>POWER(2*COS((PI()+ACOS(1-D53))/3),1.5)</f>
        <v>0.57243095484554007</v>
      </c>
      <c r="F53" s="139">
        <f>IF($B$29=0,IF($B$30&lt;$B$35,C53/($B$30+2*$B$31*($B$27+$B$28)),C53/($B$35+2*$B$31*($B$27+$B$28))),C53/($B$30+2*$B$31*($B$27+$B$28)))</f>
        <v>20.55</v>
      </c>
      <c r="G53" s="139">
        <f>0.58*POWER(($B$27+$B$28)*$B$13/$B$15/$B$14,0.125)</f>
        <v>0.73356714258821765</v>
      </c>
      <c r="H53" s="139">
        <f>($B$27+$B$28)-$B$29*(1-F53/($B$27+$B$28))</f>
        <v>20.55</v>
      </c>
      <c r="I53" s="140">
        <f>IF($B$29=0, G53*SQRT(9.81*($B$27+$B$28)),IF($B$29&lt;($B$28+$B$27),(G53*(1-$B$29/($B$28+$B$27))+E53*$B$29/($B$28+$B$27))*SQRT(9.81*H53),E53*SQRT(9.81*F53)))</f>
        <v>8.1276225664451633</v>
      </c>
      <c r="J53" s="140">
        <f>0.155*SQRT(($B$27+$B$28)/$B$15)</f>
        <v>0.17041709214194936</v>
      </c>
      <c r="K53" s="140">
        <v>1</v>
      </c>
      <c r="L53" s="140">
        <f>8*POWER(B42/I53,2)*(POWER(B42/I53-0.5,4)+0.0625)</f>
        <v>0.12820350478188278</v>
      </c>
      <c r="M53" s="141">
        <f>IF($B$29=0,(IF(B32&lt;1.2,(IF(B17&gt;=0.8,(L53*K53*J53*B15),(0))),(L53*K53*J53*B15))),(IF(B28=B29,(IF(B28/B15&lt;1.2,(IF(B17&gt;0.8,(IF(B19&gt;=7,(L53*K53*J53*B15),(0))),(L53*K53*J53*B15))),(L53*K53*J53*B15))),(0))))</f>
        <v>0.37141716428469435</v>
      </c>
    </row>
    <row r="54" spans="1:16" x14ac:dyDescent="0.2">
      <c r="A54" s="15"/>
      <c r="B54" s="39"/>
    </row>
    <row r="55" spans="1:16" ht="12" thickBot="1" x14ac:dyDescent="0.25">
      <c r="A55" s="45"/>
      <c r="B55" s="45"/>
    </row>
    <row r="56" spans="1:16" ht="12.6" thickBot="1" x14ac:dyDescent="0.3">
      <c r="A56" s="263" t="s">
        <v>127</v>
      </c>
      <c r="B56" s="264"/>
      <c r="C56" s="264"/>
      <c r="D56" s="264"/>
      <c r="E56" s="264"/>
      <c r="F56" s="264"/>
      <c r="G56" s="264"/>
      <c r="H56" s="264"/>
      <c r="I56" s="264"/>
      <c r="J56" s="264"/>
      <c r="K56" s="265"/>
    </row>
    <row r="57" spans="1:16" ht="12" thickBot="1" x14ac:dyDescent="0.25">
      <c r="A57" s="274" t="s">
        <v>128</v>
      </c>
      <c r="B57" s="275"/>
      <c r="C57" s="275"/>
      <c r="D57" s="275"/>
      <c r="E57" s="275"/>
      <c r="F57" s="275"/>
      <c r="G57" s="275"/>
      <c r="H57" s="275"/>
      <c r="I57" s="275"/>
      <c r="J57" s="275"/>
      <c r="K57" s="276"/>
    </row>
    <row r="58" spans="1:16" ht="12" x14ac:dyDescent="0.25">
      <c r="A58" s="11" t="s">
        <v>129</v>
      </c>
      <c r="B58" s="12" t="s">
        <v>23</v>
      </c>
      <c r="C58" s="12" t="s">
        <v>24</v>
      </c>
      <c r="D58" s="12" t="s">
        <v>25</v>
      </c>
      <c r="E58" s="12" t="s">
        <v>26</v>
      </c>
      <c r="F58" s="12" t="s">
        <v>1</v>
      </c>
      <c r="G58" s="12" t="s">
        <v>2</v>
      </c>
      <c r="H58" s="12" t="s">
        <v>3</v>
      </c>
      <c r="I58" s="19" t="s">
        <v>27</v>
      </c>
      <c r="J58" s="19" t="s">
        <v>37</v>
      </c>
      <c r="K58" s="29" t="s">
        <v>28</v>
      </c>
    </row>
    <row r="59" spans="1:16" ht="12" x14ac:dyDescent="0.25">
      <c r="A59" s="47" t="s">
        <v>22</v>
      </c>
      <c r="B59" s="64">
        <f>IF(B20=1, 0.15,0.13)</f>
        <v>0.15</v>
      </c>
      <c r="C59" s="66">
        <f>1.7*$B$17*($B$14*$B$15/($B$13^2))+0.004*($B$17^2)</f>
        <v>1.9414465123473161E-2</v>
      </c>
      <c r="D59" s="66">
        <f>POWER(C42,1.8+0.4*C42)</f>
        <v>9.3235747826452456E-2</v>
      </c>
      <c r="E59" s="64">
        <f>1+0.35/B32^2</f>
        <v>1.2349252431412396</v>
      </c>
      <c r="F59" s="64">
        <f>0.98*$B$14*$B$15</f>
        <v>799.68</v>
      </c>
      <c r="G59" s="64">
        <f>IF($B$29=0,IF($B$30&lt;$B$35,$B$30*($B$27+$B$28)+$B$31*POWER($B$27+$B$28,2),$B$35*($B$27+$B$28)+$B$31*POWER($B$27+$B$28,2)),$B$30*($B$27+$B$28)+$B$31*POWER($B$27+$B$28,2))</f>
        <v>6165</v>
      </c>
      <c r="H59" s="65">
        <f>F59/G59</f>
        <v>0.12971289537712893</v>
      </c>
      <c r="I59" s="67">
        <f>$B$17*H59*$B$15*$B$29/($B$27+$B$28)^2</f>
        <v>8.8437714140059021E-2</v>
      </c>
      <c r="J59" s="66">
        <f>IF($B$29=0,1,1+10*I59-1.5*(1+I59)*SQRT(I59))</f>
        <v>1.3988499075872562</v>
      </c>
      <c r="K59" s="68">
        <f>$B$13*(1+B59)*C59*D59*E59*J59</f>
        <v>0.93495533387149521</v>
      </c>
    </row>
    <row r="60" spans="1:16" ht="12" thickBot="1" x14ac:dyDescent="0.25">
      <c r="A60" s="48" t="s">
        <v>6</v>
      </c>
      <c r="B60" s="14"/>
      <c r="C60" s="17" t="s">
        <v>9</v>
      </c>
      <c r="D60" s="10" t="s">
        <v>29</v>
      </c>
      <c r="E60" s="10" t="s">
        <v>9</v>
      </c>
      <c r="F60" s="10"/>
      <c r="G60" s="10"/>
      <c r="H60" s="10" t="s">
        <v>9</v>
      </c>
      <c r="I60" s="21"/>
      <c r="J60" s="21"/>
      <c r="K60" s="22"/>
    </row>
    <row r="61" spans="1:16" ht="12" thickBot="1" x14ac:dyDescent="0.25">
      <c r="A61" s="274" t="s">
        <v>130</v>
      </c>
      <c r="B61" s="275"/>
      <c r="C61" s="275"/>
      <c r="D61" s="275"/>
      <c r="E61" s="275"/>
      <c r="F61" s="275"/>
      <c r="G61" s="275"/>
      <c r="H61" s="275"/>
      <c r="I61" s="275"/>
      <c r="J61" s="275"/>
      <c r="K61" s="276"/>
    </row>
    <row r="62" spans="1:16" ht="12" x14ac:dyDescent="0.25">
      <c r="A62" s="24" t="s">
        <v>38</v>
      </c>
      <c r="B62" s="12" t="s">
        <v>23</v>
      </c>
      <c r="C62" s="12" t="s">
        <v>32</v>
      </c>
      <c r="D62" s="12" t="s">
        <v>33</v>
      </c>
      <c r="E62" s="12" t="s">
        <v>34</v>
      </c>
      <c r="F62" s="12" t="s">
        <v>35</v>
      </c>
      <c r="G62" s="12" t="s">
        <v>36</v>
      </c>
      <c r="H62" s="12" t="s">
        <v>24</v>
      </c>
      <c r="I62" s="12" t="s">
        <v>25</v>
      </c>
      <c r="J62" s="12" t="s">
        <v>31</v>
      </c>
      <c r="K62" s="12" t="s">
        <v>1</v>
      </c>
      <c r="L62" s="12" t="s">
        <v>2</v>
      </c>
      <c r="M62" s="12" t="s">
        <v>3</v>
      </c>
      <c r="N62" s="19" t="s">
        <v>27</v>
      </c>
      <c r="O62" s="19" t="s">
        <v>30</v>
      </c>
      <c r="P62" s="29" t="s">
        <v>38</v>
      </c>
    </row>
    <row r="63" spans="1:16" ht="12" x14ac:dyDescent="0.25">
      <c r="A63" s="46" t="s">
        <v>22</v>
      </c>
      <c r="B63" s="64">
        <f>IF(B20=1, 0.15,0.13)</f>
        <v>0.15</v>
      </c>
      <c r="C63" s="64">
        <f>IF(B20=1, 0.15,0.2)</f>
        <v>0.15</v>
      </c>
      <c r="D63" s="69">
        <f>IF(B21="O",0.1,0)</f>
        <v>0.1</v>
      </c>
      <c r="E63" s="69">
        <f>IF(B22="O",0.04,0)</f>
        <v>0.04</v>
      </c>
      <c r="F63" s="69">
        <f>(B24-B23)/(B23+B24)</f>
        <v>0</v>
      </c>
      <c r="G63" s="66">
        <f>POWER($B$17,2+(0.8*J59/$B$17))-(0.15*B63+C63)-(D63+E63+F63)</f>
        <v>0.19182593837806194</v>
      </c>
      <c r="H63" s="66">
        <f>1.7*$B$17*($B$14*$B$15/($B$13^2))+0.004*($B$17^2)</f>
        <v>1.9414465123473161E-2</v>
      </c>
      <c r="I63" s="66">
        <f>POWER(C42,1.8+0.4*C42)</f>
        <v>9.3235747826452456E-2</v>
      </c>
      <c r="J63" s="64">
        <f>1-EXP(2.5*(1-B32)/C42)</f>
        <v>0.85081113427284738</v>
      </c>
      <c r="K63" s="64">
        <f>0.98*$B$14*$B$15</f>
        <v>799.68</v>
      </c>
      <c r="L63" s="64">
        <f>IF($B$29=0,IF($B$30&lt;$B$35,$B$30*($B$27+$B$28)+$B$31*POWER($B$27+$B$28,2),$B$35*($B$27+$B$28)+$B$31*POWER($B$27+$B$28,2)),$B$30*($B$27+$B$28)+$B$31*POWER($B$27+$B$28,2))</f>
        <v>6165</v>
      </c>
      <c r="M63" s="65">
        <f>K63/L63</f>
        <v>0.12971289537712893</v>
      </c>
      <c r="N63" s="67">
        <f>$B$17*M63*$B$15*$B$29/($B$27+$B$28)^2</f>
        <v>8.8437714140059021E-2</v>
      </c>
      <c r="O63" s="66">
        <f>IF($B$29=0,1,1-5*N63)</f>
        <v>0.55781142929970495</v>
      </c>
      <c r="P63" s="68">
        <f>-$B$13*1.7*H63*I63*J63*G63*O63</f>
        <v>-7.2838008426374057E-2</v>
      </c>
    </row>
    <row r="64" spans="1:16" ht="12" thickBot="1" x14ac:dyDescent="0.25">
      <c r="A64" s="50" t="s">
        <v>6</v>
      </c>
      <c r="B64" s="28"/>
      <c r="C64" s="17" t="s">
        <v>9</v>
      </c>
      <c r="D64" s="23" t="s">
        <v>29</v>
      </c>
      <c r="E64" s="23" t="s">
        <v>9</v>
      </c>
      <c r="F64" s="23"/>
      <c r="G64" s="23"/>
      <c r="H64" s="10" t="s">
        <v>9</v>
      </c>
      <c r="I64" s="21"/>
      <c r="J64" s="21"/>
      <c r="K64" s="26"/>
      <c r="L64" s="27"/>
      <c r="M64" s="25"/>
      <c r="N64" s="25"/>
      <c r="O64" s="25"/>
      <c r="P64" s="18"/>
    </row>
    <row r="65" spans="1:15" ht="12" x14ac:dyDescent="0.25">
      <c r="A65" s="49" t="s">
        <v>121</v>
      </c>
      <c r="B65" s="70">
        <f>IF(AND($B$29&lt;($B$28+$B$27),B29&gt;0),(K59-0.5*P63),(IF(B28=B29,(IF(B28/B15&lt;1.2,(IF(B17&gt;0.8,(IF(B19&lt;7,(K59-0.5*P63),(0))),(K59-0.5*P63))),(K59-0.5*P63))),(0))))</f>
        <v>0.97137433808468221</v>
      </c>
    </row>
    <row r="66" spans="1:15" ht="12.6" thickBot="1" x14ac:dyDescent="0.3">
      <c r="A66" s="142" t="s">
        <v>126</v>
      </c>
      <c r="B66" s="143">
        <f>IF(AND($B$29&lt;($B$28+$B$27),B29&gt;0),(K59+0.5*P63),(IF(B28=B29,(IF(B28/B15&lt;1.2,(IF(B17&gt;0.8,(IF(B19&lt;7,(K59+0.5*P63),(0))),(K59+0.5*P63))),(K59+0.5*P63))),(0))))</f>
        <v>0.89853632965830821</v>
      </c>
    </row>
    <row r="67" spans="1:15" x14ac:dyDescent="0.2">
      <c r="A67" s="31"/>
      <c r="B67" s="31"/>
    </row>
    <row r="68" spans="1:15" x14ac:dyDescent="0.2">
      <c r="A68" s="31"/>
      <c r="B68" s="31"/>
    </row>
    <row r="69" spans="1:15" ht="12" x14ac:dyDescent="0.25">
      <c r="A69" s="16"/>
      <c r="B69" s="16"/>
    </row>
    <row r="70" spans="1:15" x14ac:dyDescent="0.2">
      <c r="A70" s="1"/>
      <c r="B70" s="1"/>
    </row>
    <row r="71" spans="1:15" x14ac:dyDescent="0.2">
      <c r="A71" s="32"/>
      <c r="B71" s="32"/>
      <c r="C71" s="31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</row>
    <row r="72" spans="1:15" x14ac:dyDescent="0.2">
      <c r="A72" s="30"/>
      <c r="B72" s="37"/>
      <c r="C72" s="31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</row>
    <row r="73" spans="1:15" ht="12" x14ac:dyDescent="0.25">
      <c r="A73" s="30"/>
      <c r="B73" s="30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31"/>
      <c r="O73" s="31"/>
    </row>
    <row r="74" spans="1:15" ht="12" x14ac:dyDescent="0.25">
      <c r="A74" s="32"/>
      <c r="B74" s="33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31"/>
      <c r="O74" s="31"/>
    </row>
    <row r="75" spans="1:15" x14ac:dyDescent="0.2">
      <c r="A75" s="30"/>
      <c r="B75" s="37"/>
      <c r="C75" s="32"/>
      <c r="D75" s="32"/>
      <c r="E75" s="32"/>
      <c r="F75" s="32"/>
      <c r="G75" s="32"/>
      <c r="H75" s="32"/>
      <c r="I75" s="32"/>
      <c r="J75" s="32"/>
      <c r="K75" s="32"/>
      <c r="L75" s="32"/>
      <c r="M75" s="31"/>
      <c r="N75" s="31"/>
      <c r="O75" s="31"/>
    </row>
    <row r="76" spans="1:15" x14ac:dyDescent="0.2">
      <c r="A76" s="15"/>
      <c r="B76" s="8"/>
      <c r="C76" s="36"/>
      <c r="D76" s="36"/>
      <c r="E76" s="36"/>
      <c r="F76" s="38"/>
      <c r="G76" s="37"/>
      <c r="H76" s="37"/>
      <c r="I76" s="38"/>
      <c r="J76" s="37"/>
      <c r="K76" s="38"/>
      <c r="L76" s="36"/>
      <c r="M76" s="31"/>
      <c r="N76" s="31"/>
      <c r="O76" s="31"/>
    </row>
    <row r="77" spans="1:15" x14ac:dyDescent="0.2">
      <c r="A77" s="1"/>
      <c r="B77" s="1"/>
      <c r="C77" s="30"/>
      <c r="D77" s="30"/>
      <c r="E77" s="30"/>
      <c r="F77" s="30"/>
      <c r="G77" s="30"/>
      <c r="H77" s="30"/>
      <c r="I77" s="30"/>
      <c r="J77" s="30"/>
      <c r="K77" s="30"/>
      <c r="L77" s="31"/>
      <c r="M77" s="31"/>
      <c r="N77" s="31"/>
      <c r="O77" s="31"/>
    </row>
    <row r="78" spans="1:15" ht="12" x14ac:dyDescent="0.25">
      <c r="A78" s="32"/>
      <c r="B78" s="33"/>
      <c r="C78" s="33"/>
      <c r="D78" s="32"/>
      <c r="E78" s="32"/>
      <c r="F78" s="33"/>
      <c r="G78" s="32"/>
      <c r="H78" s="32"/>
      <c r="I78" s="32"/>
      <c r="J78" s="33"/>
      <c r="K78" s="32"/>
      <c r="L78" s="33"/>
      <c r="M78" s="33"/>
      <c r="N78" s="31"/>
      <c r="O78" s="31"/>
    </row>
    <row r="79" spans="1:15" x14ac:dyDescent="0.2">
      <c r="A79" s="30"/>
      <c r="B79" s="37"/>
      <c r="C79" s="37"/>
      <c r="D79" s="36"/>
      <c r="E79" s="37"/>
      <c r="F79" s="36"/>
      <c r="G79" s="36"/>
      <c r="H79" s="38"/>
      <c r="I79" s="34"/>
      <c r="J79" s="36"/>
      <c r="K79" s="35"/>
      <c r="L79" s="36"/>
      <c r="M79" s="35"/>
      <c r="N79" s="31"/>
      <c r="O79" s="31"/>
    </row>
    <row r="80" spans="1:15" x14ac:dyDescent="0.2">
      <c r="A80" s="15"/>
      <c r="B80" s="8"/>
      <c r="C80" s="8"/>
      <c r="D80" s="39"/>
      <c r="E80" s="39"/>
      <c r="F80" s="39"/>
      <c r="G80" s="39"/>
      <c r="H80" s="39"/>
      <c r="I80" s="31"/>
      <c r="J80" s="31"/>
      <c r="K80" s="32"/>
      <c r="L80" s="31"/>
      <c r="M80" s="32"/>
      <c r="N80" s="31"/>
      <c r="O80" s="31"/>
    </row>
    <row r="81" spans="1:15" ht="12" x14ac:dyDescent="0.25">
      <c r="A81" s="40"/>
      <c r="B81" s="3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31"/>
      <c r="O81" s="31"/>
    </row>
    <row r="82" spans="1:15" ht="12" x14ac:dyDescent="0.25">
      <c r="A82" s="31"/>
      <c r="B82" s="31"/>
      <c r="C82" s="33"/>
      <c r="D82" s="33"/>
      <c r="E82" s="32"/>
      <c r="F82" s="32"/>
      <c r="G82" s="32"/>
      <c r="H82" s="33"/>
      <c r="I82" s="32"/>
      <c r="J82" s="33"/>
      <c r="K82" s="33"/>
      <c r="L82" s="31"/>
      <c r="M82" s="31"/>
      <c r="N82" s="31"/>
      <c r="O82" s="31"/>
    </row>
    <row r="83" spans="1:15" x14ac:dyDescent="0.2">
      <c r="C83" s="37"/>
      <c r="D83" s="36"/>
      <c r="E83" s="36"/>
      <c r="F83" s="38"/>
      <c r="G83" s="36"/>
      <c r="H83" s="36"/>
      <c r="I83" s="35"/>
      <c r="J83" s="36"/>
      <c r="K83" s="35"/>
      <c r="L83" s="31"/>
      <c r="M83" s="31"/>
      <c r="N83" s="31"/>
      <c r="O83" s="31"/>
    </row>
    <row r="84" spans="1:15" x14ac:dyDescent="0.2">
      <c r="C84" s="8"/>
      <c r="D84" s="39"/>
      <c r="E84" s="39"/>
      <c r="F84" s="39"/>
      <c r="G84" s="39"/>
      <c r="H84" s="39"/>
      <c r="I84" s="31"/>
      <c r="J84" s="31"/>
      <c r="K84" s="32"/>
      <c r="L84" s="31"/>
      <c r="M84" s="32"/>
      <c r="N84" s="31"/>
      <c r="O84" s="31"/>
    </row>
    <row r="85" spans="1:15" x14ac:dyDescent="0.2">
      <c r="C85" s="31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</row>
    <row r="86" spans="1:15" x14ac:dyDescent="0.2">
      <c r="C86" s="31"/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</row>
  </sheetData>
  <sheetProtection sheet="1" objects="1" scenarios="1"/>
  <mergeCells count="14">
    <mergeCell ref="A39:D39"/>
    <mergeCell ref="F2:J2"/>
    <mergeCell ref="A10:B10"/>
    <mergeCell ref="A12:B12"/>
    <mergeCell ref="A33:B33"/>
    <mergeCell ref="A34:B34"/>
    <mergeCell ref="A57:K57"/>
    <mergeCell ref="A61:K61"/>
    <mergeCell ref="A40:D40"/>
    <mergeCell ref="A45:M45"/>
    <mergeCell ref="A46:M46"/>
    <mergeCell ref="A47:M47"/>
    <mergeCell ref="A51:M51"/>
    <mergeCell ref="A56:K56"/>
  </mergeCells>
  <pageMargins left="0.78740157499999996" right="0.78740157499999996" top="0.984251969" bottom="0.984251969" header="0.4921259845" footer="0.4921259845"/>
  <pageSetup paperSize="9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6"/>
  <sheetViews>
    <sheetView topLeftCell="A40" workbookViewId="0">
      <selection activeCell="I52" sqref="I52"/>
    </sheetView>
  </sheetViews>
  <sheetFormatPr baseColWidth="10" defaultRowHeight="11.4" x14ac:dyDescent="0.2"/>
  <cols>
    <col min="1" max="1" width="23.25" customWidth="1"/>
    <col min="9" max="9" width="13.875" customWidth="1"/>
  </cols>
  <sheetData>
    <row r="1" spans="1:10" ht="12" thickBot="1" x14ac:dyDescent="0.25"/>
    <row r="2" spans="1:10" ht="21" thickBot="1" x14ac:dyDescent="0.4">
      <c r="F2" s="279" t="s">
        <v>43</v>
      </c>
      <c r="G2" s="280"/>
      <c r="H2" s="280"/>
      <c r="I2" s="280"/>
      <c r="J2" s="281"/>
    </row>
    <row r="10" spans="1:10" x14ac:dyDescent="0.2">
      <c r="A10" s="282"/>
      <c r="B10" s="282"/>
    </row>
    <row r="11" spans="1:10" ht="12" thickBot="1" x14ac:dyDescent="0.25"/>
    <row r="12" spans="1:10" ht="12" thickBot="1" x14ac:dyDescent="0.25">
      <c r="A12" s="283" t="s">
        <v>99</v>
      </c>
      <c r="B12" s="284"/>
    </row>
    <row r="13" spans="1:10" x14ac:dyDescent="0.2">
      <c r="A13" s="4" t="s">
        <v>0</v>
      </c>
      <c r="B13" s="106">
        <f>'Initial data'!C8</f>
        <v>260</v>
      </c>
    </row>
    <row r="14" spans="1:10" x14ac:dyDescent="0.2">
      <c r="A14" s="109" t="s">
        <v>86</v>
      </c>
      <c r="B14" s="107">
        <f>'Initial data'!D8</f>
        <v>48</v>
      </c>
    </row>
    <row r="15" spans="1:10" x14ac:dyDescent="0.2">
      <c r="A15" s="109" t="s">
        <v>91</v>
      </c>
      <c r="B15" s="59">
        <f>(B23+B24)/2</f>
        <v>17</v>
      </c>
    </row>
    <row r="16" spans="1:10" x14ac:dyDescent="0.2">
      <c r="A16" s="109" t="s">
        <v>105</v>
      </c>
      <c r="B16" s="125">
        <f>B17*B13*B14*B15</f>
        <v>173170.73170731709</v>
      </c>
    </row>
    <row r="17" spans="1:2" x14ac:dyDescent="0.2">
      <c r="A17" s="5" t="s">
        <v>5</v>
      </c>
      <c r="B17" s="108">
        <f>'Initial data'!J8</f>
        <v>0.81622705367325177</v>
      </c>
    </row>
    <row r="18" spans="1:2" x14ac:dyDescent="0.2">
      <c r="A18" s="9" t="s">
        <v>7</v>
      </c>
      <c r="B18" s="108">
        <f>'Initial data'!K8</f>
        <v>0.9</v>
      </c>
    </row>
    <row r="19" spans="1:2" ht="12" thickBot="1" x14ac:dyDescent="0.25">
      <c r="A19" s="110" t="s">
        <v>87</v>
      </c>
      <c r="B19" s="74">
        <v>10</v>
      </c>
    </row>
    <row r="20" spans="1:2" x14ac:dyDescent="0.2">
      <c r="A20" s="113" t="s">
        <v>89</v>
      </c>
      <c r="B20" s="116">
        <f>'Initial data'!L8</f>
        <v>1</v>
      </c>
    </row>
    <row r="21" spans="1:2" x14ac:dyDescent="0.2">
      <c r="A21" s="114" t="s">
        <v>92</v>
      </c>
      <c r="B21" s="108" t="str">
        <f>'Initial data'!M8</f>
        <v>O</v>
      </c>
    </row>
    <row r="22" spans="1:2" ht="11.55" customHeight="1" x14ac:dyDescent="0.2">
      <c r="A22" s="114" t="s">
        <v>94</v>
      </c>
      <c r="B22" s="108" t="str">
        <f>'Initial data'!N8</f>
        <v>O</v>
      </c>
    </row>
    <row r="23" spans="1:2" x14ac:dyDescent="0.2">
      <c r="A23" s="115" t="s">
        <v>97</v>
      </c>
      <c r="B23" s="108">
        <f>'Initial data'!E8</f>
        <v>17</v>
      </c>
    </row>
    <row r="24" spans="1:2" ht="12" thickBot="1" x14ac:dyDescent="0.25">
      <c r="A24" s="117" t="s">
        <v>98</v>
      </c>
      <c r="B24" s="118">
        <f>'Initial data'!F8</f>
        <v>17</v>
      </c>
    </row>
    <row r="25" spans="1:2" ht="12" thickBot="1" x14ac:dyDescent="0.25"/>
    <row r="26" spans="1:2" ht="12" thickBot="1" x14ac:dyDescent="0.25">
      <c r="A26" s="111" t="s">
        <v>102</v>
      </c>
      <c r="B26" s="57"/>
    </row>
    <row r="27" spans="1:2" x14ac:dyDescent="0.2">
      <c r="A27" s="6" t="s">
        <v>106</v>
      </c>
      <c r="B27" s="116">
        <f>'Initial data'!C23</f>
        <v>-0.2</v>
      </c>
    </row>
    <row r="28" spans="1:2" x14ac:dyDescent="0.2">
      <c r="A28" s="7" t="s">
        <v>107</v>
      </c>
      <c r="B28" s="108">
        <f>'Initial data'!D23</f>
        <v>20.75</v>
      </c>
    </row>
    <row r="29" spans="1:2" x14ac:dyDescent="0.2">
      <c r="A29" s="133" t="s">
        <v>110</v>
      </c>
      <c r="B29" s="108">
        <f>'Initial data'!E23</f>
        <v>20.75</v>
      </c>
    </row>
    <row r="30" spans="1:2" x14ac:dyDescent="0.2">
      <c r="A30" s="133" t="s">
        <v>111</v>
      </c>
      <c r="B30" s="108">
        <f>'Initial data'!F23</f>
        <v>300</v>
      </c>
    </row>
    <row r="31" spans="1:2" ht="12" thickBot="1" x14ac:dyDescent="0.25">
      <c r="A31" s="135" t="s">
        <v>116</v>
      </c>
      <c r="B31" s="118">
        <f>'Initial data'!G23</f>
        <v>0</v>
      </c>
    </row>
    <row r="32" spans="1:2" ht="12" thickBot="1" x14ac:dyDescent="0.25">
      <c r="A32" s="44" t="s">
        <v>44</v>
      </c>
      <c r="B32" s="60">
        <f>B28/B15</f>
        <v>1.2205882352941178</v>
      </c>
    </row>
    <row r="33" spans="1:13" x14ac:dyDescent="0.2">
      <c r="A33" s="285" t="s">
        <v>117</v>
      </c>
      <c r="B33" s="286"/>
    </row>
    <row r="34" spans="1:13" x14ac:dyDescent="0.2">
      <c r="A34" s="287" t="s">
        <v>40</v>
      </c>
      <c r="B34" s="288"/>
    </row>
    <row r="35" spans="1:13" ht="12" thickBot="1" x14ac:dyDescent="0.25">
      <c r="A35" s="51" t="s">
        <v>8</v>
      </c>
      <c r="B35" s="61">
        <f>(7.04/B17^0.85)*B14</f>
        <v>401.58229656579465</v>
      </c>
    </row>
    <row r="38" spans="1:13" ht="12" thickBot="1" x14ac:dyDescent="0.25">
      <c r="A38" s="42"/>
      <c r="B38" s="42"/>
    </row>
    <row r="39" spans="1:13" ht="12.6" thickBot="1" x14ac:dyDescent="0.3">
      <c r="A39" s="263" t="s">
        <v>119</v>
      </c>
      <c r="B39" s="264"/>
      <c r="C39" s="264"/>
      <c r="D39" s="265"/>
    </row>
    <row r="40" spans="1:13" ht="12" thickBot="1" x14ac:dyDescent="0.25">
      <c r="A40" s="274" t="s">
        <v>122</v>
      </c>
      <c r="B40" s="277"/>
      <c r="C40" s="277"/>
      <c r="D40" s="278"/>
    </row>
    <row r="41" spans="1:13" x14ac:dyDescent="0.2">
      <c r="A41" s="11" t="s">
        <v>121</v>
      </c>
      <c r="B41" s="12" t="s">
        <v>42</v>
      </c>
      <c r="C41" s="12" t="s">
        <v>120</v>
      </c>
      <c r="D41" s="13" t="s">
        <v>4</v>
      </c>
    </row>
    <row r="42" spans="1:13" ht="12.6" thickBot="1" x14ac:dyDescent="0.3">
      <c r="A42" s="58" t="s">
        <v>41</v>
      </c>
      <c r="B42" s="62">
        <f>IF(B19*1852/3600&lt;I49,B19*1852/3600,I49)</f>
        <v>5.1444444444444448</v>
      </c>
      <c r="C42" s="62">
        <f>B42/SQRT(9.81*($B$27+$B$28))</f>
        <v>0.36232480302922987</v>
      </c>
      <c r="D42" s="63">
        <f xml:space="preserve">  IF($B$29=0,       (IF(B32&lt;1.2, (IF(B17&lt;0.8,          (((2*B17*B14*B15)/B13)*POWER(C42,2)/SQRT(1-POWER(C42,2))),         (0)     )),     (((2*B17*B14*B15)/B13)*POWER(C42,2)/SQRT(1-POWER(C42,2))))),(0))</f>
        <v>0</v>
      </c>
      <c r="E42" s="42"/>
      <c r="F42" s="42"/>
      <c r="G42" s="42"/>
      <c r="H42" s="42"/>
      <c r="I42" s="42"/>
      <c r="J42" s="42"/>
      <c r="K42" s="42"/>
      <c r="L42" s="42"/>
    </row>
    <row r="43" spans="1:13" x14ac:dyDescent="0.2">
      <c r="A43" s="42"/>
      <c r="B43" s="42"/>
      <c r="E43" s="42"/>
      <c r="F43" s="42"/>
      <c r="G43" s="42"/>
      <c r="H43" s="42"/>
      <c r="I43" s="42"/>
      <c r="J43" s="42"/>
      <c r="K43" s="42"/>
      <c r="L43" s="42"/>
    </row>
    <row r="44" spans="1:13" ht="12" thickBot="1" x14ac:dyDescent="0.25">
      <c r="A44" s="45"/>
      <c r="B44" s="45"/>
      <c r="E44" s="42"/>
      <c r="F44" s="42"/>
      <c r="G44" s="42"/>
      <c r="H44" s="42"/>
      <c r="I44" s="42"/>
      <c r="J44" s="42"/>
      <c r="K44" s="42"/>
      <c r="L44" s="42"/>
    </row>
    <row r="45" spans="1:13" ht="12.6" thickBot="1" x14ac:dyDescent="0.3">
      <c r="A45" s="263" t="s">
        <v>123</v>
      </c>
      <c r="B45" s="264"/>
      <c r="C45" s="264"/>
      <c r="D45" s="264"/>
      <c r="E45" s="264"/>
      <c r="F45" s="264"/>
      <c r="G45" s="264"/>
      <c r="H45" s="264"/>
      <c r="I45" s="264"/>
      <c r="J45" s="264"/>
      <c r="K45" s="264"/>
      <c r="L45" s="264"/>
      <c r="M45" s="265"/>
    </row>
    <row r="46" spans="1:13" ht="12" thickBot="1" x14ac:dyDescent="0.25">
      <c r="A46" s="274" t="s">
        <v>124</v>
      </c>
      <c r="B46" s="275"/>
      <c r="C46" s="275"/>
      <c r="D46" s="275"/>
      <c r="E46" s="275"/>
      <c r="F46" s="275"/>
      <c r="G46" s="275"/>
      <c r="H46" s="275"/>
      <c r="I46" s="275"/>
      <c r="J46" s="275"/>
      <c r="K46" s="275"/>
      <c r="L46" s="275"/>
      <c r="M46" s="276"/>
    </row>
    <row r="47" spans="1:13" ht="12.6" thickBot="1" x14ac:dyDescent="0.3">
      <c r="A47" s="271" t="s">
        <v>10</v>
      </c>
      <c r="B47" s="272"/>
      <c r="C47" s="272"/>
      <c r="D47" s="272"/>
      <c r="E47" s="272"/>
      <c r="F47" s="272"/>
      <c r="G47" s="272"/>
      <c r="H47" s="272"/>
      <c r="I47" s="272"/>
      <c r="J47" s="272"/>
      <c r="K47" s="272"/>
      <c r="L47" s="272"/>
      <c r="M47" s="273"/>
    </row>
    <row r="48" spans="1:13" x14ac:dyDescent="0.2">
      <c r="A48" s="11" t="s">
        <v>121</v>
      </c>
      <c r="B48" s="12" t="s">
        <v>1</v>
      </c>
      <c r="C48" s="12" t="s">
        <v>2</v>
      </c>
      <c r="D48" s="12" t="s">
        <v>3</v>
      </c>
      <c r="E48" s="12" t="s">
        <v>12</v>
      </c>
      <c r="F48" s="12" t="s">
        <v>13</v>
      </c>
      <c r="G48" s="12" t="s">
        <v>14</v>
      </c>
      <c r="H48" s="12" t="s">
        <v>15</v>
      </c>
      <c r="I48" s="19" t="s">
        <v>125</v>
      </c>
      <c r="J48" s="19" t="s">
        <v>17</v>
      </c>
      <c r="K48" s="19" t="s">
        <v>18</v>
      </c>
      <c r="L48" s="19" t="s">
        <v>19</v>
      </c>
      <c r="M48" s="20" t="s">
        <v>4</v>
      </c>
    </row>
    <row r="49" spans="1:16" ht="12.6" thickBot="1" x14ac:dyDescent="0.3">
      <c r="A49" s="137" t="s">
        <v>39</v>
      </c>
      <c r="B49" s="138">
        <f>0.98*$B$14*$B$15</f>
        <v>799.68</v>
      </c>
      <c r="C49" s="138">
        <f>IF($B$29=0,IF($B$30&lt;$B$35,$B$30*($B$27+$B$28)+$B$31*POWER($B$27+$B$28,2),$B$35*($B$27+$B$28)+$B$31*POWER($B$27+$B$28,2)),$B$30*($B$27+$B$28)+$B$31*POWER($B$27+$B$28,2))</f>
        <v>6165</v>
      </c>
      <c r="D49" s="139">
        <f>B49/C49</f>
        <v>0.12971289537712893</v>
      </c>
      <c r="E49" s="139">
        <f>POWER(2*COS((PI()+ACOS(1-D49))/3),1.5)</f>
        <v>0.57243095484554007</v>
      </c>
      <c r="F49" s="139">
        <f>IF($B$29=0,IF($B$30&lt;$B$35,C49/($B$30+2*$B$31*($B$27+$B$28)),C49/($B$35+2*$B$31*($B$27+$B$28))),C49/($B$30+2*$B$31*($B$27+$B$28)))</f>
        <v>20.55</v>
      </c>
      <c r="G49" s="139">
        <f>0.58*POWER(($B$27+$B$28)*$B$13/$B$15/$B$14,0.125)</f>
        <v>0.73356714258821765</v>
      </c>
      <c r="H49" s="139">
        <f>($B$27+$B$28)-$B$29*(1-F49/($B$27+$B$28))</f>
        <v>20.55</v>
      </c>
      <c r="I49" s="140">
        <f>IF($B$29=0, G49*SQRT(9.81*($B$27+$B$28)),IF($B$29&lt;($B$28+$B$27),(G49*(1-$B$29/($B$28+$B$27))+E49*$B$29/($B$28+$B$27))*SQRT(9.81*H49),E49*SQRT(9.81*F49)))</f>
        <v>8.1276225664451633</v>
      </c>
      <c r="J49" s="140">
        <f>0.155*SQRT(($B$27+$B$28)/$B$15)</f>
        <v>0.17041709214194936</v>
      </c>
      <c r="K49" s="140">
        <f>POWER(10*$B$14*$B$17/$B$13,2)</f>
        <v>2.270689487652755</v>
      </c>
      <c r="L49" s="140">
        <f>8*POWER(B42/I49,2)*(POWER(B42/I49-0.5,4)+0.0625)</f>
        <v>0.20131958163789407</v>
      </c>
      <c r="M49" s="141">
        <f>IF($B$29=0,(IF(B32&lt;1.2,(IF(B17&gt;=0.8,(L49*K49*J49*B15),(0))),(L49*K49*J49*B15)   )   ),(IF(B28=B29,(IF(B28/B15&lt;1.2,(IF(B17&gt;0.8,(IF(B19&gt;=7,(L49*K49*J49*B15),(0))),(L49*K49*J49*B15))),(L49*K49*J49*B15))),(0))))</f>
        <v>1.3243593455200582</v>
      </c>
    </row>
    <row r="50" spans="1:16" ht="12.6" thickBot="1" x14ac:dyDescent="0.3">
      <c r="A50" s="15"/>
      <c r="B50" s="39"/>
      <c r="C50" s="39"/>
      <c r="D50" s="39"/>
      <c r="E50" s="39"/>
      <c r="F50" s="41"/>
      <c r="G50" s="3"/>
      <c r="H50" s="31"/>
      <c r="I50" s="31"/>
      <c r="J50" s="31"/>
      <c r="K50" s="31"/>
      <c r="L50" s="31"/>
      <c r="M50" s="31"/>
    </row>
    <row r="51" spans="1:16" ht="12.6" thickBot="1" x14ac:dyDescent="0.3">
      <c r="A51" s="271" t="s">
        <v>11</v>
      </c>
      <c r="B51" s="272"/>
      <c r="C51" s="272"/>
      <c r="D51" s="272"/>
      <c r="E51" s="272"/>
      <c r="F51" s="272"/>
      <c r="G51" s="272"/>
      <c r="H51" s="272"/>
      <c r="I51" s="272"/>
      <c r="J51" s="272"/>
      <c r="K51" s="272"/>
      <c r="L51" s="272"/>
      <c r="M51" s="273"/>
    </row>
    <row r="52" spans="1:16" x14ac:dyDescent="0.2">
      <c r="A52" s="11" t="s">
        <v>126</v>
      </c>
      <c r="B52" s="12" t="s">
        <v>1</v>
      </c>
      <c r="C52" s="12" t="s">
        <v>2</v>
      </c>
      <c r="D52" s="12" t="s">
        <v>3</v>
      </c>
      <c r="E52" s="12" t="s">
        <v>12</v>
      </c>
      <c r="F52" s="12" t="s">
        <v>13</v>
      </c>
      <c r="G52" s="12" t="s">
        <v>14</v>
      </c>
      <c r="H52" s="12" t="s">
        <v>15</v>
      </c>
      <c r="I52" s="19" t="s">
        <v>125</v>
      </c>
      <c r="J52" s="19" t="s">
        <v>17</v>
      </c>
      <c r="K52" s="19" t="s">
        <v>18</v>
      </c>
      <c r="L52" s="19" t="s">
        <v>19</v>
      </c>
      <c r="M52" s="20" t="s">
        <v>20</v>
      </c>
    </row>
    <row r="53" spans="1:16" ht="12.6" thickBot="1" x14ac:dyDescent="0.3">
      <c r="A53" s="137" t="s">
        <v>39</v>
      </c>
      <c r="B53" s="138">
        <f>0.98*$B$14*$B$15</f>
        <v>799.68</v>
      </c>
      <c r="C53" s="138">
        <f>IF($B$29=0,IF($B$30&lt;$B$35,$B$30*($B$27+$B$28)+$B$31*POWER($B$27+$B$28,2),$B$35*($B$27+$B$28)+$B$31*POWER($B$27+$B$28,2)),$B$30*($B$27+$B$28)+$B$31*POWER($B$27+$B$28,2))</f>
        <v>6165</v>
      </c>
      <c r="D53" s="139">
        <f>B53/C53</f>
        <v>0.12971289537712893</v>
      </c>
      <c r="E53" s="139">
        <f>POWER(2*COS((PI()+ACOS(1-D53))/3),1.5)</f>
        <v>0.57243095484554007</v>
      </c>
      <c r="F53" s="139">
        <f>IF($B$29=0,IF($B$30&lt;$B$35,C53/($B$30+2*$B$31*($B$27+$B$28)),C53/($B$35+2*$B$31*($B$27+$B$28))),C53/($B$30+2*$B$31*($B$27+$B$28)))</f>
        <v>20.55</v>
      </c>
      <c r="G53" s="139">
        <f>0.58*POWER(($B$27+$B$28)*$B$13/$B$15/$B$14,0.125)</f>
        <v>0.73356714258821765</v>
      </c>
      <c r="H53" s="139">
        <f>($B$27+$B$28)-$B$29*(1-F53/($B$27+$B$28))</f>
        <v>20.55</v>
      </c>
      <c r="I53" s="140">
        <f>IF($B$29=0, G53*SQRT(9.81*($B$27+$B$28)),IF($B$29&lt;($B$28+$B$27),(G53*(1-$B$29/($B$28+$B$27))+E53*$B$29/($B$28+$B$27))*SQRT(9.81*H53),E53*SQRT(9.81*F53)))</f>
        <v>8.1276225664451633</v>
      </c>
      <c r="J53" s="140">
        <f>0.155*SQRT(($B$27+$B$28)/$B$15)</f>
        <v>0.17041709214194936</v>
      </c>
      <c r="K53" s="140">
        <v>1</v>
      </c>
      <c r="L53" s="140">
        <f>8*POWER(B42/I53,2)*(POWER(B42/I53-0.5,4)+0.0625)</f>
        <v>0.20131958163789407</v>
      </c>
      <c r="M53" s="141">
        <f>IF($B$29=0,(IF(B32&lt;1.2,(IF(B17&gt;=0.8,(L53*K53*J53*B15),(0))),(L53*K53*J53*B15))),(IF(B28=B29,(IF(B28/B15&lt;1.2,(IF(B17&gt;0.8,(IF(B19&gt;=7,(L53*K53*J53*B15),(0))),(L53*K53*J53*B15))),(L53*K53*J53*B15))),(0))))</f>
        <v>0.5832410607973828</v>
      </c>
    </row>
    <row r="54" spans="1:16" x14ac:dyDescent="0.2">
      <c r="A54" s="15"/>
      <c r="B54" s="39"/>
    </row>
    <row r="55" spans="1:16" ht="12" thickBot="1" x14ac:dyDescent="0.25">
      <c r="A55" s="45"/>
      <c r="B55" s="45"/>
    </row>
    <row r="56" spans="1:16" ht="12.6" thickBot="1" x14ac:dyDescent="0.3">
      <c r="A56" s="263" t="s">
        <v>127</v>
      </c>
      <c r="B56" s="264"/>
      <c r="C56" s="264"/>
      <c r="D56" s="264"/>
      <c r="E56" s="264"/>
      <c r="F56" s="264"/>
      <c r="G56" s="264"/>
      <c r="H56" s="264"/>
      <c r="I56" s="264"/>
      <c r="J56" s="264"/>
      <c r="K56" s="265"/>
    </row>
    <row r="57" spans="1:16" ht="12" thickBot="1" x14ac:dyDescent="0.25">
      <c r="A57" s="274" t="s">
        <v>128</v>
      </c>
      <c r="B57" s="275"/>
      <c r="C57" s="275"/>
      <c r="D57" s="275"/>
      <c r="E57" s="275"/>
      <c r="F57" s="275"/>
      <c r="G57" s="275"/>
      <c r="H57" s="275"/>
      <c r="I57" s="275"/>
      <c r="J57" s="275"/>
      <c r="K57" s="276"/>
    </row>
    <row r="58" spans="1:16" ht="12" x14ac:dyDescent="0.25">
      <c r="A58" s="11" t="s">
        <v>129</v>
      </c>
      <c r="B58" s="12" t="s">
        <v>23</v>
      </c>
      <c r="C58" s="12" t="s">
        <v>24</v>
      </c>
      <c r="D58" s="12" t="s">
        <v>25</v>
      </c>
      <c r="E58" s="12" t="s">
        <v>26</v>
      </c>
      <c r="F58" s="12" t="s">
        <v>1</v>
      </c>
      <c r="G58" s="12" t="s">
        <v>2</v>
      </c>
      <c r="H58" s="12" t="s">
        <v>3</v>
      </c>
      <c r="I58" s="19" t="s">
        <v>27</v>
      </c>
      <c r="J58" s="19" t="s">
        <v>37</v>
      </c>
      <c r="K58" s="29" t="s">
        <v>28</v>
      </c>
    </row>
    <row r="59" spans="1:16" ht="12" x14ac:dyDescent="0.25">
      <c r="A59" s="47" t="s">
        <v>22</v>
      </c>
      <c r="B59" s="64">
        <f>IF(B20=1, 0.15,0.13)</f>
        <v>0.15</v>
      </c>
      <c r="C59" s="66">
        <f>1.7*$B$17*($B$14*$B$15/($B$13^2))+0.004*($B$17^2)</f>
        <v>1.9414465123473161E-2</v>
      </c>
      <c r="D59" s="66">
        <f>POWER(C42,1.8+0.4*C42)</f>
        <v>0.13882786150736262</v>
      </c>
      <c r="E59" s="64">
        <f>1+0.35/B32^2</f>
        <v>1.2349252431412396</v>
      </c>
      <c r="F59" s="64">
        <f>0.98*$B$14*$B$15</f>
        <v>799.68</v>
      </c>
      <c r="G59" s="64">
        <f>IF($B$29=0,IF($B$30&lt;$B$35,$B$30*($B$27+$B$28)+$B$31*POWER($B$27+$B$28,2),$B$35*($B$27+$B$28)+$B$31*POWER($B$27+$B$28,2)),$B$30*($B$27+$B$28)+$B$31*POWER($B$27+$B$28,2))</f>
        <v>6165</v>
      </c>
      <c r="H59" s="65">
        <f>F59/G59</f>
        <v>0.12971289537712893</v>
      </c>
      <c r="I59" s="67">
        <f>$B$17*H59*$B$15*$B$29/($B$27+$B$28)^2</f>
        <v>8.8437714140059021E-2</v>
      </c>
      <c r="J59" s="66">
        <f>IF($B$29=0,1,1+10*I59-1.5*(1+I59)*SQRT(I59))</f>
        <v>1.3988499075872562</v>
      </c>
      <c r="K59" s="68">
        <f>$B$13*(1+B59)*C59*D59*E59*J59</f>
        <v>1.392146817419061</v>
      </c>
    </row>
    <row r="60" spans="1:16" ht="12" thickBot="1" x14ac:dyDescent="0.25">
      <c r="A60" s="48" t="s">
        <v>6</v>
      </c>
      <c r="B60" s="14"/>
      <c r="C60" s="17" t="s">
        <v>9</v>
      </c>
      <c r="D60" s="10" t="s">
        <v>29</v>
      </c>
      <c r="E60" s="10" t="s">
        <v>9</v>
      </c>
      <c r="F60" s="10"/>
      <c r="G60" s="10"/>
      <c r="H60" s="10" t="s">
        <v>9</v>
      </c>
      <c r="I60" s="21"/>
      <c r="J60" s="21"/>
      <c r="K60" s="22"/>
    </row>
    <row r="61" spans="1:16" ht="12" thickBot="1" x14ac:dyDescent="0.25">
      <c r="A61" s="274" t="s">
        <v>130</v>
      </c>
      <c r="B61" s="275"/>
      <c r="C61" s="275"/>
      <c r="D61" s="275"/>
      <c r="E61" s="275"/>
      <c r="F61" s="275"/>
      <c r="G61" s="275"/>
      <c r="H61" s="275"/>
      <c r="I61" s="275"/>
      <c r="J61" s="275"/>
      <c r="K61" s="276"/>
    </row>
    <row r="62" spans="1:16" ht="12" x14ac:dyDescent="0.25">
      <c r="A62" s="24" t="s">
        <v>38</v>
      </c>
      <c r="B62" s="12" t="s">
        <v>23</v>
      </c>
      <c r="C62" s="12" t="s">
        <v>32</v>
      </c>
      <c r="D62" s="12" t="s">
        <v>33</v>
      </c>
      <c r="E62" s="12" t="s">
        <v>34</v>
      </c>
      <c r="F62" s="12" t="s">
        <v>35</v>
      </c>
      <c r="G62" s="12" t="s">
        <v>36</v>
      </c>
      <c r="H62" s="12" t="s">
        <v>24</v>
      </c>
      <c r="I62" s="12" t="s">
        <v>25</v>
      </c>
      <c r="J62" s="12" t="s">
        <v>31</v>
      </c>
      <c r="K62" s="12" t="s">
        <v>1</v>
      </c>
      <c r="L62" s="12" t="s">
        <v>2</v>
      </c>
      <c r="M62" s="12" t="s">
        <v>3</v>
      </c>
      <c r="N62" s="19" t="s">
        <v>27</v>
      </c>
      <c r="O62" s="19" t="s">
        <v>30</v>
      </c>
      <c r="P62" s="29" t="s">
        <v>38</v>
      </c>
    </row>
    <row r="63" spans="1:16" ht="12" x14ac:dyDescent="0.25">
      <c r="A63" s="46" t="s">
        <v>22</v>
      </c>
      <c r="B63" s="64">
        <f>IF(B20=1, 0.15,0.13)</f>
        <v>0.15</v>
      </c>
      <c r="C63" s="64">
        <f>IF(B20=1, 0.15,0.2)</f>
        <v>0.15</v>
      </c>
      <c r="D63" s="69">
        <f>IF(B21="O",0.1,0)</f>
        <v>0.1</v>
      </c>
      <c r="E63" s="69">
        <f>IF(B22="O",0.04,0)</f>
        <v>0.04</v>
      </c>
      <c r="F63" s="69">
        <f>(B24-B23)/(B23+B24)</f>
        <v>0</v>
      </c>
      <c r="G63" s="66">
        <f>POWER($B$17,2+(0.8*J59/$B$17))-(0.15*B63+C63)-(D63+E63+F63)</f>
        <v>0.19182593837806194</v>
      </c>
      <c r="H63" s="66">
        <f>1.7*$B$17*($B$14*$B$15/($B$13^2))+0.004*($B$17^2)</f>
        <v>1.9414465123473161E-2</v>
      </c>
      <c r="I63" s="66">
        <f>POWER(C42,1.8+0.4*C42)</f>
        <v>0.13882786150736262</v>
      </c>
      <c r="J63" s="64">
        <f>1-EXP(2.5*(1-B32)/C42)</f>
        <v>0.78173247210361241</v>
      </c>
      <c r="K63" s="64">
        <f>0.98*$B$14*$B$15</f>
        <v>799.68</v>
      </c>
      <c r="L63" s="64">
        <f>IF($B$29=0,IF($B$30&lt;$B$35,$B$30*($B$27+$B$28)+$B$31*POWER($B$27+$B$28,2),$B$35*($B$27+$B$28)+$B$31*POWER($B$27+$B$28,2)),$B$30*($B$27+$B$28)+$B$31*POWER($B$27+$B$28,2))</f>
        <v>6165</v>
      </c>
      <c r="M63" s="65">
        <f>K63/L63</f>
        <v>0.12971289537712893</v>
      </c>
      <c r="N63" s="67">
        <f>$B$17*M63*$B$15*$B$29/($B$27+$B$28)^2</f>
        <v>8.8437714140059021E-2</v>
      </c>
      <c r="O63" s="66">
        <f>IF($B$29=0,1,1-5*N63)</f>
        <v>0.55781142929970495</v>
      </c>
      <c r="P63" s="68">
        <f>-$B$13*1.7*H63*I63*J63*G63*O63</f>
        <v>-9.9649982208419724E-2</v>
      </c>
    </row>
    <row r="64" spans="1:16" ht="12" thickBot="1" x14ac:dyDescent="0.25">
      <c r="A64" s="50" t="s">
        <v>6</v>
      </c>
      <c r="B64" s="28"/>
      <c r="C64" s="17" t="s">
        <v>9</v>
      </c>
      <c r="D64" s="23" t="s">
        <v>29</v>
      </c>
      <c r="E64" s="23" t="s">
        <v>9</v>
      </c>
      <c r="F64" s="23"/>
      <c r="G64" s="23"/>
      <c r="H64" s="10" t="s">
        <v>9</v>
      </c>
      <c r="I64" s="21"/>
      <c r="J64" s="21"/>
      <c r="K64" s="26"/>
      <c r="L64" s="27"/>
      <c r="M64" s="25"/>
      <c r="N64" s="25"/>
      <c r="O64" s="25"/>
      <c r="P64" s="18"/>
    </row>
    <row r="65" spans="1:15" ht="12" x14ac:dyDescent="0.25">
      <c r="A65" s="49" t="s">
        <v>121</v>
      </c>
      <c r="B65" s="70">
        <f>IF(AND($B$29&lt;($B$28+$B$27),B29&gt;0),(K59-0.5*P63),(IF(B28=B29,(IF(B28/B15&lt;1.2,(IF(B17&gt;0.8,(IF(B19&lt;7,(K59-0.5*P63),(0))),(K59-0.5*P63))),(K59-0.5*P63))),(0))))</f>
        <v>1.4419718085232709</v>
      </c>
    </row>
    <row r="66" spans="1:15" ht="12.6" thickBot="1" x14ac:dyDescent="0.3">
      <c r="A66" s="142" t="s">
        <v>126</v>
      </c>
      <c r="B66" s="143">
        <f>IF(AND($B$29&lt;($B$28+$B$27),B29&gt;0),(K59+0.5*P63),(IF(B28=B29,(IF(B28/B15&lt;1.2,(IF(B17&gt;0.8,(IF(B19&lt;7,(K59+0.5*P63),(0))),(K59+0.5*P63))),(K59+0.5*P63))),(0))))</f>
        <v>1.3423218263148511</v>
      </c>
    </row>
    <row r="67" spans="1:15" x14ac:dyDescent="0.2">
      <c r="A67" s="31"/>
      <c r="B67" s="31"/>
    </row>
    <row r="68" spans="1:15" x14ac:dyDescent="0.2">
      <c r="A68" s="31"/>
      <c r="B68" s="31"/>
    </row>
    <row r="69" spans="1:15" ht="12" x14ac:dyDescent="0.25">
      <c r="A69" s="16"/>
      <c r="B69" s="16"/>
    </row>
    <row r="70" spans="1:15" x14ac:dyDescent="0.2">
      <c r="A70" s="1"/>
      <c r="B70" s="1"/>
    </row>
    <row r="71" spans="1:15" x14ac:dyDescent="0.2">
      <c r="A71" s="32"/>
      <c r="B71" s="32"/>
      <c r="C71" s="31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</row>
    <row r="72" spans="1:15" x14ac:dyDescent="0.2">
      <c r="A72" s="30"/>
      <c r="B72" s="37"/>
      <c r="C72" s="31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</row>
    <row r="73" spans="1:15" ht="12" x14ac:dyDescent="0.25">
      <c r="A73" s="30"/>
      <c r="B73" s="30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31"/>
      <c r="O73" s="31"/>
    </row>
    <row r="74" spans="1:15" ht="12" x14ac:dyDescent="0.25">
      <c r="A74" s="32"/>
      <c r="B74" s="33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31"/>
      <c r="O74" s="31"/>
    </row>
    <row r="75" spans="1:15" x14ac:dyDescent="0.2">
      <c r="A75" s="30"/>
      <c r="B75" s="37"/>
      <c r="C75" s="32"/>
      <c r="D75" s="32"/>
      <c r="E75" s="32"/>
      <c r="F75" s="32"/>
      <c r="G75" s="32"/>
      <c r="H75" s="32"/>
      <c r="I75" s="32"/>
      <c r="J75" s="32"/>
      <c r="K75" s="32"/>
      <c r="L75" s="32"/>
      <c r="M75" s="31"/>
      <c r="N75" s="31"/>
      <c r="O75" s="31"/>
    </row>
    <row r="76" spans="1:15" x14ac:dyDescent="0.2">
      <c r="A76" s="15"/>
      <c r="B76" s="8"/>
      <c r="C76" s="36"/>
      <c r="D76" s="36"/>
      <c r="E76" s="36"/>
      <c r="F76" s="38"/>
      <c r="G76" s="37"/>
      <c r="H76" s="37"/>
      <c r="I76" s="38"/>
      <c r="J76" s="37"/>
      <c r="K76" s="38"/>
      <c r="L76" s="36"/>
      <c r="M76" s="31"/>
      <c r="N76" s="31"/>
      <c r="O76" s="31"/>
    </row>
    <row r="77" spans="1:15" x14ac:dyDescent="0.2">
      <c r="A77" s="1"/>
      <c r="B77" s="1"/>
      <c r="C77" s="30"/>
      <c r="D77" s="30"/>
      <c r="E77" s="30"/>
      <c r="F77" s="30"/>
      <c r="G77" s="30"/>
      <c r="H77" s="30"/>
      <c r="I77" s="30"/>
      <c r="J77" s="30"/>
      <c r="K77" s="30"/>
      <c r="L77" s="31"/>
      <c r="M77" s="31"/>
      <c r="N77" s="31"/>
      <c r="O77" s="31"/>
    </row>
    <row r="78" spans="1:15" ht="12" x14ac:dyDescent="0.25">
      <c r="A78" s="32"/>
      <c r="B78" s="33"/>
      <c r="C78" s="33"/>
      <c r="D78" s="32"/>
      <c r="E78" s="32"/>
      <c r="F78" s="33"/>
      <c r="G78" s="32"/>
      <c r="H78" s="32"/>
      <c r="I78" s="32"/>
      <c r="J78" s="33"/>
      <c r="K78" s="32"/>
      <c r="L78" s="33"/>
      <c r="M78" s="33"/>
      <c r="N78" s="31"/>
      <c r="O78" s="31"/>
    </row>
    <row r="79" spans="1:15" x14ac:dyDescent="0.2">
      <c r="A79" s="30"/>
      <c r="B79" s="37"/>
      <c r="C79" s="37"/>
      <c r="D79" s="36"/>
      <c r="E79" s="37"/>
      <c r="F79" s="36"/>
      <c r="G79" s="36"/>
      <c r="H79" s="38"/>
      <c r="I79" s="34"/>
      <c r="J79" s="36"/>
      <c r="K79" s="35"/>
      <c r="L79" s="36"/>
      <c r="M79" s="35"/>
      <c r="N79" s="31"/>
      <c r="O79" s="31"/>
    </row>
    <row r="80" spans="1:15" x14ac:dyDescent="0.2">
      <c r="A80" s="15"/>
      <c r="B80" s="8"/>
      <c r="C80" s="8"/>
      <c r="D80" s="39"/>
      <c r="E80" s="39"/>
      <c r="F80" s="39"/>
      <c r="G80" s="39"/>
      <c r="H80" s="39"/>
      <c r="I80" s="31"/>
      <c r="J80" s="31"/>
      <c r="K80" s="32"/>
      <c r="L80" s="31"/>
      <c r="M80" s="32"/>
      <c r="N80" s="31"/>
      <c r="O80" s="31"/>
    </row>
    <row r="81" spans="1:15" ht="12" x14ac:dyDescent="0.25">
      <c r="A81" s="40"/>
      <c r="B81" s="3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31"/>
      <c r="O81" s="31"/>
    </row>
    <row r="82" spans="1:15" ht="12" x14ac:dyDescent="0.25">
      <c r="A82" s="31"/>
      <c r="B82" s="31"/>
      <c r="C82" s="33"/>
      <c r="D82" s="33"/>
      <c r="E82" s="32"/>
      <c r="F82" s="32"/>
      <c r="G82" s="32"/>
      <c r="H82" s="33"/>
      <c r="I82" s="32"/>
      <c r="J82" s="33"/>
      <c r="K82" s="33"/>
      <c r="L82" s="31"/>
      <c r="M82" s="31"/>
      <c r="N82" s="31"/>
      <c r="O82" s="31"/>
    </row>
    <row r="83" spans="1:15" x14ac:dyDescent="0.2">
      <c r="C83" s="37"/>
      <c r="D83" s="36"/>
      <c r="E83" s="36"/>
      <c r="F83" s="38"/>
      <c r="G83" s="36"/>
      <c r="H83" s="36"/>
      <c r="I83" s="35"/>
      <c r="J83" s="36"/>
      <c r="K83" s="35"/>
      <c r="L83" s="31"/>
      <c r="M83" s="31"/>
      <c r="N83" s="31"/>
      <c r="O83" s="31"/>
    </row>
    <row r="84" spans="1:15" x14ac:dyDescent="0.2">
      <c r="C84" s="8"/>
      <c r="D84" s="39"/>
      <c r="E84" s="39"/>
      <c r="F84" s="39"/>
      <c r="G84" s="39"/>
      <c r="H84" s="39"/>
      <c r="I84" s="31"/>
      <c r="J84" s="31"/>
      <c r="K84" s="32"/>
      <c r="L84" s="31"/>
      <c r="M84" s="32"/>
      <c r="N84" s="31"/>
      <c r="O84" s="31"/>
    </row>
    <row r="85" spans="1:15" x14ac:dyDescent="0.2">
      <c r="C85" s="31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</row>
    <row r="86" spans="1:15" x14ac:dyDescent="0.2">
      <c r="C86" s="31"/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</row>
  </sheetData>
  <sheetProtection sheet="1" objects="1" scenarios="1"/>
  <mergeCells count="14">
    <mergeCell ref="A39:D39"/>
    <mergeCell ref="F2:J2"/>
    <mergeCell ref="A10:B10"/>
    <mergeCell ref="A12:B12"/>
    <mergeCell ref="A33:B33"/>
    <mergeCell ref="A34:B34"/>
    <mergeCell ref="A57:K57"/>
    <mergeCell ref="A61:K61"/>
    <mergeCell ref="A40:D40"/>
    <mergeCell ref="A45:M45"/>
    <mergeCell ref="A46:M46"/>
    <mergeCell ref="A47:M47"/>
    <mergeCell ref="A51:M51"/>
    <mergeCell ref="A56:K56"/>
  </mergeCells>
  <pageMargins left="0.78740157499999996" right="0.78740157499999996" top="0.984251969" bottom="0.984251969" header="0.4921259845" footer="0.4921259845"/>
  <pageSetup paperSize="9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6"/>
  <sheetViews>
    <sheetView topLeftCell="A43" workbookViewId="0">
      <selection activeCell="I52" sqref="I52"/>
    </sheetView>
  </sheetViews>
  <sheetFormatPr baseColWidth="10" defaultRowHeight="11.4" x14ac:dyDescent="0.2"/>
  <cols>
    <col min="1" max="1" width="23.25" customWidth="1"/>
    <col min="9" max="9" width="13.875" customWidth="1"/>
  </cols>
  <sheetData>
    <row r="1" spans="1:10" ht="12" thickBot="1" x14ac:dyDescent="0.25"/>
    <row r="2" spans="1:10" ht="21" thickBot="1" x14ac:dyDescent="0.4">
      <c r="F2" s="279" t="s">
        <v>43</v>
      </c>
      <c r="G2" s="280"/>
      <c r="H2" s="280"/>
      <c r="I2" s="280"/>
      <c r="J2" s="281"/>
    </row>
    <row r="10" spans="1:10" x14ac:dyDescent="0.2">
      <c r="A10" s="282"/>
      <c r="B10" s="282"/>
    </row>
    <row r="11" spans="1:10" ht="12" thickBot="1" x14ac:dyDescent="0.25"/>
    <row r="12" spans="1:10" ht="12" thickBot="1" x14ac:dyDescent="0.25">
      <c r="A12" s="283" t="s">
        <v>99</v>
      </c>
      <c r="B12" s="284"/>
    </row>
    <row r="13" spans="1:10" x14ac:dyDescent="0.2">
      <c r="A13" s="4" t="s">
        <v>0</v>
      </c>
      <c r="B13" s="106">
        <f>'Initial data'!C8</f>
        <v>260</v>
      </c>
    </row>
    <row r="14" spans="1:10" x14ac:dyDescent="0.2">
      <c r="A14" s="109" t="s">
        <v>86</v>
      </c>
      <c r="B14" s="107">
        <f>'Initial data'!D8</f>
        <v>48</v>
      </c>
    </row>
    <row r="15" spans="1:10" x14ac:dyDescent="0.2">
      <c r="A15" s="109" t="s">
        <v>91</v>
      </c>
      <c r="B15" s="59">
        <f>(B23+B24)/2</f>
        <v>17</v>
      </c>
    </row>
    <row r="16" spans="1:10" x14ac:dyDescent="0.2">
      <c r="A16" s="109" t="s">
        <v>105</v>
      </c>
      <c r="B16" s="125">
        <f>B17*B13*B14*B15</f>
        <v>173170.73170731709</v>
      </c>
    </row>
    <row r="17" spans="1:2" x14ac:dyDescent="0.2">
      <c r="A17" s="5" t="s">
        <v>5</v>
      </c>
      <c r="B17" s="108">
        <f>'Initial data'!J8</f>
        <v>0.81622705367325177</v>
      </c>
    </row>
    <row r="18" spans="1:2" x14ac:dyDescent="0.2">
      <c r="A18" s="9" t="s">
        <v>7</v>
      </c>
      <c r="B18" s="108">
        <f>'Initial data'!K8</f>
        <v>0.9</v>
      </c>
    </row>
    <row r="19" spans="1:2" ht="12" thickBot="1" x14ac:dyDescent="0.25">
      <c r="A19" s="110" t="s">
        <v>87</v>
      </c>
      <c r="B19" s="74">
        <v>12</v>
      </c>
    </row>
    <row r="20" spans="1:2" x14ac:dyDescent="0.2">
      <c r="A20" s="113" t="s">
        <v>89</v>
      </c>
      <c r="B20" s="116">
        <f>'Initial data'!L8</f>
        <v>1</v>
      </c>
    </row>
    <row r="21" spans="1:2" x14ac:dyDescent="0.2">
      <c r="A21" s="114" t="s">
        <v>92</v>
      </c>
      <c r="B21" s="108" t="str">
        <f>'Initial data'!M8</f>
        <v>O</v>
      </c>
    </row>
    <row r="22" spans="1:2" ht="11.55" customHeight="1" x14ac:dyDescent="0.2">
      <c r="A22" s="114" t="s">
        <v>94</v>
      </c>
      <c r="B22" s="108" t="str">
        <f>'Initial data'!N8</f>
        <v>O</v>
      </c>
    </row>
    <row r="23" spans="1:2" x14ac:dyDescent="0.2">
      <c r="A23" s="115" t="s">
        <v>97</v>
      </c>
      <c r="B23" s="108">
        <f>'Initial data'!E8</f>
        <v>17</v>
      </c>
    </row>
    <row r="24" spans="1:2" ht="12" thickBot="1" x14ac:dyDescent="0.25">
      <c r="A24" s="117" t="s">
        <v>98</v>
      </c>
      <c r="B24" s="118">
        <f>'Initial data'!F8</f>
        <v>17</v>
      </c>
    </row>
    <row r="25" spans="1:2" ht="12" thickBot="1" x14ac:dyDescent="0.25"/>
    <row r="26" spans="1:2" ht="12" thickBot="1" x14ac:dyDescent="0.25">
      <c r="A26" s="111" t="s">
        <v>102</v>
      </c>
      <c r="B26" s="57"/>
    </row>
    <row r="27" spans="1:2" x14ac:dyDescent="0.2">
      <c r="A27" s="6" t="s">
        <v>106</v>
      </c>
      <c r="B27" s="116">
        <f>'Initial data'!C23</f>
        <v>-0.2</v>
      </c>
    </row>
    <row r="28" spans="1:2" x14ac:dyDescent="0.2">
      <c r="A28" s="7" t="s">
        <v>107</v>
      </c>
      <c r="B28" s="108">
        <f>'Initial data'!D23</f>
        <v>20.75</v>
      </c>
    </row>
    <row r="29" spans="1:2" x14ac:dyDescent="0.2">
      <c r="A29" s="133" t="s">
        <v>110</v>
      </c>
      <c r="B29" s="108">
        <f>'Initial data'!E23</f>
        <v>20.75</v>
      </c>
    </row>
    <row r="30" spans="1:2" x14ac:dyDescent="0.2">
      <c r="A30" s="133" t="s">
        <v>111</v>
      </c>
      <c r="B30" s="108">
        <f>'Initial data'!F23</f>
        <v>300</v>
      </c>
    </row>
    <row r="31" spans="1:2" ht="12" thickBot="1" x14ac:dyDescent="0.25">
      <c r="A31" s="135" t="s">
        <v>116</v>
      </c>
      <c r="B31" s="118">
        <f>'Initial data'!G23</f>
        <v>0</v>
      </c>
    </row>
    <row r="32" spans="1:2" ht="12" thickBot="1" x14ac:dyDescent="0.25">
      <c r="A32" s="44" t="s">
        <v>44</v>
      </c>
      <c r="B32" s="60">
        <f>B28/B15</f>
        <v>1.2205882352941178</v>
      </c>
    </row>
    <row r="33" spans="1:13" x14ac:dyDescent="0.2">
      <c r="A33" s="285" t="s">
        <v>117</v>
      </c>
      <c r="B33" s="286"/>
    </row>
    <row r="34" spans="1:13" x14ac:dyDescent="0.2">
      <c r="A34" s="287" t="s">
        <v>40</v>
      </c>
      <c r="B34" s="288"/>
    </row>
    <row r="35" spans="1:13" ht="12" thickBot="1" x14ac:dyDescent="0.25">
      <c r="A35" s="51" t="s">
        <v>8</v>
      </c>
      <c r="B35" s="61">
        <f>(7.04/B17^0.85)*B14</f>
        <v>401.58229656579465</v>
      </c>
    </row>
    <row r="38" spans="1:13" ht="12" thickBot="1" x14ac:dyDescent="0.25">
      <c r="A38" s="42"/>
      <c r="B38" s="42"/>
    </row>
    <row r="39" spans="1:13" ht="12.6" thickBot="1" x14ac:dyDescent="0.3">
      <c r="A39" s="263" t="s">
        <v>119</v>
      </c>
      <c r="B39" s="264"/>
      <c r="C39" s="264"/>
      <c r="D39" s="265"/>
    </row>
    <row r="40" spans="1:13" ht="12" thickBot="1" x14ac:dyDescent="0.25">
      <c r="A40" s="274" t="s">
        <v>122</v>
      </c>
      <c r="B40" s="277"/>
      <c r="C40" s="277"/>
      <c r="D40" s="278"/>
    </row>
    <row r="41" spans="1:13" x14ac:dyDescent="0.2">
      <c r="A41" s="11" t="s">
        <v>121</v>
      </c>
      <c r="B41" s="12" t="s">
        <v>42</v>
      </c>
      <c r="C41" s="12" t="s">
        <v>120</v>
      </c>
      <c r="D41" s="13" t="s">
        <v>4</v>
      </c>
    </row>
    <row r="42" spans="1:13" ht="12.6" thickBot="1" x14ac:dyDescent="0.3">
      <c r="A42" s="58" t="s">
        <v>41</v>
      </c>
      <c r="B42" s="62">
        <f>IF(B19*1852/3600&lt;I49,B19*1852/3600,I49)</f>
        <v>6.1733333333333329</v>
      </c>
      <c r="C42" s="62">
        <f>B42/SQRT(9.81*($B$27+$B$28))</f>
        <v>0.43478976363507577</v>
      </c>
      <c r="D42" s="63">
        <f xml:space="preserve">  IF($B$29=0,       (IF(B32&lt;1.2, (IF(B17&lt;0.8,          (((2*B17*B14*B15)/B13)*POWER(C42,2)/SQRT(1-POWER(C42,2))),         (0)     )),     (((2*B17*B14*B15)/B13)*POWER(C42,2)/SQRT(1-POWER(C42,2))))),(0))</f>
        <v>0</v>
      </c>
      <c r="E42" s="42"/>
      <c r="F42" s="42"/>
      <c r="G42" s="42"/>
      <c r="H42" s="42"/>
      <c r="I42" s="42"/>
      <c r="J42" s="42"/>
      <c r="K42" s="42"/>
      <c r="L42" s="42"/>
    </row>
    <row r="43" spans="1:13" x14ac:dyDescent="0.2">
      <c r="A43" s="42"/>
      <c r="B43" s="42"/>
      <c r="E43" s="42"/>
      <c r="F43" s="42"/>
      <c r="G43" s="42"/>
      <c r="H43" s="42"/>
      <c r="I43" s="42"/>
      <c r="J43" s="42"/>
      <c r="K43" s="42"/>
      <c r="L43" s="42"/>
    </row>
    <row r="44" spans="1:13" ht="12" thickBot="1" x14ac:dyDescent="0.25">
      <c r="A44" s="45"/>
      <c r="B44" s="45"/>
      <c r="E44" s="42"/>
      <c r="F44" s="42"/>
      <c r="G44" s="42"/>
      <c r="H44" s="42"/>
      <c r="I44" s="42"/>
      <c r="J44" s="42"/>
      <c r="K44" s="42"/>
      <c r="L44" s="42"/>
    </row>
    <row r="45" spans="1:13" ht="12.6" thickBot="1" x14ac:dyDescent="0.3">
      <c r="A45" s="263" t="s">
        <v>123</v>
      </c>
      <c r="B45" s="264"/>
      <c r="C45" s="264"/>
      <c r="D45" s="264"/>
      <c r="E45" s="264"/>
      <c r="F45" s="264"/>
      <c r="G45" s="264"/>
      <c r="H45" s="264"/>
      <c r="I45" s="264"/>
      <c r="J45" s="264"/>
      <c r="K45" s="264"/>
      <c r="L45" s="264"/>
      <c r="M45" s="265"/>
    </row>
    <row r="46" spans="1:13" ht="12" thickBot="1" x14ac:dyDescent="0.25">
      <c r="A46" s="274" t="s">
        <v>124</v>
      </c>
      <c r="B46" s="275"/>
      <c r="C46" s="275"/>
      <c r="D46" s="275"/>
      <c r="E46" s="275"/>
      <c r="F46" s="275"/>
      <c r="G46" s="275"/>
      <c r="H46" s="275"/>
      <c r="I46" s="275"/>
      <c r="J46" s="275"/>
      <c r="K46" s="275"/>
      <c r="L46" s="275"/>
      <c r="M46" s="276"/>
    </row>
    <row r="47" spans="1:13" ht="12.6" thickBot="1" x14ac:dyDescent="0.3">
      <c r="A47" s="271" t="s">
        <v>10</v>
      </c>
      <c r="B47" s="272"/>
      <c r="C47" s="272"/>
      <c r="D47" s="272"/>
      <c r="E47" s="272"/>
      <c r="F47" s="272"/>
      <c r="G47" s="272"/>
      <c r="H47" s="272"/>
      <c r="I47" s="272"/>
      <c r="J47" s="272"/>
      <c r="K47" s="272"/>
      <c r="L47" s="272"/>
      <c r="M47" s="273"/>
    </row>
    <row r="48" spans="1:13" x14ac:dyDescent="0.2">
      <c r="A48" s="11" t="s">
        <v>121</v>
      </c>
      <c r="B48" s="12" t="s">
        <v>1</v>
      </c>
      <c r="C48" s="12" t="s">
        <v>2</v>
      </c>
      <c r="D48" s="12" t="s">
        <v>3</v>
      </c>
      <c r="E48" s="12" t="s">
        <v>12</v>
      </c>
      <c r="F48" s="12" t="s">
        <v>13</v>
      </c>
      <c r="G48" s="12" t="s">
        <v>14</v>
      </c>
      <c r="H48" s="12" t="s">
        <v>15</v>
      </c>
      <c r="I48" s="19" t="s">
        <v>125</v>
      </c>
      <c r="J48" s="19" t="s">
        <v>17</v>
      </c>
      <c r="K48" s="19" t="s">
        <v>18</v>
      </c>
      <c r="L48" s="19" t="s">
        <v>19</v>
      </c>
      <c r="M48" s="20" t="s">
        <v>4</v>
      </c>
    </row>
    <row r="49" spans="1:16" ht="12.6" thickBot="1" x14ac:dyDescent="0.3">
      <c r="A49" s="137" t="s">
        <v>39</v>
      </c>
      <c r="B49" s="138">
        <f>0.98*$B$14*$B$15</f>
        <v>799.68</v>
      </c>
      <c r="C49" s="138">
        <f>IF($B$29=0,IF($B$30&lt;$B$35,$B$30*($B$27+$B$28)+$B$31*POWER($B$27+$B$28,2),$B$35*($B$27+$B$28)+$B$31*POWER($B$27+$B$28,2)),$B$30*($B$27+$B$28)+$B$31*POWER($B$27+$B$28,2))</f>
        <v>6165</v>
      </c>
      <c r="D49" s="139">
        <f>B49/C49</f>
        <v>0.12971289537712893</v>
      </c>
      <c r="E49" s="139">
        <f>POWER(2*COS((PI()+ACOS(1-D49))/3),1.5)</f>
        <v>0.57243095484554007</v>
      </c>
      <c r="F49" s="139">
        <f>IF($B$29=0,IF($B$30&lt;$B$35,C49/($B$30+2*$B$31*($B$27+$B$28)),C49/($B$35+2*$B$31*($B$27+$B$28))),C49/($B$30+2*$B$31*($B$27+$B$28)))</f>
        <v>20.55</v>
      </c>
      <c r="G49" s="139">
        <f>0.58*POWER(($B$27+$B$28)*$B$13/$B$15/$B$14,0.125)</f>
        <v>0.73356714258821765</v>
      </c>
      <c r="H49" s="139">
        <f>($B$27+$B$28)-$B$29*(1-F49/($B$27+$B$28))</f>
        <v>20.55</v>
      </c>
      <c r="I49" s="140">
        <f>IF($B$29=0, G49*SQRT(9.81*($B$27+$B$28)),IF($B$29&lt;($B$28+$B$27),(G49*(1-$B$29/($B$28+$B$27))+E49*$B$29/($B$28+$B$27))*SQRT(9.81*H49),E49*SQRT(9.81*F49)))</f>
        <v>8.1276225664451633</v>
      </c>
      <c r="J49" s="140">
        <f>0.155*SQRT(($B$27+$B$28)/$B$15)</f>
        <v>0.17041709214194936</v>
      </c>
      <c r="K49" s="140">
        <f>POWER(10*$B$14*$B$17/$B$13,2)</f>
        <v>2.270689487652755</v>
      </c>
      <c r="L49" s="140">
        <f>8*POWER(B42/I49,2)*(POWER(B42/I49-0.5,4)+0.0625)</f>
        <v>0.30940308024027102</v>
      </c>
      <c r="M49" s="141">
        <f>IF($B$29=0,(IF(B32&lt;1.2,(IF(B17&gt;=0.8,(L49*K49*J49*B15),(0))),(L49*K49*J49*B15)   )   ),(IF(B28=B29,(IF(B28/B15&lt;1.2,(IF(B17&gt;0.8,(IF(B19&gt;=7,(L49*K49*J49*B15),(0))),(L49*K49*J49*B15))),(L49*K49*J49*B15))),(0))))</f>
        <v>2.0353750862939743</v>
      </c>
    </row>
    <row r="50" spans="1:16" ht="12.6" thickBot="1" x14ac:dyDescent="0.3">
      <c r="A50" s="15"/>
      <c r="B50" s="39"/>
      <c r="C50" s="39"/>
      <c r="D50" s="39"/>
      <c r="E50" s="39"/>
      <c r="F50" s="41"/>
      <c r="G50" s="3"/>
      <c r="H50" s="31"/>
      <c r="I50" s="31"/>
      <c r="J50" s="31"/>
      <c r="K50" s="31"/>
      <c r="L50" s="31"/>
      <c r="M50" s="31"/>
    </row>
    <row r="51" spans="1:16" ht="12.6" thickBot="1" x14ac:dyDescent="0.3">
      <c r="A51" s="271" t="s">
        <v>11</v>
      </c>
      <c r="B51" s="272"/>
      <c r="C51" s="272"/>
      <c r="D51" s="272"/>
      <c r="E51" s="272"/>
      <c r="F51" s="272"/>
      <c r="G51" s="272"/>
      <c r="H51" s="272"/>
      <c r="I51" s="272"/>
      <c r="J51" s="272"/>
      <c r="K51" s="272"/>
      <c r="L51" s="272"/>
      <c r="M51" s="273"/>
    </row>
    <row r="52" spans="1:16" x14ac:dyDescent="0.2">
      <c r="A52" s="11" t="s">
        <v>126</v>
      </c>
      <c r="B52" s="12" t="s">
        <v>1</v>
      </c>
      <c r="C52" s="12" t="s">
        <v>2</v>
      </c>
      <c r="D52" s="12" t="s">
        <v>3</v>
      </c>
      <c r="E52" s="12" t="s">
        <v>12</v>
      </c>
      <c r="F52" s="12" t="s">
        <v>13</v>
      </c>
      <c r="G52" s="12" t="s">
        <v>14</v>
      </c>
      <c r="H52" s="12" t="s">
        <v>15</v>
      </c>
      <c r="I52" s="19" t="s">
        <v>125</v>
      </c>
      <c r="J52" s="19" t="s">
        <v>17</v>
      </c>
      <c r="K52" s="19" t="s">
        <v>18</v>
      </c>
      <c r="L52" s="19" t="s">
        <v>19</v>
      </c>
      <c r="M52" s="20" t="s">
        <v>20</v>
      </c>
    </row>
    <row r="53" spans="1:16" ht="12.6" thickBot="1" x14ac:dyDescent="0.3">
      <c r="A53" s="137" t="s">
        <v>39</v>
      </c>
      <c r="B53" s="138">
        <f>0.98*$B$14*$B$15</f>
        <v>799.68</v>
      </c>
      <c r="C53" s="138">
        <f>IF($B$29=0,IF($B$30&lt;$B$35,$B$30*($B$27+$B$28)+$B$31*POWER($B$27+$B$28,2),$B$35*($B$27+$B$28)+$B$31*POWER($B$27+$B$28,2)),$B$30*($B$27+$B$28)+$B$31*POWER($B$27+$B$28,2))</f>
        <v>6165</v>
      </c>
      <c r="D53" s="139">
        <f>B53/C53</f>
        <v>0.12971289537712893</v>
      </c>
      <c r="E53" s="139">
        <f>POWER(2*COS((PI()+ACOS(1-D53))/3),1.5)</f>
        <v>0.57243095484554007</v>
      </c>
      <c r="F53" s="139">
        <f>IF($B$29=0,IF($B$30&lt;$B$35,C53/($B$30+2*$B$31*($B$27+$B$28)),C53/($B$35+2*$B$31*($B$27+$B$28))),C53/($B$30+2*$B$31*($B$27+$B$28)))</f>
        <v>20.55</v>
      </c>
      <c r="G53" s="139">
        <f>0.58*POWER(($B$27+$B$28)*$B$13/$B$15/$B$14,0.125)</f>
        <v>0.73356714258821765</v>
      </c>
      <c r="H53" s="139">
        <f>($B$27+$B$28)-$B$29*(1-F53/($B$27+$B$28))</f>
        <v>20.55</v>
      </c>
      <c r="I53" s="140">
        <f>IF($B$29=0, G53*SQRT(9.81*($B$27+$B$28)),IF($B$29&lt;($B$28+$B$27),(G53*(1-$B$29/($B$28+$B$27))+E53*$B$29/($B$28+$B$27))*SQRT(9.81*H53),E53*SQRT(9.81*F53)))</f>
        <v>8.1276225664451633</v>
      </c>
      <c r="J53" s="140">
        <f>0.155*SQRT(($B$27+$B$28)/$B$15)</f>
        <v>0.17041709214194936</v>
      </c>
      <c r="K53" s="140">
        <v>1</v>
      </c>
      <c r="L53" s="140">
        <f>8*POWER(B42/I53,2)*(POWER(B42/I53-0.5,4)+0.0625)</f>
        <v>0.30940308024027102</v>
      </c>
      <c r="M53" s="141">
        <f>IF($B$29=0,(IF(B32&lt;1.2,(IF(B17&gt;=0.8,(L53*K53*J53*B15),(0))),(L53*K53*J53*B15))),(IF(B28=B29,(IF(B28/B15&lt;1.2,(IF(B17&gt;0.8,(IF(B19&gt;=7,(L53*K53*J53*B15),(0))),(L53*K53*J53*B15))),(L53*K53*J53*B15))),(0))))</f>
        <v>0.89636874498325669</v>
      </c>
    </row>
    <row r="54" spans="1:16" x14ac:dyDescent="0.2">
      <c r="A54" s="15"/>
      <c r="B54" s="39"/>
    </row>
    <row r="55" spans="1:16" ht="12" thickBot="1" x14ac:dyDescent="0.25">
      <c r="A55" s="45"/>
      <c r="B55" s="45"/>
    </row>
    <row r="56" spans="1:16" ht="12.6" thickBot="1" x14ac:dyDescent="0.3">
      <c r="A56" s="263" t="s">
        <v>127</v>
      </c>
      <c r="B56" s="264"/>
      <c r="C56" s="264"/>
      <c r="D56" s="264"/>
      <c r="E56" s="264"/>
      <c r="F56" s="264"/>
      <c r="G56" s="264"/>
      <c r="H56" s="264"/>
      <c r="I56" s="264"/>
      <c r="J56" s="264"/>
      <c r="K56" s="265"/>
    </row>
    <row r="57" spans="1:16" ht="12" thickBot="1" x14ac:dyDescent="0.25">
      <c r="A57" s="274" t="s">
        <v>128</v>
      </c>
      <c r="B57" s="275"/>
      <c r="C57" s="275"/>
      <c r="D57" s="275"/>
      <c r="E57" s="275"/>
      <c r="F57" s="275"/>
      <c r="G57" s="275"/>
      <c r="H57" s="275"/>
      <c r="I57" s="275"/>
      <c r="J57" s="275"/>
      <c r="K57" s="276"/>
    </row>
    <row r="58" spans="1:16" ht="12" x14ac:dyDescent="0.25">
      <c r="A58" s="11" t="s">
        <v>129</v>
      </c>
      <c r="B58" s="12" t="s">
        <v>23</v>
      </c>
      <c r="C58" s="12" t="s">
        <v>24</v>
      </c>
      <c r="D58" s="12" t="s">
        <v>25</v>
      </c>
      <c r="E58" s="12" t="s">
        <v>26</v>
      </c>
      <c r="F58" s="12" t="s">
        <v>1</v>
      </c>
      <c r="G58" s="12" t="s">
        <v>2</v>
      </c>
      <c r="H58" s="12" t="s">
        <v>3</v>
      </c>
      <c r="I58" s="19" t="s">
        <v>27</v>
      </c>
      <c r="J58" s="19" t="s">
        <v>37</v>
      </c>
      <c r="K58" s="29" t="s">
        <v>28</v>
      </c>
    </row>
    <row r="59" spans="1:16" ht="12" x14ac:dyDescent="0.25">
      <c r="A59" s="47" t="s">
        <v>22</v>
      </c>
      <c r="B59" s="64">
        <f>IF(B20=1, 0.15,0.13)</f>
        <v>0.15</v>
      </c>
      <c r="C59" s="66">
        <f>1.7*$B$17*($B$14*$B$15/($B$13^2))+0.004*($B$17^2)</f>
        <v>1.9414465123473161E-2</v>
      </c>
      <c r="D59" s="66">
        <f>POWER(C42,1.8+0.4*C42)</f>
        <v>0.19319406399204964</v>
      </c>
      <c r="E59" s="64">
        <f>1+0.35/B32^2</f>
        <v>1.2349252431412396</v>
      </c>
      <c r="F59" s="64">
        <f>0.98*$B$14*$B$15</f>
        <v>799.68</v>
      </c>
      <c r="G59" s="64">
        <f>IF($B$29=0,IF($B$30&lt;$B$35,$B$30*($B$27+$B$28)+$B$31*POWER($B$27+$B$28,2),$B$35*($B$27+$B$28)+$B$31*POWER($B$27+$B$28,2)),$B$30*($B$27+$B$28)+$B$31*POWER($B$27+$B$28,2))</f>
        <v>6165</v>
      </c>
      <c r="H59" s="65">
        <f>F59/G59</f>
        <v>0.12971289537712893</v>
      </c>
      <c r="I59" s="67">
        <f>$B$17*H59*$B$15*$B$29/($B$27+$B$28)^2</f>
        <v>8.8437714140059021E-2</v>
      </c>
      <c r="J59" s="66">
        <f>IF($B$29=0,1,1+10*I59-1.5*(1+I59)*SQRT(I59))</f>
        <v>1.3988499075872562</v>
      </c>
      <c r="K59" s="68">
        <f>$B$13*(1+B59)*C59*D59*E59*J59</f>
        <v>1.9373236640724496</v>
      </c>
    </row>
    <row r="60" spans="1:16" ht="12" thickBot="1" x14ac:dyDescent="0.25">
      <c r="A60" s="48" t="s">
        <v>6</v>
      </c>
      <c r="B60" s="14"/>
      <c r="C60" s="17" t="s">
        <v>9</v>
      </c>
      <c r="D60" s="10" t="s">
        <v>29</v>
      </c>
      <c r="E60" s="10" t="s">
        <v>9</v>
      </c>
      <c r="F60" s="10"/>
      <c r="G60" s="10"/>
      <c r="H60" s="10" t="s">
        <v>9</v>
      </c>
      <c r="I60" s="21"/>
      <c r="J60" s="21"/>
      <c r="K60" s="22"/>
    </row>
    <row r="61" spans="1:16" ht="12" thickBot="1" x14ac:dyDescent="0.25">
      <c r="A61" s="274" t="s">
        <v>130</v>
      </c>
      <c r="B61" s="275"/>
      <c r="C61" s="275"/>
      <c r="D61" s="275"/>
      <c r="E61" s="275"/>
      <c r="F61" s="275"/>
      <c r="G61" s="275"/>
      <c r="H61" s="275"/>
      <c r="I61" s="275"/>
      <c r="J61" s="275"/>
      <c r="K61" s="276"/>
    </row>
    <row r="62" spans="1:16" ht="12" x14ac:dyDescent="0.25">
      <c r="A62" s="24" t="s">
        <v>38</v>
      </c>
      <c r="B62" s="12" t="s">
        <v>23</v>
      </c>
      <c r="C62" s="12" t="s">
        <v>32</v>
      </c>
      <c r="D62" s="12" t="s">
        <v>33</v>
      </c>
      <c r="E62" s="12" t="s">
        <v>34</v>
      </c>
      <c r="F62" s="12" t="s">
        <v>35</v>
      </c>
      <c r="G62" s="12" t="s">
        <v>36</v>
      </c>
      <c r="H62" s="12" t="s">
        <v>24</v>
      </c>
      <c r="I62" s="12" t="s">
        <v>25</v>
      </c>
      <c r="J62" s="12" t="s">
        <v>31</v>
      </c>
      <c r="K62" s="12" t="s">
        <v>1</v>
      </c>
      <c r="L62" s="12" t="s">
        <v>2</v>
      </c>
      <c r="M62" s="12" t="s">
        <v>3</v>
      </c>
      <c r="N62" s="19" t="s">
        <v>27</v>
      </c>
      <c r="O62" s="19" t="s">
        <v>30</v>
      </c>
      <c r="P62" s="29" t="s">
        <v>38</v>
      </c>
    </row>
    <row r="63" spans="1:16" ht="12" x14ac:dyDescent="0.25">
      <c r="A63" s="46" t="s">
        <v>22</v>
      </c>
      <c r="B63" s="64">
        <f>IF(B20=1, 0.15,0.13)</f>
        <v>0.15</v>
      </c>
      <c r="C63" s="64">
        <f>IF(B20=1, 0.15,0.2)</f>
        <v>0.15</v>
      </c>
      <c r="D63" s="69">
        <f>IF(B21="O",0.1,0)</f>
        <v>0.1</v>
      </c>
      <c r="E63" s="69">
        <f>IF(B22="O",0.04,0)</f>
        <v>0.04</v>
      </c>
      <c r="F63" s="69">
        <f>(B24-B23)/(B23+B24)</f>
        <v>0</v>
      </c>
      <c r="G63" s="66">
        <f>POWER($B$17,2+(0.8*J59/$B$17))-(0.15*B63+C63)-(D63+E63+F63)</f>
        <v>0.19182593837806194</v>
      </c>
      <c r="H63" s="66">
        <f>1.7*$B$17*($B$14*$B$15/($B$13^2))+0.004*($B$17^2)</f>
        <v>1.9414465123473161E-2</v>
      </c>
      <c r="I63" s="66">
        <f>POWER(C42,1.8+0.4*C42)</f>
        <v>0.19319406399204964</v>
      </c>
      <c r="J63" s="64">
        <f>1-EXP(2.5*(1-B32)/C42)</f>
        <v>0.71870785289772088</v>
      </c>
      <c r="K63" s="64">
        <f>0.98*$B$14*$B$15</f>
        <v>799.68</v>
      </c>
      <c r="L63" s="64">
        <f>IF($B$29=0,IF($B$30&lt;$B$35,$B$30*($B$27+$B$28)+$B$31*POWER($B$27+$B$28,2),$B$35*($B$27+$B$28)+$B$31*POWER($B$27+$B$28,2)),$B$30*($B$27+$B$28)+$B$31*POWER($B$27+$B$28,2))</f>
        <v>6165</v>
      </c>
      <c r="M63" s="65">
        <f>K63/L63</f>
        <v>0.12971289537712893</v>
      </c>
      <c r="N63" s="67">
        <f>$B$17*M63*$B$15*$B$29/($B$27+$B$28)^2</f>
        <v>8.8437714140059021E-2</v>
      </c>
      <c r="O63" s="66">
        <f>IF($B$29=0,1,1-5*N63)</f>
        <v>0.55781142929970495</v>
      </c>
      <c r="P63" s="68">
        <f>-$B$13*1.7*H63*I63*J63*G63*O63</f>
        <v>-0.12749366558938333</v>
      </c>
    </row>
    <row r="64" spans="1:16" ht="12" thickBot="1" x14ac:dyDescent="0.25">
      <c r="A64" s="50" t="s">
        <v>6</v>
      </c>
      <c r="B64" s="28"/>
      <c r="C64" s="17" t="s">
        <v>9</v>
      </c>
      <c r="D64" s="23" t="s">
        <v>29</v>
      </c>
      <c r="E64" s="23" t="s">
        <v>9</v>
      </c>
      <c r="F64" s="23"/>
      <c r="G64" s="23"/>
      <c r="H64" s="10" t="s">
        <v>9</v>
      </c>
      <c r="I64" s="21"/>
      <c r="J64" s="21"/>
      <c r="K64" s="26"/>
      <c r="L64" s="27"/>
      <c r="M64" s="25"/>
      <c r="N64" s="25"/>
      <c r="O64" s="25"/>
      <c r="P64" s="18"/>
    </row>
    <row r="65" spans="1:15" ht="12" x14ac:dyDescent="0.25">
      <c r="A65" s="49" t="s">
        <v>121</v>
      </c>
      <c r="B65" s="70">
        <f>IF(AND($B$29&lt;($B$28+$B$27),B29&gt;0),(K59-0.5*P63),(IF(B28=B29,(IF(B28/B15&lt;1.2,(IF(B17&gt;0.8,(IF(B19&lt;7,(K59-0.5*P63),(0))),(K59-0.5*P63))),(K59-0.5*P63))),(0))))</f>
        <v>2.0010704968671411</v>
      </c>
    </row>
    <row r="66" spans="1:15" ht="12.6" thickBot="1" x14ac:dyDescent="0.3">
      <c r="A66" s="142" t="s">
        <v>126</v>
      </c>
      <c r="B66" s="143">
        <f>IF(AND($B$29&lt;($B$28+$B$27),B29&gt;0),(K59+0.5*P63),(IF(B28=B29,(IF(B28/B15&lt;1.2,(IF(B17&gt;0.8,(IF(B19&lt;7,(K59+0.5*P63),(0))),(K59+0.5*P63))),(K59+0.5*P63))),(0))))</f>
        <v>1.8735768312777579</v>
      </c>
    </row>
    <row r="67" spans="1:15" x14ac:dyDescent="0.2">
      <c r="A67" s="31"/>
      <c r="B67" s="31"/>
    </row>
    <row r="68" spans="1:15" x14ac:dyDescent="0.2">
      <c r="A68" s="31"/>
      <c r="B68" s="31"/>
    </row>
    <row r="69" spans="1:15" ht="12" x14ac:dyDescent="0.25">
      <c r="A69" s="16"/>
      <c r="B69" s="16"/>
    </row>
    <row r="70" spans="1:15" x14ac:dyDescent="0.2">
      <c r="A70" s="1"/>
      <c r="B70" s="1"/>
    </row>
    <row r="71" spans="1:15" x14ac:dyDescent="0.2">
      <c r="A71" s="32"/>
      <c r="B71" s="32"/>
      <c r="C71" s="31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</row>
    <row r="72" spans="1:15" x14ac:dyDescent="0.2">
      <c r="A72" s="30"/>
      <c r="B72" s="37"/>
      <c r="C72" s="31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</row>
    <row r="73" spans="1:15" ht="12" x14ac:dyDescent="0.25">
      <c r="A73" s="30"/>
      <c r="B73" s="30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31"/>
      <c r="O73" s="31"/>
    </row>
    <row r="74" spans="1:15" ht="12" x14ac:dyDescent="0.25">
      <c r="A74" s="32"/>
      <c r="B74" s="33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31"/>
      <c r="O74" s="31"/>
    </row>
    <row r="75" spans="1:15" x14ac:dyDescent="0.2">
      <c r="A75" s="30"/>
      <c r="B75" s="37"/>
      <c r="C75" s="32"/>
      <c r="D75" s="32"/>
      <c r="E75" s="32"/>
      <c r="F75" s="32"/>
      <c r="G75" s="32"/>
      <c r="H75" s="32"/>
      <c r="I75" s="32"/>
      <c r="J75" s="32"/>
      <c r="K75" s="32"/>
      <c r="L75" s="32"/>
      <c r="M75" s="31"/>
      <c r="N75" s="31"/>
      <c r="O75" s="31"/>
    </row>
    <row r="76" spans="1:15" x14ac:dyDescent="0.2">
      <c r="A76" s="15"/>
      <c r="B76" s="8"/>
      <c r="C76" s="36"/>
      <c r="D76" s="36"/>
      <c r="E76" s="36"/>
      <c r="F76" s="38"/>
      <c r="G76" s="37"/>
      <c r="H76" s="37"/>
      <c r="I76" s="38"/>
      <c r="J76" s="37"/>
      <c r="K76" s="38"/>
      <c r="L76" s="36"/>
      <c r="M76" s="31"/>
      <c r="N76" s="31"/>
      <c r="O76" s="31"/>
    </row>
    <row r="77" spans="1:15" x14ac:dyDescent="0.2">
      <c r="A77" s="1"/>
      <c r="B77" s="1"/>
      <c r="C77" s="30"/>
      <c r="D77" s="30"/>
      <c r="E77" s="30"/>
      <c r="F77" s="30"/>
      <c r="G77" s="30"/>
      <c r="H77" s="30"/>
      <c r="I77" s="30"/>
      <c r="J77" s="30"/>
      <c r="K77" s="30"/>
      <c r="L77" s="31"/>
      <c r="M77" s="31"/>
      <c r="N77" s="31"/>
      <c r="O77" s="31"/>
    </row>
    <row r="78" spans="1:15" ht="12" x14ac:dyDescent="0.25">
      <c r="A78" s="32"/>
      <c r="B78" s="33"/>
      <c r="C78" s="33"/>
      <c r="D78" s="32"/>
      <c r="E78" s="32"/>
      <c r="F78" s="33"/>
      <c r="G78" s="32"/>
      <c r="H78" s="32"/>
      <c r="I78" s="32"/>
      <c r="J78" s="33"/>
      <c r="K78" s="32"/>
      <c r="L78" s="33"/>
      <c r="M78" s="33"/>
      <c r="N78" s="31"/>
      <c r="O78" s="31"/>
    </row>
    <row r="79" spans="1:15" x14ac:dyDescent="0.2">
      <c r="A79" s="30"/>
      <c r="B79" s="37"/>
      <c r="C79" s="37"/>
      <c r="D79" s="36"/>
      <c r="E79" s="37"/>
      <c r="F79" s="36"/>
      <c r="G79" s="36"/>
      <c r="H79" s="38"/>
      <c r="I79" s="34"/>
      <c r="J79" s="36"/>
      <c r="K79" s="35"/>
      <c r="L79" s="36"/>
      <c r="M79" s="35"/>
      <c r="N79" s="31"/>
      <c r="O79" s="31"/>
    </row>
    <row r="80" spans="1:15" x14ac:dyDescent="0.2">
      <c r="A80" s="15"/>
      <c r="B80" s="8"/>
      <c r="C80" s="8"/>
      <c r="D80" s="39"/>
      <c r="E80" s="39"/>
      <c r="F80" s="39"/>
      <c r="G80" s="39"/>
      <c r="H80" s="39"/>
      <c r="I80" s="31"/>
      <c r="J80" s="31"/>
      <c r="K80" s="32"/>
      <c r="L80" s="31"/>
      <c r="M80" s="32"/>
      <c r="N80" s="31"/>
      <c r="O80" s="31"/>
    </row>
    <row r="81" spans="1:15" ht="12" x14ac:dyDescent="0.25">
      <c r="A81" s="40"/>
      <c r="B81" s="3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31"/>
      <c r="O81" s="31"/>
    </row>
    <row r="82" spans="1:15" ht="12" x14ac:dyDescent="0.25">
      <c r="A82" s="31"/>
      <c r="B82" s="31"/>
      <c r="C82" s="33"/>
      <c r="D82" s="33"/>
      <c r="E82" s="32"/>
      <c r="F82" s="32"/>
      <c r="G82" s="32"/>
      <c r="H82" s="33"/>
      <c r="I82" s="32"/>
      <c r="J82" s="33"/>
      <c r="K82" s="33"/>
      <c r="L82" s="31"/>
      <c r="M82" s="31"/>
      <c r="N82" s="31"/>
      <c r="O82" s="31"/>
    </row>
    <row r="83" spans="1:15" x14ac:dyDescent="0.2">
      <c r="C83" s="37"/>
      <c r="D83" s="36"/>
      <c r="E83" s="36"/>
      <c r="F83" s="38"/>
      <c r="G83" s="36"/>
      <c r="H83" s="36"/>
      <c r="I83" s="35"/>
      <c r="J83" s="36"/>
      <c r="K83" s="35"/>
      <c r="L83" s="31"/>
      <c r="M83" s="31"/>
      <c r="N83" s="31"/>
      <c r="O83" s="31"/>
    </row>
    <row r="84" spans="1:15" x14ac:dyDescent="0.2">
      <c r="C84" s="8"/>
      <c r="D84" s="39"/>
      <c r="E84" s="39"/>
      <c r="F84" s="39"/>
      <c r="G84" s="39"/>
      <c r="H84" s="39"/>
      <c r="I84" s="31"/>
      <c r="J84" s="31"/>
      <c r="K84" s="32"/>
      <c r="L84" s="31"/>
      <c r="M84" s="32"/>
      <c r="N84" s="31"/>
      <c r="O84" s="31"/>
    </row>
    <row r="85" spans="1:15" x14ac:dyDescent="0.2">
      <c r="C85" s="31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</row>
    <row r="86" spans="1:15" x14ac:dyDescent="0.2">
      <c r="C86" s="31"/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</row>
  </sheetData>
  <sheetProtection sheet="1" objects="1" scenarios="1"/>
  <mergeCells count="14">
    <mergeCell ref="A39:D39"/>
    <mergeCell ref="F2:J2"/>
    <mergeCell ref="A10:B10"/>
    <mergeCell ref="A12:B12"/>
    <mergeCell ref="A33:B33"/>
    <mergeCell ref="A34:B34"/>
    <mergeCell ref="A57:K57"/>
    <mergeCell ref="A61:K61"/>
    <mergeCell ref="A40:D40"/>
    <mergeCell ref="A45:M45"/>
    <mergeCell ref="A46:M46"/>
    <mergeCell ref="A47:M47"/>
    <mergeCell ref="A51:M51"/>
    <mergeCell ref="A56:K56"/>
  </mergeCells>
  <pageMargins left="0.78740157499999996" right="0.78740157499999996" top="0.984251969" bottom="0.984251969" header="0.4921259845" footer="0.4921259845"/>
  <pageSetup paperSize="9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6"/>
  <sheetViews>
    <sheetView topLeftCell="A46" workbookViewId="0">
      <selection activeCell="I52" sqref="I52"/>
    </sheetView>
  </sheetViews>
  <sheetFormatPr baseColWidth="10" defaultRowHeight="11.4" x14ac:dyDescent="0.2"/>
  <cols>
    <col min="1" max="1" width="23.25" customWidth="1"/>
    <col min="9" max="9" width="13.875" customWidth="1"/>
  </cols>
  <sheetData>
    <row r="1" spans="1:10" ht="12" thickBot="1" x14ac:dyDescent="0.25"/>
    <row r="2" spans="1:10" ht="21" thickBot="1" x14ac:dyDescent="0.4">
      <c r="F2" s="279" t="s">
        <v>43</v>
      </c>
      <c r="G2" s="280"/>
      <c r="H2" s="280"/>
      <c r="I2" s="280"/>
      <c r="J2" s="281"/>
    </row>
    <row r="10" spans="1:10" x14ac:dyDescent="0.2">
      <c r="A10" s="282"/>
      <c r="B10" s="282"/>
    </row>
    <row r="11" spans="1:10" ht="12" thickBot="1" x14ac:dyDescent="0.25"/>
    <row r="12" spans="1:10" ht="12" thickBot="1" x14ac:dyDescent="0.25">
      <c r="A12" s="283" t="s">
        <v>99</v>
      </c>
      <c r="B12" s="284"/>
    </row>
    <row r="13" spans="1:10" x14ac:dyDescent="0.2">
      <c r="A13" s="4" t="s">
        <v>0</v>
      </c>
      <c r="B13" s="106">
        <f>'Initial data'!C8</f>
        <v>260</v>
      </c>
    </row>
    <row r="14" spans="1:10" x14ac:dyDescent="0.2">
      <c r="A14" s="109" t="s">
        <v>86</v>
      </c>
      <c r="B14" s="107">
        <f>'Initial data'!D8</f>
        <v>48</v>
      </c>
    </row>
    <row r="15" spans="1:10" x14ac:dyDescent="0.2">
      <c r="A15" s="109" t="s">
        <v>91</v>
      </c>
      <c r="B15" s="59">
        <f>(B23+B24)/2</f>
        <v>17</v>
      </c>
    </row>
    <row r="16" spans="1:10" x14ac:dyDescent="0.2">
      <c r="A16" s="109" t="s">
        <v>105</v>
      </c>
      <c r="B16" s="125">
        <f>B17*B13*B14*B15</f>
        <v>173170.73170731709</v>
      </c>
    </row>
    <row r="17" spans="1:2" x14ac:dyDescent="0.2">
      <c r="A17" s="5" t="s">
        <v>5</v>
      </c>
      <c r="B17" s="108">
        <f>'Initial data'!J8</f>
        <v>0.81622705367325177</v>
      </c>
    </row>
    <row r="18" spans="1:2" x14ac:dyDescent="0.2">
      <c r="A18" s="9" t="s">
        <v>7</v>
      </c>
      <c r="B18" s="108">
        <f>'Initial data'!K8</f>
        <v>0.9</v>
      </c>
    </row>
    <row r="19" spans="1:2" ht="12" thickBot="1" x14ac:dyDescent="0.25">
      <c r="A19" s="110" t="s">
        <v>87</v>
      </c>
      <c r="B19" s="74">
        <v>14</v>
      </c>
    </row>
    <row r="20" spans="1:2" x14ac:dyDescent="0.2">
      <c r="A20" s="113" t="s">
        <v>89</v>
      </c>
      <c r="B20" s="116">
        <f>'Initial data'!L8</f>
        <v>1</v>
      </c>
    </row>
    <row r="21" spans="1:2" x14ac:dyDescent="0.2">
      <c r="A21" s="114" t="s">
        <v>92</v>
      </c>
      <c r="B21" s="108" t="str">
        <f>'Initial data'!M8</f>
        <v>O</v>
      </c>
    </row>
    <row r="22" spans="1:2" ht="11.55" customHeight="1" x14ac:dyDescent="0.2">
      <c r="A22" s="114" t="s">
        <v>94</v>
      </c>
      <c r="B22" s="108" t="str">
        <f>'Initial data'!N8</f>
        <v>O</v>
      </c>
    </row>
    <row r="23" spans="1:2" x14ac:dyDescent="0.2">
      <c r="A23" s="115" t="s">
        <v>97</v>
      </c>
      <c r="B23" s="108">
        <f>'Initial data'!E8</f>
        <v>17</v>
      </c>
    </row>
    <row r="24" spans="1:2" ht="12" thickBot="1" x14ac:dyDescent="0.25">
      <c r="A24" s="117" t="s">
        <v>98</v>
      </c>
      <c r="B24" s="118">
        <f>'Initial data'!F8</f>
        <v>17</v>
      </c>
    </row>
    <row r="25" spans="1:2" ht="12" thickBot="1" x14ac:dyDescent="0.25"/>
    <row r="26" spans="1:2" ht="12" thickBot="1" x14ac:dyDescent="0.25">
      <c r="A26" s="111" t="s">
        <v>102</v>
      </c>
      <c r="B26" s="57"/>
    </row>
    <row r="27" spans="1:2" x14ac:dyDescent="0.2">
      <c r="A27" s="6" t="s">
        <v>106</v>
      </c>
      <c r="B27" s="116">
        <f>'Initial data'!C23</f>
        <v>-0.2</v>
      </c>
    </row>
    <row r="28" spans="1:2" x14ac:dyDescent="0.2">
      <c r="A28" s="7" t="s">
        <v>107</v>
      </c>
      <c r="B28" s="108">
        <f>'Initial data'!D23</f>
        <v>20.75</v>
      </c>
    </row>
    <row r="29" spans="1:2" x14ac:dyDescent="0.2">
      <c r="A29" s="133" t="s">
        <v>110</v>
      </c>
      <c r="B29" s="108">
        <f>'Initial data'!E23</f>
        <v>20.75</v>
      </c>
    </row>
    <row r="30" spans="1:2" x14ac:dyDescent="0.2">
      <c r="A30" s="133" t="s">
        <v>111</v>
      </c>
      <c r="B30" s="108">
        <f>'Initial data'!F23</f>
        <v>300</v>
      </c>
    </row>
    <row r="31" spans="1:2" ht="12" thickBot="1" x14ac:dyDescent="0.25">
      <c r="A31" s="135" t="s">
        <v>116</v>
      </c>
      <c r="B31" s="118">
        <f>'Initial data'!G23</f>
        <v>0</v>
      </c>
    </row>
    <row r="32" spans="1:2" ht="12" thickBot="1" x14ac:dyDescent="0.25">
      <c r="A32" s="44" t="s">
        <v>44</v>
      </c>
      <c r="B32" s="60">
        <f>B28/B15</f>
        <v>1.2205882352941178</v>
      </c>
    </row>
    <row r="33" spans="1:13" x14ac:dyDescent="0.2">
      <c r="A33" s="285" t="s">
        <v>117</v>
      </c>
      <c r="B33" s="286"/>
    </row>
    <row r="34" spans="1:13" x14ac:dyDescent="0.2">
      <c r="A34" s="287" t="s">
        <v>40</v>
      </c>
      <c r="B34" s="288"/>
    </row>
    <row r="35" spans="1:13" ht="12" thickBot="1" x14ac:dyDescent="0.25">
      <c r="A35" s="51" t="s">
        <v>8</v>
      </c>
      <c r="B35" s="61">
        <f>(7.04/B17^0.85)*B14</f>
        <v>401.58229656579465</v>
      </c>
    </row>
    <row r="38" spans="1:13" ht="12" thickBot="1" x14ac:dyDescent="0.25">
      <c r="A38" s="42"/>
      <c r="B38" s="42"/>
    </row>
    <row r="39" spans="1:13" ht="12.6" thickBot="1" x14ac:dyDescent="0.3">
      <c r="A39" s="263" t="s">
        <v>119</v>
      </c>
      <c r="B39" s="264"/>
      <c r="C39" s="264"/>
      <c r="D39" s="265"/>
    </row>
    <row r="40" spans="1:13" ht="12" thickBot="1" x14ac:dyDescent="0.25">
      <c r="A40" s="274" t="s">
        <v>122</v>
      </c>
      <c r="B40" s="277"/>
      <c r="C40" s="277"/>
      <c r="D40" s="278"/>
    </row>
    <row r="41" spans="1:13" x14ac:dyDescent="0.2">
      <c r="A41" s="11" t="s">
        <v>121</v>
      </c>
      <c r="B41" s="12" t="s">
        <v>42</v>
      </c>
      <c r="C41" s="12" t="s">
        <v>120</v>
      </c>
      <c r="D41" s="13" t="s">
        <v>4</v>
      </c>
    </row>
    <row r="42" spans="1:13" ht="12.6" thickBot="1" x14ac:dyDescent="0.3">
      <c r="A42" s="58" t="s">
        <v>41</v>
      </c>
      <c r="B42" s="62">
        <f>IF(B19*1852/3600&lt;I49,B19*1852/3600,I49)</f>
        <v>7.2022222222222219</v>
      </c>
      <c r="C42" s="62">
        <f>B42/SQRT(9.81*($B$27+$B$28))</f>
        <v>0.50725472424092177</v>
      </c>
      <c r="D42" s="63">
        <f xml:space="preserve">  IF($B$29=0,       (IF(B32&lt;1.2, (IF(B17&lt;0.8,          (((2*B17*B14*B15)/B13)*POWER(C42,2)/SQRT(1-POWER(C42,2))),         (0)     )),     (((2*B17*B14*B15)/B13)*POWER(C42,2)/SQRT(1-POWER(C42,2))))),(0))</f>
        <v>0</v>
      </c>
      <c r="E42" s="42"/>
      <c r="F42" s="42"/>
      <c r="G42" s="42"/>
      <c r="H42" s="42"/>
      <c r="I42" s="42"/>
      <c r="J42" s="42"/>
      <c r="K42" s="42"/>
      <c r="L42" s="42"/>
    </row>
    <row r="43" spans="1:13" x14ac:dyDescent="0.2">
      <c r="A43" s="42"/>
      <c r="B43" s="42"/>
      <c r="E43" s="42"/>
      <c r="F43" s="42"/>
      <c r="G43" s="42"/>
      <c r="H43" s="42"/>
      <c r="I43" s="42"/>
      <c r="J43" s="42"/>
      <c r="K43" s="42"/>
      <c r="L43" s="42"/>
    </row>
    <row r="44" spans="1:13" ht="12" thickBot="1" x14ac:dyDescent="0.25">
      <c r="A44" s="45"/>
      <c r="B44" s="45"/>
      <c r="E44" s="42"/>
      <c r="F44" s="42"/>
      <c r="G44" s="42"/>
      <c r="H44" s="42"/>
      <c r="I44" s="42"/>
      <c r="J44" s="42"/>
      <c r="K44" s="42"/>
      <c r="L44" s="42"/>
    </row>
    <row r="45" spans="1:13" ht="12.6" thickBot="1" x14ac:dyDescent="0.3">
      <c r="A45" s="263" t="s">
        <v>123</v>
      </c>
      <c r="B45" s="264"/>
      <c r="C45" s="264"/>
      <c r="D45" s="264"/>
      <c r="E45" s="264"/>
      <c r="F45" s="264"/>
      <c r="G45" s="264"/>
      <c r="H45" s="264"/>
      <c r="I45" s="264"/>
      <c r="J45" s="264"/>
      <c r="K45" s="264"/>
      <c r="L45" s="264"/>
      <c r="M45" s="265"/>
    </row>
    <row r="46" spans="1:13" ht="12" thickBot="1" x14ac:dyDescent="0.25">
      <c r="A46" s="274" t="s">
        <v>124</v>
      </c>
      <c r="B46" s="275"/>
      <c r="C46" s="275"/>
      <c r="D46" s="275"/>
      <c r="E46" s="275"/>
      <c r="F46" s="275"/>
      <c r="G46" s="275"/>
      <c r="H46" s="275"/>
      <c r="I46" s="275"/>
      <c r="J46" s="275"/>
      <c r="K46" s="275"/>
      <c r="L46" s="275"/>
      <c r="M46" s="276"/>
    </row>
    <row r="47" spans="1:13" ht="12.6" thickBot="1" x14ac:dyDescent="0.3">
      <c r="A47" s="271" t="s">
        <v>10</v>
      </c>
      <c r="B47" s="272"/>
      <c r="C47" s="272"/>
      <c r="D47" s="272"/>
      <c r="E47" s="272"/>
      <c r="F47" s="272"/>
      <c r="G47" s="272"/>
      <c r="H47" s="272"/>
      <c r="I47" s="272"/>
      <c r="J47" s="272"/>
      <c r="K47" s="272"/>
      <c r="L47" s="272"/>
      <c r="M47" s="273"/>
    </row>
    <row r="48" spans="1:13" x14ac:dyDescent="0.2">
      <c r="A48" s="11" t="s">
        <v>121</v>
      </c>
      <c r="B48" s="12" t="s">
        <v>1</v>
      </c>
      <c r="C48" s="12" t="s">
        <v>2</v>
      </c>
      <c r="D48" s="12" t="s">
        <v>3</v>
      </c>
      <c r="E48" s="12" t="s">
        <v>12</v>
      </c>
      <c r="F48" s="12" t="s">
        <v>13</v>
      </c>
      <c r="G48" s="12" t="s">
        <v>14</v>
      </c>
      <c r="H48" s="12" t="s">
        <v>15</v>
      </c>
      <c r="I48" s="19" t="s">
        <v>125</v>
      </c>
      <c r="J48" s="19" t="s">
        <v>17</v>
      </c>
      <c r="K48" s="19" t="s">
        <v>18</v>
      </c>
      <c r="L48" s="19" t="s">
        <v>19</v>
      </c>
      <c r="M48" s="20" t="s">
        <v>4</v>
      </c>
    </row>
    <row r="49" spans="1:16" ht="12.6" thickBot="1" x14ac:dyDescent="0.3">
      <c r="A49" s="137" t="s">
        <v>39</v>
      </c>
      <c r="B49" s="138">
        <f>0.98*$B$14*$B$15</f>
        <v>799.68</v>
      </c>
      <c r="C49" s="138">
        <f>IF($B$29=0,IF($B$30&lt;$B$35,$B$30*($B$27+$B$28)+$B$31*POWER($B$27+$B$28,2),$B$35*($B$27+$B$28)+$B$31*POWER($B$27+$B$28,2)),$B$30*($B$27+$B$28)+$B$31*POWER($B$27+$B$28,2))</f>
        <v>6165</v>
      </c>
      <c r="D49" s="139">
        <f>B49/C49</f>
        <v>0.12971289537712893</v>
      </c>
      <c r="E49" s="139">
        <f>POWER(2*COS((PI()+ACOS(1-D49))/3),1.5)</f>
        <v>0.57243095484554007</v>
      </c>
      <c r="F49" s="139">
        <f>IF($B$29=0,IF($B$30&lt;$B$35,C49/($B$30+2*$B$31*($B$27+$B$28)),C49/($B$35+2*$B$31*($B$27+$B$28))),C49/($B$30+2*$B$31*($B$27+$B$28)))</f>
        <v>20.55</v>
      </c>
      <c r="G49" s="139">
        <f>0.58*POWER(($B$27+$B$28)*$B$13/$B$15/$B$14,0.125)</f>
        <v>0.73356714258821765</v>
      </c>
      <c r="H49" s="139">
        <f>($B$27+$B$28)-$B$29*(1-F49/($B$27+$B$28))</f>
        <v>20.55</v>
      </c>
      <c r="I49" s="140">
        <f>IF($B$29=0, G49*SQRT(9.81*($B$27+$B$28)),IF($B$29&lt;($B$28+$B$27),(G49*(1-$B$29/($B$28+$B$27))+E49*$B$29/($B$28+$B$27))*SQRT(9.81*H49),E49*SQRT(9.81*F49)))</f>
        <v>8.1276225664451633</v>
      </c>
      <c r="J49" s="140">
        <f>0.155*SQRT(($B$27+$B$28)/$B$15)</f>
        <v>0.17041709214194936</v>
      </c>
      <c r="K49" s="140">
        <f>POWER(10*$B$14*$B$17/$B$13,2)</f>
        <v>2.270689487652755</v>
      </c>
      <c r="L49" s="140">
        <f>8*POWER(B42/I49,2)*(POWER(B42/I49-0.5,4)+0.0625)</f>
        <v>0.53228613480674403</v>
      </c>
      <c r="M49" s="141">
        <f>IF($B$29=0,(IF(B32&lt;1.2,(IF(B17&gt;=0.8,(L49*K49*J49*B15),(0))),(L49*K49*J49*B15)   )   ),(IF(B28=B29,(IF(B28/B15&lt;1.2,(IF(B17&gt;0.8,(IF(B19&gt;=7,(L49*K49*J49*B15),(0))),(L49*K49*J49*B15))),(L49*K49*J49*B15))),(0))))</f>
        <v>3.5015874332085923</v>
      </c>
    </row>
    <row r="50" spans="1:16" ht="12.6" thickBot="1" x14ac:dyDescent="0.3">
      <c r="A50" s="15"/>
      <c r="B50" s="39"/>
      <c r="C50" s="39"/>
      <c r="D50" s="39"/>
      <c r="E50" s="39"/>
      <c r="F50" s="41"/>
      <c r="G50" s="3"/>
      <c r="H50" s="31"/>
      <c r="I50" s="31"/>
      <c r="J50" s="31"/>
      <c r="K50" s="31"/>
      <c r="L50" s="31"/>
      <c r="M50" s="31"/>
    </row>
    <row r="51" spans="1:16" ht="12.6" thickBot="1" x14ac:dyDescent="0.3">
      <c r="A51" s="271" t="s">
        <v>11</v>
      </c>
      <c r="B51" s="272"/>
      <c r="C51" s="272"/>
      <c r="D51" s="272"/>
      <c r="E51" s="272"/>
      <c r="F51" s="272"/>
      <c r="G51" s="272"/>
      <c r="H51" s="272"/>
      <c r="I51" s="272"/>
      <c r="J51" s="272"/>
      <c r="K51" s="272"/>
      <c r="L51" s="272"/>
      <c r="M51" s="273"/>
    </row>
    <row r="52" spans="1:16" x14ac:dyDescent="0.2">
      <c r="A52" s="11" t="s">
        <v>126</v>
      </c>
      <c r="B52" s="12" t="s">
        <v>1</v>
      </c>
      <c r="C52" s="12" t="s">
        <v>2</v>
      </c>
      <c r="D52" s="12" t="s">
        <v>3</v>
      </c>
      <c r="E52" s="12" t="s">
        <v>12</v>
      </c>
      <c r="F52" s="12" t="s">
        <v>13</v>
      </c>
      <c r="G52" s="12" t="s">
        <v>14</v>
      </c>
      <c r="H52" s="12" t="s">
        <v>15</v>
      </c>
      <c r="I52" s="19" t="s">
        <v>125</v>
      </c>
      <c r="J52" s="19" t="s">
        <v>17</v>
      </c>
      <c r="K52" s="19" t="s">
        <v>18</v>
      </c>
      <c r="L52" s="19" t="s">
        <v>19</v>
      </c>
      <c r="M52" s="20" t="s">
        <v>20</v>
      </c>
    </row>
    <row r="53" spans="1:16" ht="12.6" thickBot="1" x14ac:dyDescent="0.3">
      <c r="A53" s="137" t="s">
        <v>39</v>
      </c>
      <c r="B53" s="138">
        <f>0.98*$B$14*$B$15</f>
        <v>799.68</v>
      </c>
      <c r="C53" s="138">
        <f>IF($B$29=0,IF($B$30&lt;$B$35,$B$30*($B$27+$B$28)+$B$31*POWER($B$27+$B$28,2),$B$35*($B$27+$B$28)+$B$31*POWER($B$27+$B$28,2)),$B$30*($B$27+$B$28)+$B$31*POWER($B$27+$B$28,2))</f>
        <v>6165</v>
      </c>
      <c r="D53" s="139">
        <f>B53/C53</f>
        <v>0.12971289537712893</v>
      </c>
      <c r="E53" s="139">
        <f>POWER(2*COS((PI()+ACOS(1-D53))/3),1.5)</f>
        <v>0.57243095484554007</v>
      </c>
      <c r="F53" s="139">
        <f>IF($B$29=0,IF($B$30&lt;$B$35,C53/($B$30+2*$B$31*($B$27+$B$28)),C53/($B$35+2*$B$31*($B$27+$B$28))),C53/($B$30+2*$B$31*($B$27+$B$28)))</f>
        <v>20.55</v>
      </c>
      <c r="G53" s="139">
        <f>0.58*POWER(($B$27+$B$28)*$B$13/$B$15/$B$14,0.125)</f>
        <v>0.73356714258821765</v>
      </c>
      <c r="H53" s="139">
        <f>($B$27+$B$28)-$B$29*(1-F53/($B$27+$B$28))</f>
        <v>20.55</v>
      </c>
      <c r="I53" s="140">
        <f>IF($B$29=0, G53*SQRT(9.81*($B$27+$B$28)),IF($B$29&lt;($B$28+$B$27),(G53*(1-$B$29/($B$28+$B$27))+E53*$B$29/($B$28+$B$27))*SQRT(9.81*H53),E53*SQRT(9.81*F53)))</f>
        <v>8.1276225664451633</v>
      </c>
      <c r="J53" s="140">
        <f>0.155*SQRT(($B$27+$B$28)/$B$15)</f>
        <v>0.17041709214194936</v>
      </c>
      <c r="K53" s="140">
        <v>1</v>
      </c>
      <c r="L53" s="140">
        <f>8*POWER(B42/I53,2)*(POWER(B42/I53-0.5,4)+0.0625)</f>
        <v>0.53228613480674403</v>
      </c>
      <c r="M53" s="141">
        <f>IF($B$29=0,(IF(B32&lt;1.2,(IF(B17&gt;=0.8,(L53*K53*J53*B15),(0))),(L53*K53*J53*B15))),(IF(B28=B29,(IF(B28/B15&lt;1.2,(IF(B17&gt;0.8,(IF(B19&gt;=7,(L53*K53*J53*B15),(0))),(L53*K53*J53*B15))),(L53*K53*J53*B15))),(0))))</f>
        <v>1.5420811397811305</v>
      </c>
    </row>
    <row r="54" spans="1:16" x14ac:dyDescent="0.2">
      <c r="A54" s="15"/>
      <c r="B54" s="39"/>
    </row>
    <row r="55" spans="1:16" ht="12" thickBot="1" x14ac:dyDescent="0.25">
      <c r="A55" s="45"/>
      <c r="B55" s="45"/>
    </row>
    <row r="56" spans="1:16" ht="12.6" thickBot="1" x14ac:dyDescent="0.3">
      <c r="A56" s="263" t="s">
        <v>127</v>
      </c>
      <c r="B56" s="264"/>
      <c r="C56" s="264"/>
      <c r="D56" s="264"/>
      <c r="E56" s="264"/>
      <c r="F56" s="264"/>
      <c r="G56" s="264"/>
      <c r="H56" s="264"/>
      <c r="I56" s="264"/>
      <c r="J56" s="264"/>
      <c r="K56" s="265"/>
    </row>
    <row r="57" spans="1:16" ht="12" thickBot="1" x14ac:dyDescent="0.25">
      <c r="A57" s="274" t="s">
        <v>128</v>
      </c>
      <c r="B57" s="275"/>
      <c r="C57" s="275"/>
      <c r="D57" s="275"/>
      <c r="E57" s="275"/>
      <c r="F57" s="275"/>
      <c r="G57" s="275"/>
      <c r="H57" s="275"/>
      <c r="I57" s="275"/>
      <c r="J57" s="275"/>
      <c r="K57" s="276"/>
    </row>
    <row r="58" spans="1:16" ht="12" x14ac:dyDescent="0.25">
      <c r="A58" s="11" t="s">
        <v>129</v>
      </c>
      <c r="B58" s="12" t="s">
        <v>23</v>
      </c>
      <c r="C58" s="12" t="s">
        <v>24</v>
      </c>
      <c r="D58" s="12" t="s">
        <v>25</v>
      </c>
      <c r="E58" s="12" t="s">
        <v>26</v>
      </c>
      <c r="F58" s="12" t="s">
        <v>1</v>
      </c>
      <c r="G58" s="12" t="s">
        <v>2</v>
      </c>
      <c r="H58" s="12" t="s">
        <v>3</v>
      </c>
      <c r="I58" s="19" t="s">
        <v>27</v>
      </c>
      <c r="J58" s="19" t="s">
        <v>37</v>
      </c>
      <c r="K58" s="29" t="s">
        <v>28</v>
      </c>
    </row>
    <row r="59" spans="1:16" ht="12" x14ac:dyDescent="0.25">
      <c r="A59" s="47" t="s">
        <v>22</v>
      </c>
      <c r="B59" s="64">
        <f>IF(B20=1, 0.15,0.13)</f>
        <v>0.15</v>
      </c>
      <c r="C59" s="66">
        <f>1.7*$B$17*($B$14*$B$15/($B$13^2))+0.004*($B$17^2)</f>
        <v>1.9414465123473161E-2</v>
      </c>
      <c r="D59" s="66">
        <f>POWER(C42,1.8+0.4*C42)</f>
        <v>0.25680105263125141</v>
      </c>
      <c r="E59" s="64">
        <f>1+0.35/B32^2</f>
        <v>1.2349252431412396</v>
      </c>
      <c r="F59" s="64">
        <f>0.98*$B$14*$B$15</f>
        <v>799.68</v>
      </c>
      <c r="G59" s="64">
        <f>IF($B$29=0,IF($B$30&lt;$B$35,$B$30*($B$27+$B$28)+$B$31*POWER($B$27+$B$28,2),$B$35*($B$27+$B$28)+$B$31*POWER($B$27+$B$28,2)),$B$30*($B$27+$B$28)+$B$31*POWER($B$27+$B$28,2))</f>
        <v>6165</v>
      </c>
      <c r="H59" s="65">
        <f>F59/G59</f>
        <v>0.12971289537712893</v>
      </c>
      <c r="I59" s="67">
        <f>$B$17*H59*$B$15*$B$29/($B$27+$B$28)^2</f>
        <v>8.8437714140059021E-2</v>
      </c>
      <c r="J59" s="66">
        <f>IF($B$29=0,1,1+10*I59-1.5*(1+I59)*SQRT(I59))</f>
        <v>1.3988499075872562</v>
      </c>
      <c r="K59" s="68">
        <f>$B$13*(1+B59)*C59*D59*E59*J59</f>
        <v>2.5751658510673048</v>
      </c>
    </row>
    <row r="60" spans="1:16" ht="12" thickBot="1" x14ac:dyDescent="0.25">
      <c r="A60" s="48" t="s">
        <v>6</v>
      </c>
      <c r="B60" s="14"/>
      <c r="C60" s="17" t="s">
        <v>9</v>
      </c>
      <c r="D60" s="10" t="s">
        <v>29</v>
      </c>
      <c r="E60" s="10" t="s">
        <v>9</v>
      </c>
      <c r="F60" s="10"/>
      <c r="G60" s="10"/>
      <c r="H60" s="10" t="s">
        <v>9</v>
      </c>
      <c r="I60" s="21"/>
      <c r="J60" s="21"/>
      <c r="K60" s="22"/>
    </row>
    <row r="61" spans="1:16" ht="12" thickBot="1" x14ac:dyDescent="0.25">
      <c r="A61" s="274" t="s">
        <v>130</v>
      </c>
      <c r="B61" s="275"/>
      <c r="C61" s="275"/>
      <c r="D61" s="275"/>
      <c r="E61" s="275"/>
      <c r="F61" s="275"/>
      <c r="G61" s="275"/>
      <c r="H61" s="275"/>
      <c r="I61" s="275"/>
      <c r="J61" s="275"/>
      <c r="K61" s="276"/>
    </row>
    <row r="62" spans="1:16" ht="12" x14ac:dyDescent="0.25">
      <c r="A62" s="24" t="s">
        <v>38</v>
      </c>
      <c r="B62" s="12" t="s">
        <v>23</v>
      </c>
      <c r="C62" s="12" t="s">
        <v>32</v>
      </c>
      <c r="D62" s="12" t="s">
        <v>33</v>
      </c>
      <c r="E62" s="12" t="s">
        <v>34</v>
      </c>
      <c r="F62" s="12" t="s">
        <v>35</v>
      </c>
      <c r="G62" s="12" t="s">
        <v>36</v>
      </c>
      <c r="H62" s="12" t="s">
        <v>24</v>
      </c>
      <c r="I62" s="12" t="s">
        <v>25</v>
      </c>
      <c r="J62" s="12" t="s">
        <v>31</v>
      </c>
      <c r="K62" s="12" t="s">
        <v>1</v>
      </c>
      <c r="L62" s="12" t="s">
        <v>2</v>
      </c>
      <c r="M62" s="12" t="s">
        <v>3</v>
      </c>
      <c r="N62" s="19" t="s">
        <v>27</v>
      </c>
      <c r="O62" s="19" t="s">
        <v>30</v>
      </c>
      <c r="P62" s="29" t="s">
        <v>38</v>
      </c>
    </row>
    <row r="63" spans="1:16" ht="12" x14ac:dyDescent="0.25">
      <c r="A63" s="46" t="s">
        <v>22</v>
      </c>
      <c r="B63" s="64">
        <f>IF(B20=1, 0.15,0.13)</f>
        <v>0.15</v>
      </c>
      <c r="C63" s="64">
        <f>IF(B20=1, 0.15,0.2)</f>
        <v>0.15</v>
      </c>
      <c r="D63" s="69">
        <f>IF(B21="O",0.1,0)</f>
        <v>0.1</v>
      </c>
      <c r="E63" s="69">
        <f>IF(B22="O",0.04,0)</f>
        <v>0.04</v>
      </c>
      <c r="F63" s="69">
        <f>(B24-B23)/(B23+B24)</f>
        <v>0</v>
      </c>
      <c r="G63" s="66">
        <f>POWER($B$17,2+(0.8*J59/$B$17))-(0.15*B63+C63)-(D63+E63+F63)</f>
        <v>0.19182593837806194</v>
      </c>
      <c r="H63" s="66">
        <f>1.7*$B$17*($B$14*$B$15/($B$13^2))+0.004*($B$17^2)</f>
        <v>1.9414465123473161E-2</v>
      </c>
      <c r="I63" s="66">
        <f>POWER(C42,1.8+0.4*C42)</f>
        <v>0.25680105263125141</v>
      </c>
      <c r="J63" s="64">
        <f>1-EXP(2.5*(1-B32)/C42)</f>
        <v>0.66282964878794792</v>
      </c>
      <c r="K63" s="64">
        <f>0.98*$B$14*$B$15</f>
        <v>799.68</v>
      </c>
      <c r="L63" s="64">
        <f>IF($B$29=0,IF($B$30&lt;$B$35,$B$30*($B$27+$B$28)+$B$31*POWER($B$27+$B$28,2),$B$35*($B$27+$B$28)+$B$31*POWER($B$27+$B$28,2)),$B$30*($B$27+$B$28)+$B$31*POWER($B$27+$B$28,2))</f>
        <v>6165</v>
      </c>
      <c r="M63" s="65">
        <f>K63/L63</f>
        <v>0.12971289537712893</v>
      </c>
      <c r="N63" s="67">
        <f>$B$17*M63*$B$15*$B$29/($B$27+$B$28)^2</f>
        <v>8.8437714140059021E-2</v>
      </c>
      <c r="O63" s="66">
        <f>IF($B$29=0,1,1-5*N63)</f>
        <v>0.55781142929970495</v>
      </c>
      <c r="P63" s="68">
        <f>-$B$13*1.7*H63*I63*J63*G63*O63</f>
        <v>-0.15629358944534824</v>
      </c>
    </row>
    <row r="64" spans="1:16" ht="12" thickBot="1" x14ac:dyDescent="0.25">
      <c r="A64" s="50" t="s">
        <v>6</v>
      </c>
      <c r="B64" s="28"/>
      <c r="C64" s="17" t="s">
        <v>9</v>
      </c>
      <c r="D64" s="23" t="s">
        <v>29</v>
      </c>
      <c r="E64" s="23" t="s">
        <v>9</v>
      </c>
      <c r="F64" s="23"/>
      <c r="G64" s="23"/>
      <c r="H64" s="10" t="s">
        <v>9</v>
      </c>
      <c r="I64" s="21"/>
      <c r="J64" s="21"/>
      <c r="K64" s="26"/>
      <c r="L64" s="27"/>
      <c r="M64" s="25"/>
      <c r="N64" s="25"/>
      <c r="O64" s="25"/>
      <c r="P64" s="18"/>
    </row>
    <row r="65" spans="1:15" ht="12" x14ac:dyDescent="0.25">
      <c r="A65" s="49" t="s">
        <v>121</v>
      </c>
      <c r="B65" s="70">
        <f>IF(AND($B$29&lt;($B$28+$B$27),B29&gt;0),(K59-0.5*P63),(IF(B28=B29,(IF(B28/B15&lt;1.2,(IF(B17&gt;0.8,(IF(B19&lt;7,(K59-0.5*P63),(0))),(K59-0.5*P63))),(K59-0.5*P63))),(0))))</f>
        <v>2.6533126457899789</v>
      </c>
    </row>
    <row r="66" spans="1:15" ht="12.6" thickBot="1" x14ac:dyDescent="0.3">
      <c r="A66" s="142" t="s">
        <v>126</v>
      </c>
      <c r="B66" s="143">
        <f>IF(AND($B$29&lt;($B$28+$B$27),B29&gt;0),(K59+0.5*P63),(IF(B28=B29,(IF(B28/B15&lt;1.2,(IF(B17&gt;0.8,(IF(B19&lt;7,(K59+0.5*P63),(0))),(K59+0.5*P63))),(K59+0.5*P63))),(0))))</f>
        <v>2.4970190563446306</v>
      </c>
    </row>
    <row r="67" spans="1:15" x14ac:dyDescent="0.2">
      <c r="A67" s="31"/>
      <c r="B67" s="31"/>
    </row>
    <row r="68" spans="1:15" x14ac:dyDescent="0.2">
      <c r="A68" s="31"/>
      <c r="B68" s="31"/>
    </row>
    <row r="69" spans="1:15" ht="12" x14ac:dyDescent="0.25">
      <c r="A69" s="16"/>
      <c r="B69" s="16"/>
    </row>
    <row r="70" spans="1:15" x14ac:dyDescent="0.2">
      <c r="A70" s="1"/>
      <c r="B70" s="1"/>
    </row>
    <row r="71" spans="1:15" x14ac:dyDescent="0.2">
      <c r="A71" s="32"/>
      <c r="B71" s="32"/>
      <c r="C71" s="31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</row>
    <row r="72" spans="1:15" x14ac:dyDescent="0.2">
      <c r="A72" s="30"/>
      <c r="B72" s="37"/>
      <c r="C72" s="31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</row>
    <row r="73" spans="1:15" ht="12" x14ac:dyDescent="0.25">
      <c r="A73" s="30"/>
      <c r="B73" s="30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31"/>
      <c r="O73" s="31"/>
    </row>
    <row r="74" spans="1:15" ht="12" x14ac:dyDescent="0.25">
      <c r="A74" s="32"/>
      <c r="B74" s="33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31"/>
      <c r="O74" s="31"/>
    </row>
    <row r="75" spans="1:15" x14ac:dyDescent="0.2">
      <c r="A75" s="30"/>
      <c r="B75" s="37"/>
      <c r="C75" s="32"/>
      <c r="D75" s="32"/>
      <c r="E75" s="32"/>
      <c r="F75" s="32"/>
      <c r="G75" s="32"/>
      <c r="H75" s="32"/>
      <c r="I75" s="32"/>
      <c r="J75" s="32"/>
      <c r="K75" s="32"/>
      <c r="L75" s="32"/>
      <c r="M75" s="31"/>
      <c r="N75" s="31"/>
      <c r="O75" s="31"/>
    </row>
    <row r="76" spans="1:15" x14ac:dyDescent="0.2">
      <c r="A76" s="15"/>
      <c r="B76" s="8"/>
      <c r="C76" s="36"/>
      <c r="D76" s="36"/>
      <c r="E76" s="36"/>
      <c r="F76" s="38"/>
      <c r="G76" s="37"/>
      <c r="H76" s="37"/>
      <c r="I76" s="38"/>
      <c r="J76" s="37"/>
      <c r="K76" s="38"/>
      <c r="L76" s="36"/>
      <c r="M76" s="31"/>
      <c r="N76" s="31"/>
      <c r="O76" s="31"/>
    </row>
    <row r="77" spans="1:15" x14ac:dyDescent="0.2">
      <c r="A77" s="1"/>
      <c r="B77" s="1"/>
      <c r="C77" s="30"/>
      <c r="D77" s="30"/>
      <c r="E77" s="30"/>
      <c r="F77" s="30"/>
      <c r="G77" s="30"/>
      <c r="H77" s="30"/>
      <c r="I77" s="30"/>
      <c r="J77" s="30"/>
      <c r="K77" s="30"/>
      <c r="L77" s="31"/>
      <c r="M77" s="31"/>
      <c r="N77" s="31"/>
      <c r="O77" s="31"/>
    </row>
    <row r="78" spans="1:15" ht="12" x14ac:dyDescent="0.25">
      <c r="A78" s="32"/>
      <c r="B78" s="33"/>
      <c r="C78" s="33"/>
      <c r="D78" s="32"/>
      <c r="E78" s="32"/>
      <c r="F78" s="33"/>
      <c r="G78" s="32"/>
      <c r="H78" s="32"/>
      <c r="I78" s="32"/>
      <c r="J78" s="33"/>
      <c r="K78" s="32"/>
      <c r="L78" s="33"/>
      <c r="M78" s="33"/>
      <c r="N78" s="31"/>
      <c r="O78" s="31"/>
    </row>
    <row r="79" spans="1:15" x14ac:dyDescent="0.2">
      <c r="A79" s="30"/>
      <c r="B79" s="37"/>
      <c r="C79" s="37"/>
      <c r="D79" s="36"/>
      <c r="E79" s="37"/>
      <c r="F79" s="36"/>
      <c r="G79" s="36"/>
      <c r="H79" s="38"/>
      <c r="I79" s="34"/>
      <c r="J79" s="36"/>
      <c r="K79" s="35"/>
      <c r="L79" s="36"/>
      <c r="M79" s="35"/>
      <c r="N79" s="31"/>
      <c r="O79" s="31"/>
    </row>
    <row r="80" spans="1:15" x14ac:dyDescent="0.2">
      <c r="A80" s="15"/>
      <c r="B80" s="8"/>
      <c r="C80" s="8"/>
      <c r="D80" s="39"/>
      <c r="E80" s="39"/>
      <c r="F80" s="39"/>
      <c r="G80" s="39"/>
      <c r="H80" s="39"/>
      <c r="I80" s="31"/>
      <c r="J80" s="31"/>
      <c r="K80" s="32"/>
      <c r="L80" s="31"/>
      <c r="M80" s="32"/>
      <c r="N80" s="31"/>
      <c r="O80" s="31"/>
    </row>
    <row r="81" spans="1:15" ht="12" x14ac:dyDescent="0.25">
      <c r="A81" s="40"/>
      <c r="B81" s="3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31"/>
      <c r="O81" s="31"/>
    </row>
    <row r="82" spans="1:15" ht="12" x14ac:dyDescent="0.25">
      <c r="A82" s="31"/>
      <c r="B82" s="31"/>
      <c r="C82" s="33"/>
      <c r="D82" s="33"/>
      <c r="E82" s="32"/>
      <c r="F82" s="32"/>
      <c r="G82" s="32"/>
      <c r="H82" s="33"/>
      <c r="I82" s="32"/>
      <c r="J82" s="33"/>
      <c r="K82" s="33"/>
      <c r="L82" s="31"/>
      <c r="M82" s="31"/>
      <c r="N82" s="31"/>
      <c r="O82" s="31"/>
    </row>
    <row r="83" spans="1:15" x14ac:dyDescent="0.2">
      <c r="C83" s="37"/>
      <c r="D83" s="36"/>
      <c r="E83" s="36"/>
      <c r="F83" s="38"/>
      <c r="G83" s="36"/>
      <c r="H83" s="36"/>
      <c r="I83" s="35"/>
      <c r="J83" s="36"/>
      <c r="K83" s="35"/>
      <c r="L83" s="31"/>
      <c r="M83" s="31"/>
      <c r="N83" s="31"/>
      <c r="O83" s="31"/>
    </row>
    <row r="84" spans="1:15" x14ac:dyDescent="0.2">
      <c r="C84" s="8"/>
      <c r="D84" s="39"/>
      <c r="E84" s="39"/>
      <c r="F84" s="39"/>
      <c r="G84" s="39"/>
      <c r="H84" s="39"/>
      <c r="I84" s="31"/>
      <c r="J84" s="31"/>
      <c r="K84" s="32"/>
      <c r="L84" s="31"/>
      <c r="M84" s="32"/>
      <c r="N84" s="31"/>
      <c r="O84" s="31"/>
    </row>
    <row r="85" spans="1:15" x14ac:dyDescent="0.2">
      <c r="C85" s="31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</row>
    <row r="86" spans="1:15" x14ac:dyDescent="0.2">
      <c r="C86" s="31"/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</row>
  </sheetData>
  <sheetProtection sheet="1" objects="1" scenarios="1"/>
  <mergeCells count="14">
    <mergeCell ref="A39:D39"/>
    <mergeCell ref="F2:J2"/>
    <mergeCell ref="A10:B10"/>
    <mergeCell ref="A12:B12"/>
    <mergeCell ref="A33:B33"/>
    <mergeCell ref="A34:B34"/>
    <mergeCell ref="A57:K57"/>
    <mergeCell ref="A61:K61"/>
    <mergeCell ref="A40:D40"/>
    <mergeCell ref="A45:M45"/>
    <mergeCell ref="A46:M46"/>
    <mergeCell ref="A47:M47"/>
    <mergeCell ref="A51:M51"/>
    <mergeCell ref="A56:K56"/>
  </mergeCells>
  <pageMargins left="0.78740157499999996" right="0.78740157499999996" top="0.984251969" bottom="0.984251969" header="0.4921259845" footer="0.4921259845"/>
  <pageSetup paperSize="9" orientation="portrait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6"/>
  <sheetViews>
    <sheetView topLeftCell="A43" workbookViewId="0">
      <selection activeCell="B42" sqref="B42"/>
    </sheetView>
  </sheetViews>
  <sheetFormatPr baseColWidth="10" defaultRowHeight="11.4" x14ac:dyDescent="0.2"/>
  <cols>
    <col min="1" max="1" width="23.25" customWidth="1"/>
    <col min="9" max="9" width="13.875" customWidth="1"/>
  </cols>
  <sheetData>
    <row r="1" spans="1:10" ht="12" thickBot="1" x14ac:dyDescent="0.25"/>
    <row r="2" spans="1:10" ht="21" thickBot="1" x14ac:dyDescent="0.4">
      <c r="F2" s="279" t="s">
        <v>43</v>
      </c>
      <c r="G2" s="280"/>
      <c r="H2" s="280"/>
      <c r="I2" s="280"/>
      <c r="J2" s="281"/>
    </row>
    <row r="10" spans="1:10" x14ac:dyDescent="0.2">
      <c r="A10" s="282"/>
      <c r="B10" s="282"/>
    </row>
    <row r="11" spans="1:10" ht="12" thickBot="1" x14ac:dyDescent="0.25"/>
    <row r="12" spans="1:10" ht="12" thickBot="1" x14ac:dyDescent="0.25">
      <c r="A12" s="283" t="s">
        <v>99</v>
      </c>
      <c r="B12" s="284"/>
    </row>
    <row r="13" spans="1:10" x14ac:dyDescent="0.2">
      <c r="A13" s="4" t="s">
        <v>0</v>
      </c>
      <c r="B13" s="106">
        <f>'Initial data'!C8</f>
        <v>260</v>
      </c>
    </row>
    <row r="14" spans="1:10" x14ac:dyDescent="0.2">
      <c r="A14" s="109" t="s">
        <v>86</v>
      </c>
      <c r="B14" s="107">
        <f>'Initial data'!D8</f>
        <v>48</v>
      </c>
    </row>
    <row r="15" spans="1:10" x14ac:dyDescent="0.2">
      <c r="A15" s="109" t="s">
        <v>91</v>
      </c>
      <c r="B15" s="59">
        <f>(B23+B24)/2</f>
        <v>17</v>
      </c>
    </row>
    <row r="16" spans="1:10" x14ac:dyDescent="0.2">
      <c r="A16" s="109" t="s">
        <v>105</v>
      </c>
      <c r="B16" s="125">
        <f>B17*B13*B14*B15</f>
        <v>173170.73170731709</v>
      </c>
    </row>
    <row r="17" spans="1:2" x14ac:dyDescent="0.2">
      <c r="A17" s="5" t="s">
        <v>5</v>
      </c>
      <c r="B17" s="108">
        <f>'Initial data'!J8</f>
        <v>0.81622705367325177</v>
      </c>
    </row>
    <row r="18" spans="1:2" x14ac:dyDescent="0.2">
      <c r="A18" s="9" t="s">
        <v>7</v>
      </c>
      <c r="B18" s="108">
        <f>'Initial data'!K8</f>
        <v>0.9</v>
      </c>
    </row>
    <row r="19" spans="1:2" ht="12" thickBot="1" x14ac:dyDescent="0.25">
      <c r="A19" s="110" t="s">
        <v>87</v>
      </c>
      <c r="B19" s="74">
        <v>16</v>
      </c>
    </row>
    <row r="20" spans="1:2" x14ac:dyDescent="0.2">
      <c r="A20" s="113" t="s">
        <v>89</v>
      </c>
      <c r="B20" s="116">
        <f>'Initial data'!L8</f>
        <v>1</v>
      </c>
    </row>
    <row r="21" spans="1:2" x14ac:dyDescent="0.2">
      <c r="A21" s="114" t="s">
        <v>92</v>
      </c>
      <c r="B21" s="108" t="str">
        <f>'Initial data'!M8</f>
        <v>O</v>
      </c>
    </row>
    <row r="22" spans="1:2" ht="11.55" customHeight="1" x14ac:dyDescent="0.2">
      <c r="A22" s="114" t="s">
        <v>94</v>
      </c>
      <c r="B22" s="108" t="str">
        <f>'Initial data'!N8</f>
        <v>O</v>
      </c>
    </row>
    <row r="23" spans="1:2" x14ac:dyDescent="0.2">
      <c r="A23" s="115" t="s">
        <v>97</v>
      </c>
      <c r="B23" s="108">
        <f>'Initial data'!E8</f>
        <v>17</v>
      </c>
    </row>
    <row r="24" spans="1:2" ht="12" thickBot="1" x14ac:dyDescent="0.25">
      <c r="A24" s="117" t="s">
        <v>98</v>
      </c>
      <c r="B24" s="118">
        <f>'Initial data'!F8</f>
        <v>17</v>
      </c>
    </row>
    <row r="25" spans="1:2" ht="12" thickBot="1" x14ac:dyDescent="0.25"/>
    <row r="26" spans="1:2" ht="12" thickBot="1" x14ac:dyDescent="0.25">
      <c r="A26" s="111" t="s">
        <v>102</v>
      </c>
      <c r="B26" s="57"/>
    </row>
    <row r="27" spans="1:2" x14ac:dyDescent="0.2">
      <c r="A27" s="6" t="s">
        <v>106</v>
      </c>
      <c r="B27" s="116">
        <f>'Initial data'!C23</f>
        <v>-0.2</v>
      </c>
    </row>
    <row r="28" spans="1:2" x14ac:dyDescent="0.2">
      <c r="A28" s="7" t="s">
        <v>107</v>
      </c>
      <c r="B28" s="108">
        <f>'Initial data'!D23</f>
        <v>20.75</v>
      </c>
    </row>
    <row r="29" spans="1:2" x14ac:dyDescent="0.2">
      <c r="A29" s="133" t="s">
        <v>110</v>
      </c>
      <c r="B29" s="108">
        <f>'Initial data'!E23</f>
        <v>20.75</v>
      </c>
    </row>
    <row r="30" spans="1:2" x14ac:dyDescent="0.2">
      <c r="A30" s="133" t="s">
        <v>111</v>
      </c>
      <c r="B30" s="108">
        <f>'Initial data'!F23</f>
        <v>300</v>
      </c>
    </row>
    <row r="31" spans="1:2" ht="12" thickBot="1" x14ac:dyDescent="0.25">
      <c r="A31" s="135" t="s">
        <v>116</v>
      </c>
      <c r="B31" s="118">
        <f>'Initial data'!G23</f>
        <v>0</v>
      </c>
    </row>
    <row r="32" spans="1:2" ht="12" thickBot="1" x14ac:dyDescent="0.25">
      <c r="A32" s="44" t="s">
        <v>44</v>
      </c>
      <c r="B32" s="60">
        <f>B28/B15</f>
        <v>1.2205882352941178</v>
      </c>
    </row>
    <row r="33" spans="1:13" x14ac:dyDescent="0.2">
      <c r="A33" s="285" t="s">
        <v>117</v>
      </c>
      <c r="B33" s="286"/>
    </row>
    <row r="34" spans="1:13" x14ac:dyDescent="0.2">
      <c r="A34" s="287" t="s">
        <v>40</v>
      </c>
      <c r="B34" s="288"/>
    </row>
    <row r="35" spans="1:13" ht="12" thickBot="1" x14ac:dyDescent="0.25">
      <c r="A35" s="51" t="s">
        <v>8</v>
      </c>
      <c r="B35" s="61">
        <f>(7.04/B17^0.85)*B14</f>
        <v>401.58229656579465</v>
      </c>
    </row>
    <row r="38" spans="1:13" ht="12" thickBot="1" x14ac:dyDescent="0.25">
      <c r="A38" s="42"/>
      <c r="B38" s="42"/>
    </row>
    <row r="39" spans="1:13" ht="12.6" thickBot="1" x14ac:dyDescent="0.3">
      <c r="A39" s="263" t="s">
        <v>119</v>
      </c>
      <c r="B39" s="264"/>
      <c r="C39" s="264"/>
      <c r="D39" s="265"/>
    </row>
    <row r="40" spans="1:13" ht="12" thickBot="1" x14ac:dyDescent="0.25">
      <c r="A40" s="274" t="s">
        <v>122</v>
      </c>
      <c r="B40" s="277"/>
      <c r="C40" s="277"/>
      <c r="D40" s="278"/>
    </row>
    <row r="41" spans="1:13" x14ac:dyDescent="0.2">
      <c r="A41" s="11" t="s">
        <v>121</v>
      </c>
      <c r="B41" s="12" t="s">
        <v>42</v>
      </c>
      <c r="C41" s="12" t="s">
        <v>120</v>
      </c>
      <c r="D41" s="13" t="s">
        <v>4</v>
      </c>
    </row>
    <row r="42" spans="1:13" ht="12.6" thickBot="1" x14ac:dyDescent="0.3">
      <c r="A42" s="58" t="s">
        <v>41</v>
      </c>
      <c r="B42" s="62">
        <f>IF(B19*1852/3600&lt;I49,B19*1852/3600,I49)</f>
        <v>8.1276225664451633</v>
      </c>
      <c r="C42" s="62">
        <f>B42/SQRT(9.81*($B$27+$B$28))</f>
        <v>0.57243095484554007</v>
      </c>
      <c r="D42" s="63">
        <f xml:space="preserve">  IF($B$29=0,       (IF(B32&lt;1.2, (IF(B17&lt;0.8,          (((2*B17*B14*B15)/B13)*POWER(C42,2)/SQRT(1-POWER(C42,2))),         (0)     )),     (((2*B17*B14*B15)/B13)*POWER(C42,2)/SQRT(1-POWER(C42,2))))),(0))</f>
        <v>0</v>
      </c>
      <c r="E42" s="42"/>
      <c r="F42" s="42"/>
      <c r="G42" s="42"/>
      <c r="H42" s="42"/>
      <c r="I42" s="42"/>
      <c r="J42" s="42"/>
      <c r="K42" s="42"/>
      <c r="L42" s="42"/>
    </row>
    <row r="43" spans="1:13" x14ac:dyDescent="0.2">
      <c r="A43" s="42"/>
      <c r="B43" s="42"/>
      <c r="E43" s="42"/>
      <c r="F43" s="42"/>
      <c r="G43" s="42"/>
      <c r="H43" s="42"/>
      <c r="I43" s="42"/>
      <c r="J43" s="42"/>
      <c r="K43" s="42"/>
      <c r="L43" s="42"/>
    </row>
    <row r="44" spans="1:13" ht="12" thickBot="1" x14ac:dyDescent="0.25">
      <c r="A44" s="45"/>
      <c r="B44" s="45"/>
      <c r="E44" s="42"/>
      <c r="F44" s="42"/>
      <c r="G44" s="42"/>
      <c r="H44" s="42"/>
      <c r="I44" s="42"/>
      <c r="J44" s="42"/>
      <c r="K44" s="42"/>
      <c r="L44" s="42"/>
    </row>
    <row r="45" spans="1:13" ht="12.6" thickBot="1" x14ac:dyDescent="0.3">
      <c r="A45" s="263" t="s">
        <v>123</v>
      </c>
      <c r="B45" s="264"/>
      <c r="C45" s="264"/>
      <c r="D45" s="264"/>
      <c r="E45" s="264"/>
      <c r="F45" s="264"/>
      <c r="G45" s="264"/>
      <c r="H45" s="264"/>
      <c r="I45" s="264"/>
      <c r="J45" s="264"/>
      <c r="K45" s="264"/>
      <c r="L45" s="264"/>
      <c r="M45" s="265"/>
    </row>
    <row r="46" spans="1:13" ht="12" thickBot="1" x14ac:dyDescent="0.25">
      <c r="A46" s="274" t="s">
        <v>124</v>
      </c>
      <c r="B46" s="275"/>
      <c r="C46" s="275"/>
      <c r="D46" s="275"/>
      <c r="E46" s="275"/>
      <c r="F46" s="275"/>
      <c r="G46" s="275"/>
      <c r="H46" s="275"/>
      <c r="I46" s="275"/>
      <c r="J46" s="275"/>
      <c r="K46" s="275"/>
      <c r="L46" s="275"/>
      <c r="M46" s="276"/>
    </row>
    <row r="47" spans="1:13" ht="12.6" thickBot="1" x14ac:dyDescent="0.3">
      <c r="A47" s="271" t="s">
        <v>10</v>
      </c>
      <c r="B47" s="272"/>
      <c r="C47" s="272"/>
      <c r="D47" s="272"/>
      <c r="E47" s="272"/>
      <c r="F47" s="272"/>
      <c r="G47" s="272"/>
      <c r="H47" s="272"/>
      <c r="I47" s="272"/>
      <c r="J47" s="272"/>
      <c r="K47" s="272"/>
      <c r="L47" s="272"/>
      <c r="M47" s="273"/>
    </row>
    <row r="48" spans="1:13" x14ac:dyDescent="0.2">
      <c r="A48" s="11" t="s">
        <v>121</v>
      </c>
      <c r="B48" s="12" t="s">
        <v>1</v>
      </c>
      <c r="C48" s="12" t="s">
        <v>2</v>
      </c>
      <c r="D48" s="12" t="s">
        <v>3</v>
      </c>
      <c r="E48" s="12" t="s">
        <v>12</v>
      </c>
      <c r="F48" s="12" t="s">
        <v>13</v>
      </c>
      <c r="G48" s="12" t="s">
        <v>14</v>
      </c>
      <c r="H48" s="12" t="s">
        <v>15</v>
      </c>
      <c r="I48" s="19" t="s">
        <v>125</v>
      </c>
      <c r="J48" s="19" t="s">
        <v>17</v>
      </c>
      <c r="K48" s="19" t="s">
        <v>18</v>
      </c>
      <c r="L48" s="19" t="s">
        <v>19</v>
      </c>
      <c r="M48" s="20" t="s">
        <v>4</v>
      </c>
    </row>
    <row r="49" spans="1:16" ht="12.6" thickBot="1" x14ac:dyDescent="0.3">
      <c r="A49" s="137" t="s">
        <v>39</v>
      </c>
      <c r="B49" s="138">
        <f>0.98*$B$14*$B$15</f>
        <v>799.68</v>
      </c>
      <c r="C49" s="138">
        <f>IF($B$29=0,IF($B$30&lt;$B$35,$B$30*($B$27+$B$28)+$B$31*POWER($B$27+$B$28,2),$B$35*($B$27+$B$28)+$B$31*POWER($B$27+$B$28,2)),$B$30*($B$27+$B$28)+$B$31*POWER($B$27+$B$28,2))</f>
        <v>6165</v>
      </c>
      <c r="D49" s="139">
        <f>B49/C49</f>
        <v>0.12971289537712893</v>
      </c>
      <c r="E49" s="139">
        <f>POWER(2*COS((PI()+ACOS(1-D49))/3),1.5)</f>
        <v>0.57243095484554007</v>
      </c>
      <c r="F49" s="139">
        <f>IF($B$29=0,IF($B$30&lt;$B$35,C49/($B$30+2*$B$31*($B$27+$B$28)),C49/($B$35+2*$B$31*($B$27+$B$28))),C49/($B$30+2*$B$31*($B$27+$B$28)))</f>
        <v>20.55</v>
      </c>
      <c r="G49" s="139">
        <f>0.58*POWER(($B$27+$B$28)*$B$13/$B$15/$B$14,0.125)</f>
        <v>0.73356714258821765</v>
      </c>
      <c r="H49" s="139">
        <f>($B$27+$B$28)-$B$29*(1-F49/($B$27+$B$28))</f>
        <v>20.55</v>
      </c>
      <c r="I49" s="140">
        <f>IF($B$29=0, G49*SQRT(9.81*($B$27+$B$28)),IF($B$29&lt;($B$28+$B$27),(G49*(1-$B$29/($B$28+$B$27))+E49*$B$29/($B$28+$B$27))*SQRT(9.81*H49),E49*SQRT(9.81*F49)))</f>
        <v>8.1276225664451633</v>
      </c>
      <c r="J49" s="140">
        <f>0.155*SQRT(($B$27+$B$28)/$B$15)</f>
        <v>0.17041709214194936</v>
      </c>
      <c r="K49" s="140">
        <f>POWER(10*$B$14*$B$17/$B$13,2)</f>
        <v>2.270689487652755</v>
      </c>
      <c r="L49" s="140">
        <f>8*POWER(B42/I49,2)*(POWER(B42/I49-0.5,4)+0.0625)</f>
        <v>1</v>
      </c>
      <c r="M49" s="141">
        <f>IF($B$29=0,(IF(B32&lt;1.2,(IF(B17&gt;=0.8,(L49*K49*J49*B15),(0))),(L49*K49*J49*B15)   )   ),(IF(B28=B29,(IF(B28/B15&lt;1.2,(IF(B17&gt;0.8,(IF(B19&gt;=7,(L49*K49*J49*B15),(0))),(L49*K49*J49*B15))),(L49*K49*J49*B15))),(0))))</f>
        <v>6.5783930939322808</v>
      </c>
    </row>
    <row r="50" spans="1:16" ht="12.6" thickBot="1" x14ac:dyDescent="0.3">
      <c r="A50" s="15"/>
      <c r="B50" s="39"/>
      <c r="C50" s="39"/>
      <c r="D50" s="39"/>
      <c r="E50" s="39"/>
      <c r="F50" s="41"/>
      <c r="G50" s="3"/>
      <c r="H50" s="31"/>
      <c r="I50" s="31"/>
      <c r="J50" s="31"/>
      <c r="K50" s="31"/>
      <c r="L50" s="31"/>
      <c r="M50" s="31"/>
    </row>
    <row r="51" spans="1:16" ht="12.6" thickBot="1" x14ac:dyDescent="0.3">
      <c r="A51" s="271" t="s">
        <v>11</v>
      </c>
      <c r="B51" s="272"/>
      <c r="C51" s="272"/>
      <c r="D51" s="272"/>
      <c r="E51" s="272"/>
      <c r="F51" s="272"/>
      <c r="G51" s="272"/>
      <c r="H51" s="272"/>
      <c r="I51" s="272"/>
      <c r="J51" s="272"/>
      <c r="K51" s="272"/>
      <c r="L51" s="272"/>
      <c r="M51" s="273"/>
    </row>
    <row r="52" spans="1:16" x14ac:dyDescent="0.2">
      <c r="A52" s="11" t="s">
        <v>126</v>
      </c>
      <c r="B52" s="12" t="s">
        <v>1</v>
      </c>
      <c r="C52" s="12" t="s">
        <v>2</v>
      </c>
      <c r="D52" s="12" t="s">
        <v>3</v>
      </c>
      <c r="E52" s="12" t="s">
        <v>12</v>
      </c>
      <c r="F52" s="12" t="s">
        <v>13</v>
      </c>
      <c r="G52" s="12" t="s">
        <v>14</v>
      </c>
      <c r="H52" s="12" t="s">
        <v>15</v>
      </c>
      <c r="I52" s="19" t="s">
        <v>125</v>
      </c>
      <c r="J52" s="19" t="s">
        <v>17</v>
      </c>
      <c r="K52" s="19" t="s">
        <v>18</v>
      </c>
      <c r="L52" s="19" t="s">
        <v>19</v>
      </c>
      <c r="M52" s="20" t="s">
        <v>20</v>
      </c>
    </row>
    <row r="53" spans="1:16" ht="12.6" thickBot="1" x14ac:dyDescent="0.3">
      <c r="A53" s="137" t="s">
        <v>39</v>
      </c>
      <c r="B53" s="138">
        <f>0.98*$B$14*$B$15</f>
        <v>799.68</v>
      </c>
      <c r="C53" s="138">
        <f>IF($B$29=0,IF($B$30&lt;$B$35,$B$30*($B$27+$B$28)+$B$31*POWER($B$27+$B$28,2),$B$35*($B$27+$B$28)+$B$31*POWER($B$27+$B$28,2)),$B$30*($B$27+$B$28)+$B$31*POWER($B$27+$B$28,2))</f>
        <v>6165</v>
      </c>
      <c r="D53" s="139">
        <f>B53/C53</f>
        <v>0.12971289537712893</v>
      </c>
      <c r="E53" s="139">
        <f>POWER(2*COS((PI()+ACOS(1-D53))/3),1.5)</f>
        <v>0.57243095484554007</v>
      </c>
      <c r="F53" s="139">
        <f>IF($B$29=0,IF($B$30&lt;$B$35,C53/($B$30+2*$B$31*($B$27+$B$28)),C53/($B$35+2*$B$31*($B$27+$B$28))),C53/($B$30+2*$B$31*($B$27+$B$28)))</f>
        <v>20.55</v>
      </c>
      <c r="G53" s="139">
        <f>0.58*POWER(($B$27+$B$28)*$B$13/$B$15/$B$14,0.125)</f>
        <v>0.73356714258821765</v>
      </c>
      <c r="H53" s="139">
        <f>($B$27+$B$28)-$B$29*(1-F53/($B$27+$B$28))</f>
        <v>20.55</v>
      </c>
      <c r="I53" s="140">
        <f>IF($B$29=0, G53*SQRT(9.81*($B$27+$B$28)),IF($B$29&lt;($B$28+$B$27),(G53*(1-$B$29/($B$28+$B$27))+E53*$B$29/($B$28+$B$27))*SQRT(9.81*H53),E53*SQRT(9.81*F53)))</f>
        <v>8.1276225664451633</v>
      </c>
      <c r="J53" s="140">
        <f>0.155*SQRT(($B$27+$B$28)/$B$15)</f>
        <v>0.17041709214194936</v>
      </c>
      <c r="K53" s="140">
        <v>1</v>
      </c>
      <c r="L53" s="140">
        <f>8*POWER(B42/I53,2)*(POWER(B42/I53-0.5,4)+0.0625)</f>
        <v>1</v>
      </c>
      <c r="M53" s="141">
        <f>IF($B$29=0,(IF(B32&lt;1.2,(IF(B17&gt;=0.8,(L53*K53*J53*B15),(0))),(L53*K53*J53*B15))),(IF(B28=B29,(IF(B28/B15&lt;1.2,(IF(B17&gt;0.8,(IF(B19&gt;=7,(L53*K53*J53*B15),(0))),(L53*K53*J53*B15))),(L53*K53*J53*B15))),(0))))</f>
        <v>2.897090566413139</v>
      </c>
    </row>
    <row r="54" spans="1:16" x14ac:dyDescent="0.2">
      <c r="A54" s="15"/>
      <c r="B54" s="39"/>
    </row>
    <row r="55" spans="1:16" ht="12" thickBot="1" x14ac:dyDescent="0.25">
      <c r="A55" s="45"/>
      <c r="B55" s="45"/>
    </row>
    <row r="56" spans="1:16" ht="12.6" thickBot="1" x14ac:dyDescent="0.3">
      <c r="A56" s="263" t="s">
        <v>127</v>
      </c>
      <c r="B56" s="264"/>
      <c r="C56" s="264"/>
      <c r="D56" s="264"/>
      <c r="E56" s="264"/>
      <c r="F56" s="264"/>
      <c r="G56" s="264"/>
      <c r="H56" s="264"/>
      <c r="I56" s="264"/>
      <c r="J56" s="264"/>
      <c r="K56" s="265"/>
    </row>
    <row r="57" spans="1:16" ht="12" thickBot="1" x14ac:dyDescent="0.25">
      <c r="A57" s="274" t="s">
        <v>128</v>
      </c>
      <c r="B57" s="275"/>
      <c r="C57" s="275"/>
      <c r="D57" s="275"/>
      <c r="E57" s="275"/>
      <c r="F57" s="275"/>
      <c r="G57" s="275"/>
      <c r="H57" s="275"/>
      <c r="I57" s="275"/>
      <c r="J57" s="275"/>
      <c r="K57" s="276"/>
    </row>
    <row r="58" spans="1:16" ht="12" x14ac:dyDescent="0.25">
      <c r="A58" s="11" t="s">
        <v>129</v>
      </c>
      <c r="B58" s="12" t="s">
        <v>23</v>
      </c>
      <c r="C58" s="12" t="s">
        <v>24</v>
      </c>
      <c r="D58" s="12" t="s">
        <v>25</v>
      </c>
      <c r="E58" s="12" t="s">
        <v>26</v>
      </c>
      <c r="F58" s="12" t="s">
        <v>1</v>
      </c>
      <c r="G58" s="12" t="s">
        <v>2</v>
      </c>
      <c r="H58" s="12" t="s">
        <v>3</v>
      </c>
      <c r="I58" s="19" t="s">
        <v>27</v>
      </c>
      <c r="J58" s="19" t="s">
        <v>37</v>
      </c>
      <c r="K58" s="29" t="s">
        <v>28</v>
      </c>
    </row>
    <row r="59" spans="1:16" ht="12" x14ac:dyDescent="0.25">
      <c r="A59" s="47" t="s">
        <v>22</v>
      </c>
      <c r="B59" s="64">
        <f>IF(B20=1, 0.15,0.13)</f>
        <v>0.15</v>
      </c>
      <c r="C59" s="66">
        <f>1.7*$B$17*($B$14*$B$15/($B$13^2))+0.004*($B$17^2)</f>
        <v>1.9414465123473161E-2</v>
      </c>
      <c r="D59" s="66">
        <f>POWER(C42,1.8+0.4*C42)</f>
        <v>0.32242364457311407</v>
      </c>
      <c r="E59" s="64">
        <f>1+0.35/B32^2</f>
        <v>1.2349252431412396</v>
      </c>
      <c r="F59" s="64">
        <f>0.98*$B$14*$B$15</f>
        <v>799.68</v>
      </c>
      <c r="G59" s="64">
        <f>IF($B$29=0,IF($B$30&lt;$B$35,$B$30*($B$27+$B$28)+$B$31*POWER($B$27+$B$28,2),$B$35*($B$27+$B$28)+$B$31*POWER($B$27+$B$28,2)),$B$30*($B$27+$B$28)+$B$31*POWER($B$27+$B$28,2))</f>
        <v>6165</v>
      </c>
      <c r="H59" s="65">
        <f>F59/G59</f>
        <v>0.12971289537712893</v>
      </c>
      <c r="I59" s="67">
        <f>$B$17*H59*$B$15*$B$29/($B$27+$B$28)^2</f>
        <v>8.8437714140059021E-2</v>
      </c>
      <c r="J59" s="66">
        <f>IF($B$29=0,1,1+10*I59-1.5*(1+I59)*SQRT(I59))</f>
        <v>1.3988499075872562</v>
      </c>
      <c r="K59" s="68">
        <f>$B$13*(1+B59)*C59*D59*E59*J59</f>
        <v>3.2332202324481552</v>
      </c>
    </row>
    <row r="60" spans="1:16" ht="12" thickBot="1" x14ac:dyDescent="0.25">
      <c r="A60" s="48" t="s">
        <v>6</v>
      </c>
      <c r="B60" s="14"/>
      <c r="C60" s="17" t="s">
        <v>9</v>
      </c>
      <c r="D60" s="10" t="s">
        <v>29</v>
      </c>
      <c r="E60" s="10" t="s">
        <v>9</v>
      </c>
      <c r="F60" s="10"/>
      <c r="G60" s="10"/>
      <c r="H60" s="10" t="s">
        <v>9</v>
      </c>
      <c r="I60" s="21"/>
      <c r="J60" s="21"/>
      <c r="K60" s="22"/>
    </row>
    <row r="61" spans="1:16" ht="12" thickBot="1" x14ac:dyDescent="0.25">
      <c r="A61" s="274" t="s">
        <v>130</v>
      </c>
      <c r="B61" s="275"/>
      <c r="C61" s="275"/>
      <c r="D61" s="275"/>
      <c r="E61" s="275"/>
      <c r="F61" s="275"/>
      <c r="G61" s="275"/>
      <c r="H61" s="275"/>
      <c r="I61" s="275"/>
      <c r="J61" s="275"/>
      <c r="K61" s="276"/>
    </row>
    <row r="62" spans="1:16" ht="12" x14ac:dyDescent="0.25">
      <c r="A62" s="24" t="s">
        <v>38</v>
      </c>
      <c r="B62" s="12" t="s">
        <v>23</v>
      </c>
      <c r="C62" s="12" t="s">
        <v>32</v>
      </c>
      <c r="D62" s="12" t="s">
        <v>33</v>
      </c>
      <c r="E62" s="12" t="s">
        <v>34</v>
      </c>
      <c r="F62" s="12" t="s">
        <v>35</v>
      </c>
      <c r="G62" s="12" t="s">
        <v>36</v>
      </c>
      <c r="H62" s="12" t="s">
        <v>24</v>
      </c>
      <c r="I62" s="12" t="s">
        <v>25</v>
      </c>
      <c r="J62" s="12" t="s">
        <v>31</v>
      </c>
      <c r="K62" s="12" t="s">
        <v>1</v>
      </c>
      <c r="L62" s="12" t="s">
        <v>2</v>
      </c>
      <c r="M62" s="12" t="s">
        <v>3</v>
      </c>
      <c r="N62" s="19" t="s">
        <v>27</v>
      </c>
      <c r="O62" s="19" t="s">
        <v>30</v>
      </c>
      <c r="P62" s="29" t="s">
        <v>38</v>
      </c>
    </row>
    <row r="63" spans="1:16" ht="12" x14ac:dyDescent="0.25">
      <c r="A63" s="46" t="s">
        <v>22</v>
      </c>
      <c r="B63" s="64">
        <f>IF(B20=1, 0.15,0.13)</f>
        <v>0.15</v>
      </c>
      <c r="C63" s="64">
        <f>IF(B20=1, 0.15,0.2)</f>
        <v>0.15</v>
      </c>
      <c r="D63" s="69">
        <f>IF(B21="O",0.1,0)</f>
        <v>0.1</v>
      </c>
      <c r="E63" s="69">
        <f>IF(B22="O",0.04,0)</f>
        <v>0.04</v>
      </c>
      <c r="F63" s="69">
        <f>(B24-B23)/(B23+B24)</f>
        <v>0</v>
      </c>
      <c r="G63" s="66">
        <f>POWER($B$17,2+(0.8*J59/$B$17))-(0.15*B63+C63)-(D63+E63+F63)</f>
        <v>0.19182593837806194</v>
      </c>
      <c r="H63" s="66">
        <f>1.7*$B$17*($B$14*$B$15/($B$13^2))+0.004*($B$17^2)</f>
        <v>1.9414465123473161E-2</v>
      </c>
      <c r="I63" s="66">
        <f>POWER(C42,1.8+0.4*C42)</f>
        <v>0.32242364457311407</v>
      </c>
      <c r="J63" s="64">
        <f>1-EXP(2.5*(1-B32)/C42)</f>
        <v>0.61840047717832269</v>
      </c>
      <c r="K63" s="64">
        <f>0.98*$B$14*$B$15</f>
        <v>799.68</v>
      </c>
      <c r="L63" s="64">
        <f>IF($B$29=0,IF($B$30&lt;$B$35,$B$30*($B$27+$B$28)+$B$31*POWER($B$27+$B$28,2),$B$35*($B$27+$B$28)+$B$31*POWER($B$27+$B$28,2)),$B$30*($B$27+$B$28)+$B$31*POWER($B$27+$B$28,2))</f>
        <v>6165</v>
      </c>
      <c r="M63" s="65">
        <f>K63/L63</f>
        <v>0.12971289537712893</v>
      </c>
      <c r="N63" s="67">
        <f>$B$17*M63*$B$15*$B$29/($B$27+$B$28)^2</f>
        <v>8.8437714140059021E-2</v>
      </c>
      <c r="O63" s="66">
        <f>IF($B$29=0,1,1-5*N63)</f>
        <v>0.55781142929970495</v>
      </c>
      <c r="P63" s="68">
        <f>-$B$13*1.7*H63*I63*J63*G63*O63</f>
        <v>-0.18307925568070013</v>
      </c>
    </row>
    <row r="64" spans="1:16" ht="12" thickBot="1" x14ac:dyDescent="0.25">
      <c r="A64" s="50" t="s">
        <v>6</v>
      </c>
      <c r="B64" s="28"/>
      <c r="C64" s="17" t="s">
        <v>9</v>
      </c>
      <c r="D64" s="23" t="s">
        <v>29</v>
      </c>
      <c r="E64" s="23" t="s">
        <v>9</v>
      </c>
      <c r="F64" s="23"/>
      <c r="G64" s="23"/>
      <c r="H64" s="10" t="s">
        <v>9</v>
      </c>
      <c r="I64" s="21"/>
      <c r="J64" s="21"/>
      <c r="K64" s="26"/>
      <c r="L64" s="27"/>
      <c r="M64" s="25"/>
      <c r="N64" s="25"/>
      <c r="O64" s="25"/>
      <c r="P64" s="18"/>
    </row>
    <row r="65" spans="1:15" ht="12" x14ac:dyDescent="0.25">
      <c r="A65" s="49" t="s">
        <v>121</v>
      </c>
      <c r="B65" s="70">
        <f>IF(AND($B$29&lt;($B$28+$B$27),B29&gt;0),(K59-0.5*P63),(IF(B28=B29,(IF(B28/B15&lt;1.2,(IF(B17&gt;0.8,(IF(B19&lt;7,(K59-0.5*P63),(0))),(K59-0.5*P63))),(K59-0.5*P63))),(0))))</f>
        <v>3.3247598602885051</v>
      </c>
    </row>
    <row r="66" spans="1:15" ht="12.6" thickBot="1" x14ac:dyDescent="0.3">
      <c r="A66" s="142" t="s">
        <v>126</v>
      </c>
      <c r="B66" s="143">
        <f>IF(AND($B$29&lt;($B$28+$B$27),B29&gt;0),(K59+0.5*P63),(IF(B28=B29,(IF(B28/B15&lt;1.2,(IF(B17&gt;0.8,(IF(B19&lt;7,(K59+0.5*P63),(0))),(K59+0.5*P63))),(K59+0.5*P63))),(0))))</f>
        <v>3.1416806046078052</v>
      </c>
    </row>
    <row r="67" spans="1:15" x14ac:dyDescent="0.2">
      <c r="A67" s="31"/>
      <c r="B67" s="31"/>
    </row>
    <row r="68" spans="1:15" x14ac:dyDescent="0.2">
      <c r="A68" s="31"/>
      <c r="B68" s="31"/>
    </row>
    <row r="69" spans="1:15" ht="12" x14ac:dyDescent="0.25">
      <c r="A69" s="16"/>
      <c r="B69" s="16"/>
    </row>
    <row r="70" spans="1:15" x14ac:dyDescent="0.2">
      <c r="A70" s="1"/>
      <c r="B70" s="1"/>
    </row>
    <row r="71" spans="1:15" x14ac:dyDescent="0.2">
      <c r="A71" s="32"/>
      <c r="B71" s="32"/>
      <c r="C71" s="31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</row>
    <row r="72" spans="1:15" x14ac:dyDescent="0.2">
      <c r="A72" s="30"/>
      <c r="B72" s="37"/>
      <c r="C72" s="31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</row>
    <row r="73" spans="1:15" ht="12" x14ac:dyDescent="0.25">
      <c r="A73" s="30"/>
      <c r="B73" s="30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31"/>
      <c r="O73" s="31"/>
    </row>
    <row r="74" spans="1:15" ht="12" x14ac:dyDescent="0.25">
      <c r="A74" s="32"/>
      <c r="B74" s="33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31"/>
      <c r="O74" s="31"/>
    </row>
    <row r="75" spans="1:15" x14ac:dyDescent="0.2">
      <c r="A75" s="30"/>
      <c r="B75" s="37"/>
      <c r="C75" s="32"/>
      <c r="D75" s="32"/>
      <c r="E75" s="32"/>
      <c r="F75" s="32"/>
      <c r="G75" s="32"/>
      <c r="H75" s="32"/>
      <c r="I75" s="32"/>
      <c r="J75" s="32"/>
      <c r="K75" s="32"/>
      <c r="L75" s="32"/>
      <c r="M75" s="31"/>
      <c r="N75" s="31"/>
      <c r="O75" s="31"/>
    </row>
    <row r="76" spans="1:15" x14ac:dyDescent="0.2">
      <c r="A76" s="15"/>
      <c r="B76" s="8"/>
      <c r="C76" s="36"/>
      <c r="D76" s="36"/>
      <c r="E76" s="36"/>
      <c r="F76" s="38"/>
      <c r="G76" s="37"/>
      <c r="H76" s="37"/>
      <c r="I76" s="38"/>
      <c r="J76" s="37"/>
      <c r="K76" s="38"/>
      <c r="L76" s="36"/>
      <c r="M76" s="31"/>
      <c r="N76" s="31"/>
      <c r="O76" s="31"/>
    </row>
    <row r="77" spans="1:15" x14ac:dyDescent="0.2">
      <c r="A77" s="1"/>
      <c r="B77" s="1"/>
      <c r="C77" s="30"/>
      <c r="D77" s="30"/>
      <c r="E77" s="30"/>
      <c r="F77" s="30"/>
      <c r="G77" s="30"/>
      <c r="H77" s="30"/>
      <c r="I77" s="30"/>
      <c r="J77" s="30"/>
      <c r="K77" s="30"/>
      <c r="L77" s="31"/>
      <c r="M77" s="31"/>
      <c r="N77" s="31"/>
      <c r="O77" s="31"/>
    </row>
    <row r="78" spans="1:15" ht="12" x14ac:dyDescent="0.25">
      <c r="A78" s="32"/>
      <c r="B78" s="33"/>
      <c r="C78" s="33"/>
      <c r="D78" s="32"/>
      <c r="E78" s="32"/>
      <c r="F78" s="33"/>
      <c r="G78" s="32"/>
      <c r="H78" s="32"/>
      <c r="I78" s="32"/>
      <c r="J78" s="33"/>
      <c r="K78" s="32"/>
      <c r="L78" s="33"/>
      <c r="M78" s="33"/>
      <c r="N78" s="31"/>
      <c r="O78" s="31"/>
    </row>
    <row r="79" spans="1:15" x14ac:dyDescent="0.2">
      <c r="A79" s="30"/>
      <c r="B79" s="37"/>
      <c r="C79" s="37"/>
      <c r="D79" s="36"/>
      <c r="E79" s="37"/>
      <c r="F79" s="36"/>
      <c r="G79" s="36"/>
      <c r="H79" s="38"/>
      <c r="I79" s="34"/>
      <c r="J79" s="36"/>
      <c r="K79" s="35"/>
      <c r="L79" s="36"/>
      <c r="M79" s="35"/>
      <c r="N79" s="31"/>
      <c r="O79" s="31"/>
    </row>
    <row r="80" spans="1:15" x14ac:dyDescent="0.2">
      <c r="A80" s="15"/>
      <c r="B80" s="8"/>
      <c r="C80" s="8"/>
      <c r="D80" s="39"/>
      <c r="E80" s="39"/>
      <c r="F80" s="39"/>
      <c r="G80" s="39"/>
      <c r="H80" s="39"/>
      <c r="I80" s="31"/>
      <c r="J80" s="31"/>
      <c r="K80" s="32"/>
      <c r="L80" s="31"/>
      <c r="M80" s="32"/>
      <c r="N80" s="31"/>
      <c r="O80" s="31"/>
    </row>
    <row r="81" spans="1:15" ht="12" x14ac:dyDescent="0.25">
      <c r="A81" s="40"/>
      <c r="B81" s="3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31"/>
      <c r="O81" s="31"/>
    </row>
    <row r="82" spans="1:15" ht="12" x14ac:dyDescent="0.25">
      <c r="A82" s="31"/>
      <c r="B82" s="31"/>
      <c r="C82" s="33"/>
      <c r="D82" s="33"/>
      <c r="E82" s="32"/>
      <c r="F82" s="32"/>
      <c r="G82" s="32"/>
      <c r="H82" s="33"/>
      <c r="I82" s="32"/>
      <c r="J82" s="33"/>
      <c r="K82" s="33"/>
      <c r="L82" s="31"/>
      <c r="M82" s="31"/>
      <c r="N82" s="31"/>
      <c r="O82" s="31"/>
    </row>
    <row r="83" spans="1:15" x14ac:dyDescent="0.2">
      <c r="C83" s="37"/>
      <c r="D83" s="36"/>
      <c r="E83" s="36"/>
      <c r="F83" s="38"/>
      <c r="G83" s="36"/>
      <c r="H83" s="36"/>
      <c r="I83" s="35"/>
      <c r="J83" s="36"/>
      <c r="K83" s="35"/>
      <c r="L83" s="31"/>
      <c r="M83" s="31"/>
      <c r="N83" s="31"/>
      <c r="O83" s="31"/>
    </row>
    <row r="84" spans="1:15" x14ac:dyDescent="0.2">
      <c r="C84" s="8"/>
      <c r="D84" s="39"/>
      <c r="E84" s="39"/>
      <c r="F84" s="39"/>
      <c r="G84" s="39"/>
      <c r="H84" s="39"/>
      <c r="I84" s="31"/>
      <c r="J84" s="31"/>
      <c r="K84" s="32"/>
      <c r="L84" s="31"/>
      <c r="M84" s="32"/>
      <c r="N84" s="31"/>
      <c r="O84" s="31"/>
    </row>
    <row r="85" spans="1:15" x14ac:dyDescent="0.2">
      <c r="C85" s="31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</row>
    <row r="86" spans="1:15" x14ac:dyDescent="0.2">
      <c r="C86" s="31"/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</row>
  </sheetData>
  <sheetProtection sheet="1" objects="1" scenarios="1"/>
  <mergeCells count="14">
    <mergeCell ref="A39:D39"/>
    <mergeCell ref="F2:J2"/>
    <mergeCell ref="A10:B10"/>
    <mergeCell ref="A12:B12"/>
    <mergeCell ref="A33:B33"/>
    <mergeCell ref="A34:B34"/>
    <mergeCell ref="A57:K57"/>
    <mergeCell ref="A61:K61"/>
    <mergeCell ref="A40:D40"/>
    <mergeCell ref="A45:M45"/>
    <mergeCell ref="A46:M46"/>
    <mergeCell ref="A47:M47"/>
    <mergeCell ref="A51:M51"/>
    <mergeCell ref="A56:K56"/>
  </mergeCells>
  <pageMargins left="0.78740157499999996" right="0.78740157499999996" top="0.984251969" bottom="0.984251969" header="0.4921259845" footer="0.4921259845"/>
  <pageSetup paperSize="9" orientation="portrait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6"/>
  <sheetViews>
    <sheetView topLeftCell="A43" workbookViewId="0">
      <selection activeCell="B42" sqref="B42"/>
    </sheetView>
  </sheetViews>
  <sheetFormatPr baseColWidth="10" defaultRowHeight="11.4" x14ac:dyDescent="0.2"/>
  <cols>
    <col min="1" max="1" width="23.25" customWidth="1"/>
    <col min="9" max="9" width="13.875" customWidth="1"/>
  </cols>
  <sheetData>
    <row r="1" spans="1:10" ht="12" thickBot="1" x14ac:dyDescent="0.25"/>
    <row r="2" spans="1:10" ht="21" thickBot="1" x14ac:dyDescent="0.4">
      <c r="F2" s="279" t="s">
        <v>43</v>
      </c>
      <c r="G2" s="280"/>
      <c r="H2" s="280"/>
      <c r="I2" s="280"/>
      <c r="J2" s="281"/>
    </row>
    <row r="10" spans="1:10" x14ac:dyDescent="0.2">
      <c r="A10" s="282"/>
      <c r="B10" s="282"/>
    </row>
    <row r="11" spans="1:10" ht="12" thickBot="1" x14ac:dyDescent="0.25"/>
    <row r="12" spans="1:10" ht="12" thickBot="1" x14ac:dyDescent="0.25">
      <c r="A12" s="283" t="s">
        <v>99</v>
      </c>
      <c r="B12" s="284"/>
    </row>
    <row r="13" spans="1:10" x14ac:dyDescent="0.2">
      <c r="A13" s="4" t="s">
        <v>0</v>
      </c>
      <c r="B13" s="106">
        <f>'Initial data'!C8</f>
        <v>260</v>
      </c>
    </row>
    <row r="14" spans="1:10" x14ac:dyDescent="0.2">
      <c r="A14" s="109" t="s">
        <v>86</v>
      </c>
      <c r="B14" s="107">
        <f>'Initial data'!D8</f>
        <v>48</v>
      </c>
    </row>
    <row r="15" spans="1:10" x14ac:dyDescent="0.2">
      <c r="A15" s="109" t="s">
        <v>91</v>
      </c>
      <c r="B15" s="59">
        <f>(B23+B24)/2</f>
        <v>17</v>
      </c>
    </row>
    <row r="16" spans="1:10" x14ac:dyDescent="0.2">
      <c r="A16" s="109" t="s">
        <v>105</v>
      </c>
      <c r="B16" s="125">
        <f>B17*B13*B14*B15</f>
        <v>173170.73170731709</v>
      </c>
    </row>
    <row r="17" spans="1:2" x14ac:dyDescent="0.2">
      <c r="A17" s="5" t="s">
        <v>5</v>
      </c>
      <c r="B17" s="108">
        <f>'Initial data'!J8</f>
        <v>0.81622705367325177</v>
      </c>
    </row>
    <row r="18" spans="1:2" x14ac:dyDescent="0.2">
      <c r="A18" s="9" t="s">
        <v>7</v>
      </c>
      <c r="B18" s="108">
        <f>'Initial data'!K8</f>
        <v>0.9</v>
      </c>
    </row>
    <row r="19" spans="1:2" ht="12" thickBot="1" x14ac:dyDescent="0.25">
      <c r="A19" s="110" t="s">
        <v>87</v>
      </c>
      <c r="B19" s="74">
        <v>18</v>
      </c>
    </row>
    <row r="20" spans="1:2" x14ac:dyDescent="0.2">
      <c r="A20" s="113" t="s">
        <v>89</v>
      </c>
      <c r="B20" s="116">
        <f>'Initial data'!L8</f>
        <v>1</v>
      </c>
    </row>
    <row r="21" spans="1:2" x14ac:dyDescent="0.2">
      <c r="A21" s="114" t="s">
        <v>92</v>
      </c>
      <c r="B21" s="108" t="str">
        <f>'Initial data'!M8</f>
        <v>O</v>
      </c>
    </row>
    <row r="22" spans="1:2" ht="11.55" customHeight="1" x14ac:dyDescent="0.2">
      <c r="A22" s="114" t="s">
        <v>94</v>
      </c>
      <c r="B22" s="108" t="str">
        <f>'Initial data'!N8</f>
        <v>O</v>
      </c>
    </row>
    <row r="23" spans="1:2" x14ac:dyDescent="0.2">
      <c r="A23" s="115" t="s">
        <v>97</v>
      </c>
      <c r="B23" s="108">
        <f>'Initial data'!E8</f>
        <v>17</v>
      </c>
    </row>
    <row r="24" spans="1:2" ht="12" thickBot="1" x14ac:dyDescent="0.25">
      <c r="A24" s="117" t="s">
        <v>98</v>
      </c>
      <c r="B24" s="118">
        <f>'Initial data'!F8</f>
        <v>17</v>
      </c>
    </row>
    <row r="25" spans="1:2" ht="12" thickBot="1" x14ac:dyDescent="0.25"/>
    <row r="26" spans="1:2" ht="12" thickBot="1" x14ac:dyDescent="0.25">
      <c r="A26" s="111" t="s">
        <v>102</v>
      </c>
      <c r="B26" s="57"/>
    </row>
    <row r="27" spans="1:2" x14ac:dyDescent="0.2">
      <c r="A27" s="6" t="s">
        <v>106</v>
      </c>
      <c r="B27" s="116">
        <f>'Initial data'!C23</f>
        <v>-0.2</v>
      </c>
    </row>
    <row r="28" spans="1:2" x14ac:dyDescent="0.2">
      <c r="A28" s="7" t="s">
        <v>107</v>
      </c>
      <c r="B28" s="108">
        <f>'Initial data'!D23</f>
        <v>20.75</v>
      </c>
    </row>
    <row r="29" spans="1:2" x14ac:dyDescent="0.2">
      <c r="A29" s="133" t="s">
        <v>110</v>
      </c>
      <c r="B29" s="108">
        <f>'Initial data'!E23</f>
        <v>20.75</v>
      </c>
    </row>
    <row r="30" spans="1:2" x14ac:dyDescent="0.2">
      <c r="A30" s="133" t="s">
        <v>111</v>
      </c>
      <c r="B30" s="108">
        <f>'Initial data'!F23</f>
        <v>300</v>
      </c>
    </row>
    <row r="31" spans="1:2" ht="12" thickBot="1" x14ac:dyDescent="0.25">
      <c r="A31" s="135" t="s">
        <v>116</v>
      </c>
      <c r="B31" s="118">
        <f>'Initial data'!G23</f>
        <v>0</v>
      </c>
    </row>
    <row r="32" spans="1:2" ht="12" thickBot="1" x14ac:dyDescent="0.25">
      <c r="A32" s="44" t="s">
        <v>44</v>
      </c>
      <c r="B32" s="60">
        <f>B28/B15</f>
        <v>1.2205882352941178</v>
      </c>
    </row>
    <row r="33" spans="1:13" x14ac:dyDescent="0.2">
      <c r="A33" s="285" t="s">
        <v>117</v>
      </c>
      <c r="B33" s="286"/>
    </row>
    <row r="34" spans="1:13" x14ac:dyDescent="0.2">
      <c r="A34" s="287" t="s">
        <v>40</v>
      </c>
      <c r="B34" s="288"/>
    </row>
    <row r="35" spans="1:13" ht="12" thickBot="1" x14ac:dyDescent="0.25">
      <c r="A35" s="51" t="s">
        <v>8</v>
      </c>
      <c r="B35" s="61">
        <f>(7.04/B17^0.85)*B14</f>
        <v>401.58229656579465</v>
      </c>
    </row>
    <row r="38" spans="1:13" ht="12" thickBot="1" x14ac:dyDescent="0.25">
      <c r="A38" s="42"/>
      <c r="B38" s="42"/>
    </row>
    <row r="39" spans="1:13" ht="12.6" thickBot="1" x14ac:dyDescent="0.3">
      <c r="A39" s="263" t="s">
        <v>119</v>
      </c>
      <c r="B39" s="264"/>
      <c r="C39" s="264"/>
      <c r="D39" s="265"/>
    </row>
    <row r="40" spans="1:13" ht="12" thickBot="1" x14ac:dyDescent="0.25">
      <c r="A40" s="274" t="s">
        <v>122</v>
      </c>
      <c r="B40" s="277"/>
      <c r="C40" s="277"/>
      <c r="D40" s="278"/>
    </row>
    <row r="41" spans="1:13" x14ac:dyDescent="0.2">
      <c r="A41" s="11" t="s">
        <v>121</v>
      </c>
      <c r="B41" s="12" t="s">
        <v>42</v>
      </c>
      <c r="C41" s="12" t="s">
        <v>120</v>
      </c>
      <c r="D41" s="13" t="s">
        <v>4</v>
      </c>
    </row>
    <row r="42" spans="1:13" ht="12.6" thickBot="1" x14ac:dyDescent="0.3">
      <c r="A42" s="58" t="s">
        <v>41</v>
      </c>
      <c r="B42" s="62">
        <f>IF(B19*1852/3600&lt;I49,B19*1852/3600,I49)</f>
        <v>8.1276225664451633</v>
      </c>
      <c r="C42" s="62">
        <f>B42/SQRT(9.81*($B$27+$B$28))</f>
        <v>0.57243095484554007</v>
      </c>
      <c r="D42" s="63">
        <f xml:space="preserve">  IF($B$29=0,       (IF(B32&lt;1.2, (IF(B17&lt;0.8,          (((2*B17*B14*B15)/B13)*POWER(C42,2)/SQRT(1-POWER(C42,2))),         (0)     )),     (((2*B17*B14*B15)/B13)*POWER(C42,2)/SQRT(1-POWER(C42,2))))),(0))</f>
        <v>0</v>
      </c>
      <c r="E42" s="42"/>
      <c r="F42" s="42"/>
      <c r="G42" s="42"/>
      <c r="H42" s="42"/>
      <c r="I42" s="42"/>
      <c r="J42" s="42"/>
      <c r="K42" s="42"/>
      <c r="L42" s="42"/>
    </row>
    <row r="43" spans="1:13" x14ac:dyDescent="0.2">
      <c r="A43" s="42"/>
      <c r="B43" s="42"/>
      <c r="E43" s="42"/>
      <c r="F43" s="42"/>
      <c r="G43" s="42"/>
      <c r="H43" s="42"/>
      <c r="I43" s="42"/>
      <c r="J43" s="42"/>
      <c r="K43" s="42"/>
      <c r="L43" s="42"/>
    </row>
    <row r="44" spans="1:13" ht="12" thickBot="1" x14ac:dyDescent="0.25">
      <c r="A44" s="45"/>
      <c r="B44" s="45"/>
      <c r="E44" s="42"/>
      <c r="F44" s="42"/>
      <c r="G44" s="42"/>
      <c r="H44" s="42"/>
      <c r="I44" s="42"/>
      <c r="J44" s="42"/>
      <c r="K44" s="42"/>
      <c r="L44" s="42"/>
    </row>
    <row r="45" spans="1:13" ht="12.6" thickBot="1" x14ac:dyDescent="0.3">
      <c r="A45" s="263" t="s">
        <v>123</v>
      </c>
      <c r="B45" s="264"/>
      <c r="C45" s="264"/>
      <c r="D45" s="264"/>
      <c r="E45" s="264"/>
      <c r="F45" s="264"/>
      <c r="G45" s="264"/>
      <c r="H45" s="264"/>
      <c r="I45" s="264"/>
      <c r="J45" s="264"/>
      <c r="K45" s="264"/>
      <c r="L45" s="264"/>
      <c r="M45" s="265"/>
    </row>
    <row r="46" spans="1:13" ht="12" thickBot="1" x14ac:dyDescent="0.25">
      <c r="A46" s="274" t="s">
        <v>124</v>
      </c>
      <c r="B46" s="275"/>
      <c r="C46" s="275"/>
      <c r="D46" s="275"/>
      <c r="E46" s="275"/>
      <c r="F46" s="275"/>
      <c r="G46" s="275"/>
      <c r="H46" s="275"/>
      <c r="I46" s="275"/>
      <c r="J46" s="275"/>
      <c r="K46" s="275"/>
      <c r="L46" s="275"/>
      <c r="M46" s="276"/>
    </row>
    <row r="47" spans="1:13" ht="12.6" thickBot="1" x14ac:dyDescent="0.3">
      <c r="A47" s="271" t="s">
        <v>10</v>
      </c>
      <c r="B47" s="272"/>
      <c r="C47" s="272"/>
      <c r="D47" s="272"/>
      <c r="E47" s="272"/>
      <c r="F47" s="272"/>
      <c r="G47" s="272"/>
      <c r="H47" s="272"/>
      <c r="I47" s="272"/>
      <c r="J47" s="272"/>
      <c r="K47" s="272"/>
      <c r="L47" s="272"/>
      <c r="M47" s="273"/>
    </row>
    <row r="48" spans="1:13" x14ac:dyDescent="0.2">
      <c r="A48" s="11" t="s">
        <v>121</v>
      </c>
      <c r="B48" s="12" t="s">
        <v>1</v>
      </c>
      <c r="C48" s="12" t="s">
        <v>2</v>
      </c>
      <c r="D48" s="12" t="s">
        <v>3</v>
      </c>
      <c r="E48" s="12" t="s">
        <v>12</v>
      </c>
      <c r="F48" s="12" t="s">
        <v>13</v>
      </c>
      <c r="G48" s="12" t="s">
        <v>14</v>
      </c>
      <c r="H48" s="12" t="s">
        <v>15</v>
      </c>
      <c r="I48" s="19" t="s">
        <v>125</v>
      </c>
      <c r="J48" s="19" t="s">
        <v>17</v>
      </c>
      <c r="K48" s="19" t="s">
        <v>18</v>
      </c>
      <c r="L48" s="19" t="s">
        <v>19</v>
      </c>
      <c r="M48" s="20" t="s">
        <v>4</v>
      </c>
    </row>
    <row r="49" spans="1:16" ht="12.6" thickBot="1" x14ac:dyDescent="0.3">
      <c r="A49" s="137" t="s">
        <v>39</v>
      </c>
      <c r="B49" s="138">
        <f>0.98*$B$14*$B$15</f>
        <v>799.68</v>
      </c>
      <c r="C49" s="138">
        <f>IF($B$29=0,IF($B$30&lt;$B$35,$B$30*($B$27+$B$28)+$B$31*POWER($B$27+$B$28,2),$B$35*($B$27+$B$28)+$B$31*POWER($B$27+$B$28,2)),$B$30*($B$27+$B$28)+$B$31*POWER($B$27+$B$28,2))</f>
        <v>6165</v>
      </c>
      <c r="D49" s="139">
        <f>B49/C49</f>
        <v>0.12971289537712893</v>
      </c>
      <c r="E49" s="139">
        <f>POWER(2*COS((PI()+ACOS(1-D49))/3),1.5)</f>
        <v>0.57243095484554007</v>
      </c>
      <c r="F49" s="139">
        <f>IF($B$29=0,IF($B$30&lt;$B$35,C49/($B$30+2*$B$31*($B$27+$B$28)),C49/($B$35+2*$B$31*($B$27+$B$28))),C49/($B$30+2*$B$31*($B$27+$B$28)))</f>
        <v>20.55</v>
      </c>
      <c r="G49" s="139">
        <f>0.58*POWER(($B$27+$B$28)*$B$13/$B$15/$B$14,0.125)</f>
        <v>0.73356714258821765</v>
      </c>
      <c r="H49" s="139">
        <f>($B$27+$B$28)-$B$29*(1-F49/($B$27+$B$28))</f>
        <v>20.55</v>
      </c>
      <c r="I49" s="140">
        <f>IF($B$29=0, G49*SQRT(9.81*($B$27+$B$28)),IF($B$29&lt;($B$28+$B$27),(G49*(1-$B$29/($B$28+$B$27))+E49*$B$29/($B$28+$B$27))*SQRT(9.81*H49),E49*SQRT(9.81*F49)))</f>
        <v>8.1276225664451633</v>
      </c>
      <c r="J49" s="140">
        <f>0.155*SQRT(($B$27+$B$28)/$B$15)</f>
        <v>0.17041709214194936</v>
      </c>
      <c r="K49" s="140">
        <f>POWER(10*$B$14*$B$17/$B$13,2)</f>
        <v>2.270689487652755</v>
      </c>
      <c r="L49" s="140">
        <f>8*POWER(B42/I49,2)*(POWER(B42/I49-0.5,4)+0.0625)</f>
        <v>1</v>
      </c>
      <c r="M49" s="141">
        <f>IF($B$29=0,(IF(B32&lt;1.2,(IF(B17&gt;=0.8,(L49*K49*J49*B15),(0))),(L49*K49*J49*B15)   )   ),(IF(B28=B29,(IF(B28/B15&lt;1.2,(IF(B17&gt;0.8,(IF(B19&gt;=7,(L49*K49*J49*B15),(0))),(L49*K49*J49*B15))),(L49*K49*J49*B15))),(0))))</f>
        <v>6.5783930939322808</v>
      </c>
    </row>
    <row r="50" spans="1:16" ht="12.6" thickBot="1" x14ac:dyDescent="0.3">
      <c r="A50" s="15"/>
      <c r="B50" s="39"/>
      <c r="C50" s="39"/>
      <c r="D50" s="39"/>
      <c r="E50" s="39"/>
      <c r="F50" s="41"/>
      <c r="G50" s="3"/>
      <c r="H50" s="31"/>
      <c r="I50" s="31"/>
      <c r="J50" s="31"/>
      <c r="K50" s="31"/>
      <c r="L50" s="31"/>
      <c r="M50" s="31"/>
    </row>
    <row r="51" spans="1:16" ht="12.6" thickBot="1" x14ac:dyDescent="0.3">
      <c r="A51" s="271" t="s">
        <v>11</v>
      </c>
      <c r="B51" s="272"/>
      <c r="C51" s="272"/>
      <c r="D51" s="272"/>
      <c r="E51" s="272"/>
      <c r="F51" s="272"/>
      <c r="G51" s="272"/>
      <c r="H51" s="272"/>
      <c r="I51" s="272"/>
      <c r="J51" s="272"/>
      <c r="K51" s="272"/>
      <c r="L51" s="272"/>
      <c r="M51" s="273"/>
    </row>
    <row r="52" spans="1:16" x14ac:dyDescent="0.2">
      <c r="A52" s="11" t="s">
        <v>126</v>
      </c>
      <c r="B52" s="12" t="s">
        <v>1</v>
      </c>
      <c r="C52" s="12" t="s">
        <v>2</v>
      </c>
      <c r="D52" s="12" t="s">
        <v>3</v>
      </c>
      <c r="E52" s="12" t="s">
        <v>12</v>
      </c>
      <c r="F52" s="12" t="s">
        <v>13</v>
      </c>
      <c r="G52" s="12" t="s">
        <v>14</v>
      </c>
      <c r="H52" s="12" t="s">
        <v>15</v>
      </c>
      <c r="I52" s="19" t="s">
        <v>125</v>
      </c>
      <c r="J52" s="19" t="s">
        <v>17</v>
      </c>
      <c r="K52" s="19" t="s">
        <v>18</v>
      </c>
      <c r="L52" s="19" t="s">
        <v>19</v>
      </c>
      <c r="M52" s="20" t="s">
        <v>20</v>
      </c>
    </row>
    <row r="53" spans="1:16" ht="12.6" thickBot="1" x14ac:dyDescent="0.3">
      <c r="A53" s="137" t="s">
        <v>39</v>
      </c>
      <c r="B53" s="138">
        <f>0.98*$B$14*$B$15</f>
        <v>799.68</v>
      </c>
      <c r="C53" s="138">
        <f>IF($B$29=0,IF($B$30&lt;$B$35,$B$30*($B$27+$B$28)+$B$31*POWER($B$27+$B$28,2),$B$35*($B$27+$B$28)+$B$31*POWER($B$27+$B$28,2)),$B$30*($B$27+$B$28)+$B$31*POWER($B$27+$B$28,2))</f>
        <v>6165</v>
      </c>
      <c r="D53" s="139">
        <f>B53/C53</f>
        <v>0.12971289537712893</v>
      </c>
      <c r="E53" s="139">
        <f>POWER(2*COS((PI()+ACOS(1-D53))/3),1.5)</f>
        <v>0.57243095484554007</v>
      </c>
      <c r="F53" s="139">
        <f>IF($B$29=0,IF($B$30&lt;$B$35,C53/($B$30+2*$B$31*($B$27+$B$28)),C53/($B$35+2*$B$31*($B$27+$B$28))),C53/($B$30+2*$B$31*($B$27+$B$28)))</f>
        <v>20.55</v>
      </c>
      <c r="G53" s="139">
        <f>0.58*POWER(($B$27+$B$28)*$B$13/$B$15/$B$14,0.125)</f>
        <v>0.73356714258821765</v>
      </c>
      <c r="H53" s="139">
        <f>($B$27+$B$28)-$B$29*(1-F53/($B$27+$B$28))</f>
        <v>20.55</v>
      </c>
      <c r="I53" s="140">
        <f>IF($B$29=0, G53*SQRT(9.81*($B$27+$B$28)),IF($B$29&lt;($B$28+$B$27),(G53*(1-$B$29/($B$28+$B$27))+E53*$B$29/($B$28+$B$27))*SQRT(9.81*H53),E53*SQRT(9.81*F53)))</f>
        <v>8.1276225664451633</v>
      </c>
      <c r="J53" s="140">
        <f>0.155*SQRT(($B$27+$B$28)/$B$15)</f>
        <v>0.17041709214194936</v>
      </c>
      <c r="K53" s="140">
        <v>1</v>
      </c>
      <c r="L53" s="140">
        <f>8*POWER(B42/I53,2)*(POWER(B42/I53-0.5,4)+0.0625)</f>
        <v>1</v>
      </c>
      <c r="M53" s="141">
        <f>IF($B$29=0,(IF(B32&lt;1.2,(IF(B17&gt;=0.8,(L53*K53*J53*B15),(0))),(L53*K53*J53*B15))),(IF(B28=B29,(IF(B28/B15&lt;1.2,(IF(B17&gt;0.8,(IF(B19&gt;=7,(L53*K53*J53*B15),(0))),(L53*K53*J53*B15))),(L53*K53*J53*B15))),(0))))</f>
        <v>2.897090566413139</v>
      </c>
    </row>
    <row r="54" spans="1:16" x14ac:dyDescent="0.2">
      <c r="A54" s="15"/>
      <c r="B54" s="39"/>
    </row>
    <row r="55" spans="1:16" ht="12" thickBot="1" x14ac:dyDescent="0.25">
      <c r="A55" s="45"/>
      <c r="B55" s="45"/>
    </row>
    <row r="56" spans="1:16" ht="12.6" thickBot="1" x14ac:dyDescent="0.3">
      <c r="A56" s="263" t="s">
        <v>127</v>
      </c>
      <c r="B56" s="264"/>
      <c r="C56" s="264"/>
      <c r="D56" s="264"/>
      <c r="E56" s="264"/>
      <c r="F56" s="264"/>
      <c r="G56" s="264"/>
      <c r="H56" s="264"/>
      <c r="I56" s="264"/>
      <c r="J56" s="264"/>
      <c r="K56" s="265"/>
    </row>
    <row r="57" spans="1:16" ht="12" thickBot="1" x14ac:dyDescent="0.25">
      <c r="A57" s="274" t="s">
        <v>128</v>
      </c>
      <c r="B57" s="275"/>
      <c r="C57" s="275"/>
      <c r="D57" s="275"/>
      <c r="E57" s="275"/>
      <c r="F57" s="275"/>
      <c r="G57" s="275"/>
      <c r="H57" s="275"/>
      <c r="I57" s="275"/>
      <c r="J57" s="275"/>
      <c r="K57" s="276"/>
    </row>
    <row r="58" spans="1:16" ht="12" x14ac:dyDescent="0.25">
      <c r="A58" s="11" t="s">
        <v>129</v>
      </c>
      <c r="B58" s="12" t="s">
        <v>23</v>
      </c>
      <c r="C58" s="12" t="s">
        <v>24</v>
      </c>
      <c r="D58" s="12" t="s">
        <v>25</v>
      </c>
      <c r="E58" s="12" t="s">
        <v>26</v>
      </c>
      <c r="F58" s="12" t="s">
        <v>1</v>
      </c>
      <c r="G58" s="12" t="s">
        <v>2</v>
      </c>
      <c r="H58" s="12" t="s">
        <v>3</v>
      </c>
      <c r="I58" s="19" t="s">
        <v>27</v>
      </c>
      <c r="J58" s="19" t="s">
        <v>37</v>
      </c>
      <c r="K58" s="29" t="s">
        <v>28</v>
      </c>
    </row>
    <row r="59" spans="1:16" ht="12" x14ac:dyDescent="0.25">
      <c r="A59" s="47" t="s">
        <v>22</v>
      </c>
      <c r="B59" s="64">
        <f>IF(B20=1, 0.15,0.13)</f>
        <v>0.15</v>
      </c>
      <c r="C59" s="66">
        <f>1.7*$B$17*($B$14*$B$15/($B$13^2))+0.004*($B$17^2)</f>
        <v>1.9414465123473161E-2</v>
      </c>
      <c r="D59" s="66">
        <f>POWER(C42,1.8+0.4*C42)</f>
        <v>0.32242364457311407</v>
      </c>
      <c r="E59" s="64">
        <f>1+0.35/B32^2</f>
        <v>1.2349252431412396</v>
      </c>
      <c r="F59" s="64">
        <f>0.98*$B$14*$B$15</f>
        <v>799.68</v>
      </c>
      <c r="G59" s="64">
        <f>IF($B$29=0,IF($B$30&lt;$B$35,$B$30*($B$27+$B$28)+$B$31*POWER($B$27+$B$28,2),$B$35*($B$27+$B$28)+$B$31*POWER($B$27+$B$28,2)),$B$30*($B$27+$B$28)+$B$31*POWER($B$27+$B$28,2))</f>
        <v>6165</v>
      </c>
      <c r="H59" s="65">
        <f>F59/G59</f>
        <v>0.12971289537712893</v>
      </c>
      <c r="I59" s="67">
        <f>$B$17*H59*$B$15*$B$29/($B$27+$B$28)^2</f>
        <v>8.8437714140059021E-2</v>
      </c>
      <c r="J59" s="66">
        <f>IF($B$29=0,1,1+10*I59-1.5*(1+I59)*SQRT(I59))</f>
        <v>1.3988499075872562</v>
      </c>
      <c r="K59" s="68">
        <f>$B$13*(1+B59)*C59*D59*E59*J59</f>
        <v>3.2332202324481552</v>
      </c>
    </row>
    <row r="60" spans="1:16" ht="12" thickBot="1" x14ac:dyDescent="0.25">
      <c r="A60" s="48" t="s">
        <v>6</v>
      </c>
      <c r="B60" s="14"/>
      <c r="C60" s="17" t="s">
        <v>9</v>
      </c>
      <c r="D60" s="10" t="s">
        <v>29</v>
      </c>
      <c r="E60" s="10" t="s">
        <v>9</v>
      </c>
      <c r="F60" s="10"/>
      <c r="G60" s="10"/>
      <c r="H60" s="10" t="s">
        <v>9</v>
      </c>
      <c r="I60" s="21"/>
      <c r="J60" s="21"/>
      <c r="K60" s="22"/>
    </row>
    <row r="61" spans="1:16" ht="12" thickBot="1" x14ac:dyDescent="0.25">
      <c r="A61" s="274" t="s">
        <v>130</v>
      </c>
      <c r="B61" s="275"/>
      <c r="C61" s="275"/>
      <c r="D61" s="275"/>
      <c r="E61" s="275"/>
      <c r="F61" s="275"/>
      <c r="G61" s="275"/>
      <c r="H61" s="275"/>
      <c r="I61" s="275"/>
      <c r="J61" s="275"/>
      <c r="K61" s="276"/>
    </row>
    <row r="62" spans="1:16" ht="12" x14ac:dyDescent="0.25">
      <c r="A62" s="24" t="s">
        <v>38</v>
      </c>
      <c r="B62" s="12" t="s">
        <v>23</v>
      </c>
      <c r="C62" s="12" t="s">
        <v>32</v>
      </c>
      <c r="D62" s="12" t="s">
        <v>33</v>
      </c>
      <c r="E62" s="12" t="s">
        <v>34</v>
      </c>
      <c r="F62" s="12" t="s">
        <v>35</v>
      </c>
      <c r="G62" s="12" t="s">
        <v>36</v>
      </c>
      <c r="H62" s="12" t="s">
        <v>24</v>
      </c>
      <c r="I62" s="12" t="s">
        <v>25</v>
      </c>
      <c r="J62" s="12" t="s">
        <v>31</v>
      </c>
      <c r="K62" s="12" t="s">
        <v>1</v>
      </c>
      <c r="L62" s="12" t="s">
        <v>2</v>
      </c>
      <c r="M62" s="12" t="s">
        <v>3</v>
      </c>
      <c r="N62" s="19" t="s">
        <v>27</v>
      </c>
      <c r="O62" s="19" t="s">
        <v>30</v>
      </c>
      <c r="P62" s="29" t="s">
        <v>38</v>
      </c>
    </row>
    <row r="63" spans="1:16" ht="12" x14ac:dyDescent="0.25">
      <c r="A63" s="46" t="s">
        <v>22</v>
      </c>
      <c r="B63" s="64">
        <f>IF(B20=1, 0.15,0.13)</f>
        <v>0.15</v>
      </c>
      <c r="C63" s="64">
        <f>IF(B20=1, 0.15,0.2)</f>
        <v>0.15</v>
      </c>
      <c r="D63" s="69">
        <f>IF(B21="O",0.1,0)</f>
        <v>0.1</v>
      </c>
      <c r="E63" s="69">
        <f>IF(B22="O",0.04,0)</f>
        <v>0.04</v>
      </c>
      <c r="F63" s="69">
        <f>(B24-B23)/(B23+B24)</f>
        <v>0</v>
      </c>
      <c r="G63" s="66">
        <f>POWER($B$17,2+(0.8*J59/$B$17))-(0.15*B63+C63)-(D63+E63+F63)</f>
        <v>0.19182593837806194</v>
      </c>
      <c r="H63" s="66">
        <f>1.7*$B$17*($B$14*$B$15/($B$13^2))+0.004*($B$17^2)</f>
        <v>1.9414465123473161E-2</v>
      </c>
      <c r="I63" s="66">
        <f>POWER(C42,1.8+0.4*C42)</f>
        <v>0.32242364457311407</v>
      </c>
      <c r="J63" s="64">
        <f>1-EXP(2.5*(1-B32)/C42)</f>
        <v>0.61840047717832269</v>
      </c>
      <c r="K63" s="64">
        <f>0.98*$B$14*$B$15</f>
        <v>799.68</v>
      </c>
      <c r="L63" s="64">
        <f>IF($B$29=0,IF($B$30&lt;$B$35,$B$30*($B$27+$B$28)+$B$31*POWER($B$27+$B$28,2),$B$35*($B$27+$B$28)+$B$31*POWER($B$27+$B$28,2)),$B$30*($B$27+$B$28)+$B$31*POWER($B$27+$B$28,2))</f>
        <v>6165</v>
      </c>
      <c r="M63" s="65">
        <f>K63/L63</f>
        <v>0.12971289537712893</v>
      </c>
      <c r="N63" s="67">
        <f>$B$17*M63*$B$15*$B$29/($B$27+$B$28)^2</f>
        <v>8.8437714140059021E-2</v>
      </c>
      <c r="O63" s="66">
        <f>IF($B$29=0,1,1-5*N63)</f>
        <v>0.55781142929970495</v>
      </c>
      <c r="P63" s="68">
        <f>-$B$13*1.7*H63*I63*J63*G63*O63</f>
        <v>-0.18307925568070013</v>
      </c>
    </row>
    <row r="64" spans="1:16" ht="12" thickBot="1" x14ac:dyDescent="0.25">
      <c r="A64" s="50" t="s">
        <v>6</v>
      </c>
      <c r="B64" s="28"/>
      <c r="C64" s="17" t="s">
        <v>9</v>
      </c>
      <c r="D64" s="23" t="s">
        <v>29</v>
      </c>
      <c r="E64" s="23" t="s">
        <v>9</v>
      </c>
      <c r="F64" s="23"/>
      <c r="G64" s="23"/>
      <c r="H64" s="10" t="s">
        <v>9</v>
      </c>
      <c r="I64" s="21"/>
      <c r="J64" s="21"/>
      <c r="K64" s="26"/>
      <c r="L64" s="27"/>
      <c r="M64" s="25"/>
      <c r="N64" s="25"/>
      <c r="O64" s="25"/>
      <c r="P64" s="18"/>
    </row>
    <row r="65" spans="1:15" ht="12" x14ac:dyDescent="0.25">
      <c r="A65" s="49" t="s">
        <v>121</v>
      </c>
      <c r="B65" s="70">
        <f>IF(AND($B$29&lt;($B$28+$B$27),B29&gt;0),(K59-0.5*P63),(IF(B28=B29,(IF(B28/B15&lt;1.2,(IF(B17&gt;0.8,(IF(B19&lt;7,(K59-0.5*P63),(0))),(K59-0.5*P63))),(K59-0.5*P63))),(0))))</f>
        <v>3.3247598602885051</v>
      </c>
    </row>
    <row r="66" spans="1:15" ht="12.6" thickBot="1" x14ac:dyDescent="0.3">
      <c r="A66" s="142" t="s">
        <v>126</v>
      </c>
      <c r="B66" s="143">
        <f>IF(AND($B$29&lt;($B$28+$B$27),B29&gt;0),(K59+0.5*P63),(IF(B28=B29,(IF(B28/B15&lt;1.2,(IF(B17&gt;0.8,(IF(B19&lt;7,(K59+0.5*P63),(0))),(K59+0.5*P63))),(K59+0.5*P63))),(0))))</f>
        <v>3.1416806046078052</v>
      </c>
    </row>
    <row r="67" spans="1:15" x14ac:dyDescent="0.2">
      <c r="A67" s="31"/>
      <c r="B67" s="31"/>
    </row>
    <row r="68" spans="1:15" x14ac:dyDescent="0.2">
      <c r="A68" s="31"/>
      <c r="B68" s="31"/>
    </row>
    <row r="69" spans="1:15" ht="12" x14ac:dyDescent="0.25">
      <c r="A69" s="16"/>
      <c r="B69" s="16"/>
    </row>
    <row r="70" spans="1:15" x14ac:dyDescent="0.2">
      <c r="A70" s="1"/>
      <c r="B70" s="1"/>
    </row>
    <row r="71" spans="1:15" x14ac:dyDescent="0.2">
      <c r="A71" s="32"/>
      <c r="B71" s="32"/>
      <c r="C71" s="31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</row>
    <row r="72" spans="1:15" x14ac:dyDescent="0.2">
      <c r="A72" s="30"/>
      <c r="B72" s="37"/>
      <c r="C72" s="31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</row>
    <row r="73" spans="1:15" ht="12" x14ac:dyDescent="0.25">
      <c r="A73" s="30"/>
      <c r="B73" s="30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31"/>
      <c r="O73" s="31"/>
    </row>
    <row r="74" spans="1:15" ht="12" x14ac:dyDescent="0.25">
      <c r="A74" s="32"/>
      <c r="B74" s="33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31"/>
      <c r="O74" s="31"/>
    </row>
    <row r="75" spans="1:15" x14ac:dyDescent="0.2">
      <c r="A75" s="30"/>
      <c r="B75" s="37"/>
      <c r="C75" s="32"/>
      <c r="D75" s="32"/>
      <c r="E75" s="32"/>
      <c r="F75" s="32"/>
      <c r="G75" s="32"/>
      <c r="H75" s="32"/>
      <c r="I75" s="32"/>
      <c r="J75" s="32"/>
      <c r="K75" s="32"/>
      <c r="L75" s="32"/>
      <c r="M75" s="31"/>
      <c r="N75" s="31"/>
      <c r="O75" s="31"/>
    </row>
    <row r="76" spans="1:15" x14ac:dyDescent="0.2">
      <c r="A76" s="15"/>
      <c r="B76" s="8"/>
      <c r="C76" s="36"/>
      <c r="D76" s="36"/>
      <c r="E76" s="36"/>
      <c r="F76" s="38"/>
      <c r="G76" s="37"/>
      <c r="H76" s="37"/>
      <c r="I76" s="38"/>
      <c r="J76" s="37"/>
      <c r="K76" s="38"/>
      <c r="L76" s="36"/>
      <c r="M76" s="31"/>
      <c r="N76" s="31"/>
      <c r="O76" s="31"/>
    </row>
    <row r="77" spans="1:15" x14ac:dyDescent="0.2">
      <c r="A77" s="1"/>
      <c r="B77" s="1"/>
      <c r="C77" s="30"/>
      <c r="D77" s="30"/>
      <c r="E77" s="30"/>
      <c r="F77" s="30"/>
      <c r="G77" s="30"/>
      <c r="H77" s="30"/>
      <c r="I77" s="30"/>
      <c r="J77" s="30"/>
      <c r="K77" s="30"/>
      <c r="L77" s="31"/>
      <c r="M77" s="31"/>
      <c r="N77" s="31"/>
      <c r="O77" s="31"/>
    </row>
    <row r="78" spans="1:15" ht="12" x14ac:dyDescent="0.25">
      <c r="A78" s="32"/>
      <c r="B78" s="33"/>
      <c r="C78" s="33"/>
      <c r="D78" s="32"/>
      <c r="E78" s="32"/>
      <c r="F78" s="33"/>
      <c r="G78" s="32"/>
      <c r="H78" s="32"/>
      <c r="I78" s="32"/>
      <c r="J78" s="33"/>
      <c r="K78" s="32"/>
      <c r="L78" s="33"/>
      <c r="M78" s="33"/>
      <c r="N78" s="31"/>
      <c r="O78" s="31"/>
    </row>
    <row r="79" spans="1:15" x14ac:dyDescent="0.2">
      <c r="A79" s="30"/>
      <c r="B79" s="37"/>
      <c r="C79" s="37"/>
      <c r="D79" s="36"/>
      <c r="E79" s="37"/>
      <c r="F79" s="36"/>
      <c r="G79" s="36"/>
      <c r="H79" s="38"/>
      <c r="I79" s="34"/>
      <c r="J79" s="36"/>
      <c r="K79" s="35"/>
      <c r="L79" s="36"/>
      <c r="M79" s="35"/>
      <c r="N79" s="31"/>
      <c r="O79" s="31"/>
    </row>
    <row r="80" spans="1:15" x14ac:dyDescent="0.2">
      <c r="A80" s="15"/>
      <c r="B80" s="8"/>
      <c r="C80" s="8"/>
      <c r="D80" s="39"/>
      <c r="E80" s="39"/>
      <c r="F80" s="39"/>
      <c r="G80" s="39"/>
      <c r="H80" s="39"/>
      <c r="I80" s="31"/>
      <c r="J80" s="31"/>
      <c r="K80" s="32"/>
      <c r="L80" s="31"/>
      <c r="M80" s="32"/>
      <c r="N80" s="31"/>
      <c r="O80" s="31"/>
    </row>
    <row r="81" spans="1:15" ht="12" x14ac:dyDescent="0.25">
      <c r="A81" s="40"/>
      <c r="B81" s="3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31"/>
      <c r="O81" s="31"/>
    </row>
    <row r="82" spans="1:15" ht="12" x14ac:dyDescent="0.25">
      <c r="A82" s="31"/>
      <c r="B82" s="31"/>
      <c r="C82" s="33"/>
      <c r="D82" s="33"/>
      <c r="E82" s="32"/>
      <c r="F82" s="32"/>
      <c r="G82" s="32"/>
      <c r="H82" s="33"/>
      <c r="I82" s="32"/>
      <c r="J82" s="33"/>
      <c r="K82" s="33"/>
      <c r="L82" s="31"/>
      <c r="M82" s="31"/>
      <c r="N82" s="31"/>
      <c r="O82" s="31"/>
    </row>
    <row r="83" spans="1:15" x14ac:dyDescent="0.2">
      <c r="C83" s="37"/>
      <c r="D83" s="36"/>
      <c r="E83" s="36"/>
      <c r="F83" s="38"/>
      <c r="G83" s="36"/>
      <c r="H83" s="36"/>
      <c r="I83" s="35"/>
      <c r="J83" s="36"/>
      <c r="K83" s="35"/>
      <c r="L83" s="31"/>
      <c r="M83" s="31"/>
      <c r="N83" s="31"/>
      <c r="O83" s="31"/>
    </row>
    <row r="84" spans="1:15" x14ac:dyDescent="0.2">
      <c r="C84" s="8"/>
      <c r="D84" s="39"/>
      <c r="E84" s="39"/>
      <c r="F84" s="39"/>
      <c r="G84" s="39"/>
      <c r="H84" s="39"/>
      <c r="I84" s="31"/>
      <c r="J84" s="31"/>
      <c r="K84" s="32"/>
      <c r="L84" s="31"/>
      <c r="M84" s="32"/>
      <c r="N84" s="31"/>
      <c r="O84" s="31"/>
    </row>
    <row r="85" spans="1:15" x14ac:dyDescent="0.2">
      <c r="C85" s="31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</row>
    <row r="86" spans="1:15" x14ac:dyDescent="0.2">
      <c r="C86" s="31"/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</row>
  </sheetData>
  <sheetProtection sheet="1" objects="1" scenarios="1"/>
  <mergeCells count="14">
    <mergeCell ref="A39:D39"/>
    <mergeCell ref="F2:J2"/>
    <mergeCell ref="A10:B10"/>
    <mergeCell ref="A12:B12"/>
    <mergeCell ref="A33:B33"/>
    <mergeCell ref="A34:B34"/>
    <mergeCell ref="A57:K57"/>
    <mergeCell ref="A61:K61"/>
    <mergeCell ref="A40:D40"/>
    <mergeCell ref="A45:M45"/>
    <mergeCell ref="A46:M46"/>
    <mergeCell ref="A47:M47"/>
    <mergeCell ref="A51:M51"/>
    <mergeCell ref="A56:K56"/>
  </mergeCells>
  <pageMargins left="0.78740157499999996" right="0.78740157499999996" top="0.984251969" bottom="0.984251969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8" sqref="D8"/>
    </sheetView>
  </sheetViews>
  <sheetFormatPr baseColWidth="10" defaultColWidth="11.25" defaultRowHeight="14.4" x14ac:dyDescent="0.3"/>
  <cols>
    <col min="1" max="16384" width="11.25" style="179"/>
  </cols>
  <sheetData>
    <row r="1" spans="1:1" x14ac:dyDescent="0.3">
      <c r="A1" s="178" t="s">
        <v>156</v>
      </c>
    </row>
    <row r="2" spans="1:1" x14ac:dyDescent="0.3">
      <c r="A2" s="178" t="s">
        <v>157</v>
      </c>
    </row>
    <row r="3" spans="1:1" x14ac:dyDescent="0.3">
      <c r="A3" s="180" t="s">
        <v>158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33"/>
  <sheetViews>
    <sheetView zoomScale="90" zoomScaleNormal="90" workbookViewId="0">
      <selection activeCell="B23" sqref="B23:G23"/>
    </sheetView>
  </sheetViews>
  <sheetFormatPr baseColWidth="10" defaultRowHeight="11.4" x14ac:dyDescent="0.2"/>
  <cols>
    <col min="2" max="2" width="13.875" customWidth="1"/>
    <col min="3" max="3" width="13.375" customWidth="1"/>
    <col min="6" max="6" width="12.375" customWidth="1"/>
    <col min="7" max="7" width="14.75" customWidth="1"/>
    <col min="8" max="9" width="13.25" customWidth="1"/>
    <col min="10" max="10" width="13" customWidth="1"/>
    <col min="17" max="17" width="14.625" customWidth="1"/>
  </cols>
  <sheetData>
    <row r="2" spans="2:15" ht="13.95" customHeight="1" x14ac:dyDescent="0.3">
      <c r="B2" s="184" t="s">
        <v>118</v>
      </c>
      <c r="C2" s="184"/>
      <c r="D2" s="184"/>
      <c r="E2" s="184"/>
      <c r="F2" s="184"/>
      <c r="G2" s="184"/>
      <c r="H2" s="184"/>
      <c r="I2" s="184"/>
      <c r="J2" s="184"/>
      <c r="K2" s="184"/>
      <c r="L2" s="184"/>
      <c r="M2" s="184"/>
      <c r="N2" s="184"/>
    </row>
    <row r="3" spans="2:15" ht="12" thickBot="1" x14ac:dyDescent="0.25"/>
    <row r="4" spans="2:15" ht="14.4" thickBot="1" x14ac:dyDescent="0.3">
      <c r="B4" s="181" t="s">
        <v>90</v>
      </c>
      <c r="C4" s="182"/>
      <c r="D4" s="182"/>
      <c r="E4" s="182"/>
      <c r="F4" s="182"/>
      <c r="G4" s="182"/>
      <c r="H4" s="182"/>
      <c r="I4" s="182"/>
      <c r="J4" s="182"/>
      <c r="K4" s="182"/>
      <c r="L4" s="182"/>
      <c r="M4" s="182"/>
      <c r="N4" s="183"/>
      <c r="O4" s="119"/>
    </row>
    <row r="5" spans="2:15" ht="13.95" customHeight="1" x14ac:dyDescent="0.2">
      <c r="B5" s="185" t="s">
        <v>60</v>
      </c>
      <c r="C5" s="188" t="s">
        <v>61</v>
      </c>
      <c r="D5" s="188" t="s">
        <v>85</v>
      </c>
      <c r="E5" s="188" t="s">
        <v>101</v>
      </c>
      <c r="F5" s="188" t="s">
        <v>100</v>
      </c>
      <c r="G5" s="205" t="s">
        <v>82</v>
      </c>
      <c r="H5" s="205" t="s">
        <v>83</v>
      </c>
      <c r="I5" s="188" t="s">
        <v>62</v>
      </c>
      <c r="J5" s="188" t="s">
        <v>63</v>
      </c>
      <c r="K5" s="208" t="s">
        <v>84</v>
      </c>
      <c r="L5" s="199" t="s">
        <v>88</v>
      </c>
      <c r="M5" s="199" t="s">
        <v>93</v>
      </c>
      <c r="N5" s="201" t="s">
        <v>95</v>
      </c>
    </row>
    <row r="6" spans="2:15" ht="13.95" customHeight="1" x14ac:dyDescent="0.2">
      <c r="B6" s="186"/>
      <c r="C6" s="189"/>
      <c r="D6" s="189"/>
      <c r="E6" s="189"/>
      <c r="F6" s="189"/>
      <c r="G6" s="206"/>
      <c r="H6" s="206"/>
      <c r="I6" s="189"/>
      <c r="J6" s="189"/>
      <c r="K6" s="209"/>
      <c r="L6" s="200"/>
      <c r="M6" s="200"/>
      <c r="N6" s="202"/>
    </row>
    <row r="7" spans="2:15" ht="11.55" customHeight="1" x14ac:dyDescent="0.2">
      <c r="B7" s="187"/>
      <c r="C7" s="190"/>
      <c r="D7" s="190"/>
      <c r="E7" s="190"/>
      <c r="F7" s="190"/>
      <c r="G7" s="207"/>
      <c r="H7" s="207"/>
      <c r="I7" s="190"/>
      <c r="J7" s="190"/>
      <c r="K7" s="210"/>
      <c r="L7" s="200"/>
      <c r="M7" s="200"/>
      <c r="N7" s="202"/>
    </row>
    <row r="8" spans="2:15" ht="14.4" thickBot="1" x14ac:dyDescent="0.3">
      <c r="B8" s="131">
        <v>275</v>
      </c>
      <c r="C8" s="129">
        <v>260</v>
      </c>
      <c r="D8" s="129">
        <v>48</v>
      </c>
      <c r="E8" s="129">
        <v>17</v>
      </c>
      <c r="F8" s="129">
        <v>17</v>
      </c>
      <c r="G8" s="132">
        <v>3200</v>
      </c>
      <c r="H8" s="132">
        <v>920</v>
      </c>
      <c r="I8" s="132">
        <v>177500</v>
      </c>
      <c r="J8" s="136">
        <f>I8/(C8*D8*(E8+F8)/2)/B23</f>
        <v>0.81622705367325177</v>
      </c>
      <c r="K8" s="127">
        <v>0.9</v>
      </c>
      <c r="L8" s="128">
        <v>1</v>
      </c>
      <c r="M8" s="129" t="s">
        <v>21</v>
      </c>
      <c r="N8" s="130" t="s">
        <v>21</v>
      </c>
    </row>
    <row r="9" spans="2:15" ht="12.6" thickBot="1" x14ac:dyDescent="0.3">
      <c r="L9" s="164" t="s">
        <v>96</v>
      </c>
      <c r="O9" s="2"/>
    </row>
    <row r="10" spans="2:15" ht="14.4" thickBot="1" x14ac:dyDescent="0.3">
      <c r="B10" s="181" t="s">
        <v>143</v>
      </c>
      <c r="C10" s="182"/>
      <c r="D10" s="182"/>
      <c r="E10" s="182"/>
      <c r="F10" s="182"/>
      <c r="G10" s="183"/>
      <c r="O10" s="119"/>
    </row>
    <row r="11" spans="2:15" ht="13.95" customHeight="1" x14ac:dyDescent="0.2">
      <c r="B11" s="185" t="s">
        <v>144</v>
      </c>
      <c r="C11" s="188" t="s">
        <v>145</v>
      </c>
      <c r="D11" s="188" t="s">
        <v>147</v>
      </c>
      <c r="E11" s="188" t="s">
        <v>148</v>
      </c>
      <c r="F11" s="188" t="s">
        <v>149</v>
      </c>
      <c r="G11" s="191" t="s">
        <v>150</v>
      </c>
    </row>
    <row r="12" spans="2:15" ht="13.95" customHeight="1" x14ac:dyDescent="0.2">
      <c r="B12" s="186"/>
      <c r="C12" s="189"/>
      <c r="D12" s="189"/>
      <c r="E12" s="189"/>
      <c r="F12" s="189"/>
      <c r="G12" s="192"/>
    </row>
    <row r="13" spans="2:15" ht="11.55" customHeight="1" x14ac:dyDescent="0.2">
      <c r="B13" s="187"/>
      <c r="C13" s="190"/>
      <c r="D13" s="190"/>
      <c r="E13" s="190"/>
      <c r="F13" s="190"/>
      <c r="G13" s="193"/>
    </row>
    <row r="14" spans="2:15" ht="14.4" thickBot="1" x14ac:dyDescent="0.3">
      <c r="B14" s="131">
        <v>11</v>
      </c>
      <c r="C14" s="134">
        <f>1*D8/25</f>
        <v>1.92</v>
      </c>
      <c r="D14" s="129">
        <v>90</v>
      </c>
      <c r="E14" s="129">
        <v>21</v>
      </c>
      <c r="F14" s="129">
        <v>0</v>
      </c>
      <c r="G14" s="165">
        <v>0.62</v>
      </c>
    </row>
    <row r="15" spans="2:15" ht="12" x14ac:dyDescent="0.25">
      <c r="G15" s="164" t="s">
        <v>151</v>
      </c>
      <c r="O15" s="2"/>
    </row>
    <row r="16" spans="2:15" ht="12" thickBot="1" x14ac:dyDescent="0.25"/>
    <row r="17" spans="2:8" ht="14.4" thickBot="1" x14ac:dyDescent="0.3">
      <c r="B17" s="195" t="s">
        <v>102</v>
      </c>
      <c r="C17" s="196"/>
      <c r="D17" s="196"/>
      <c r="E17" s="196"/>
      <c r="F17" s="196"/>
      <c r="G17" s="196"/>
      <c r="H17" s="197"/>
    </row>
    <row r="18" spans="2:8" ht="15" customHeight="1" x14ac:dyDescent="0.2">
      <c r="B18" s="203" t="s">
        <v>104</v>
      </c>
      <c r="C18" s="199" t="s">
        <v>103</v>
      </c>
      <c r="D18" s="199" t="s">
        <v>113</v>
      </c>
      <c r="E18" s="199" t="s">
        <v>109</v>
      </c>
      <c r="F18" s="199" t="s">
        <v>114</v>
      </c>
      <c r="G18" s="199" t="s">
        <v>112</v>
      </c>
      <c r="H18" s="201" t="s">
        <v>115</v>
      </c>
    </row>
    <row r="19" spans="2:8" ht="12" customHeight="1" x14ac:dyDescent="0.2">
      <c r="B19" s="204"/>
      <c r="C19" s="200"/>
      <c r="D19" s="200"/>
      <c r="E19" s="200"/>
      <c r="F19" s="200"/>
      <c r="G19" s="200"/>
      <c r="H19" s="202"/>
    </row>
    <row r="20" spans="2:8" ht="12" customHeight="1" x14ac:dyDescent="0.2">
      <c r="B20" s="204"/>
      <c r="C20" s="200"/>
      <c r="D20" s="200"/>
      <c r="E20" s="200"/>
      <c r="F20" s="200"/>
      <c r="G20" s="200"/>
      <c r="H20" s="202"/>
    </row>
    <row r="21" spans="2:8" ht="13.95" hidden="1" customHeight="1" x14ac:dyDescent="0.25">
      <c r="B21" s="120">
        <v>275</v>
      </c>
      <c r="C21" s="103">
        <v>275</v>
      </c>
      <c r="D21" s="104">
        <v>48</v>
      </c>
      <c r="E21" s="104">
        <v>17</v>
      </c>
      <c r="F21" s="104">
        <v>17</v>
      </c>
      <c r="G21" s="104">
        <v>17</v>
      </c>
      <c r="H21" s="121">
        <v>17</v>
      </c>
    </row>
    <row r="22" spans="2:8" ht="11.55" hidden="1" customHeight="1" x14ac:dyDescent="0.2">
      <c r="B22" s="123"/>
      <c r="C22" s="122"/>
      <c r="D22" s="122"/>
      <c r="E22" s="122"/>
      <c r="F22" s="122"/>
      <c r="G22" s="122"/>
      <c r="H22" s="124"/>
    </row>
    <row r="23" spans="2:8" ht="14.4" thickBot="1" x14ac:dyDescent="0.3">
      <c r="B23" s="131">
        <v>1.0249999999999999</v>
      </c>
      <c r="C23" s="128">
        <v>-0.2</v>
      </c>
      <c r="D23" s="134">
        <v>20.75</v>
      </c>
      <c r="E23" s="134">
        <v>20.75</v>
      </c>
      <c r="F23" s="129">
        <v>300</v>
      </c>
      <c r="G23" s="129">
        <v>0</v>
      </c>
      <c r="H23" s="126">
        <f>(7.04/J8^0.85)*D8</f>
        <v>401.58229656579465</v>
      </c>
    </row>
    <row r="25" spans="2:8" hidden="1" x14ac:dyDescent="0.2"/>
    <row r="26" spans="2:8" ht="11.55" customHeight="1" x14ac:dyDescent="0.2">
      <c r="B26" s="198" t="s">
        <v>136</v>
      </c>
      <c r="C26" s="198"/>
      <c r="D26" s="198"/>
      <c r="E26" s="198"/>
      <c r="F26" s="198"/>
      <c r="G26" s="198"/>
      <c r="H26" s="198"/>
    </row>
    <row r="27" spans="2:8" ht="11.55" hidden="1" customHeight="1" x14ac:dyDescent="0.2">
      <c r="B27" s="198"/>
      <c r="C27" s="198"/>
      <c r="D27" s="198"/>
      <c r="E27" s="198"/>
      <c r="F27" s="198"/>
      <c r="G27" s="198"/>
      <c r="H27" s="198"/>
    </row>
    <row r="28" spans="2:8" ht="11.55" hidden="1" customHeight="1" x14ac:dyDescent="0.2">
      <c r="B28" s="198"/>
      <c r="C28" s="198"/>
      <c r="D28" s="198"/>
      <c r="E28" s="198"/>
      <c r="F28" s="198"/>
      <c r="G28" s="198"/>
      <c r="H28" s="198"/>
    </row>
    <row r="29" spans="2:8" ht="11.55" hidden="1" customHeight="1" x14ac:dyDescent="0.2">
      <c r="B29" s="198"/>
      <c r="C29" s="198"/>
      <c r="D29" s="198"/>
      <c r="E29" s="198"/>
      <c r="F29" s="198"/>
      <c r="G29" s="198"/>
      <c r="H29" s="198"/>
    </row>
    <row r="30" spans="2:8" ht="11.55" customHeight="1" x14ac:dyDescent="0.2">
      <c r="B30" s="198"/>
      <c r="C30" s="198"/>
      <c r="D30" s="198"/>
      <c r="E30" s="198"/>
      <c r="F30" s="198"/>
      <c r="G30" s="198"/>
      <c r="H30" s="198"/>
    </row>
    <row r="31" spans="2:8" ht="11.55" customHeight="1" x14ac:dyDescent="0.2">
      <c r="B31" s="198"/>
      <c r="C31" s="198"/>
      <c r="D31" s="198"/>
      <c r="E31" s="198"/>
      <c r="F31" s="198"/>
      <c r="G31" s="198"/>
      <c r="H31" s="198"/>
    </row>
    <row r="32" spans="2:8" x14ac:dyDescent="0.2">
      <c r="B32" s="198"/>
      <c r="C32" s="198"/>
      <c r="D32" s="198"/>
      <c r="E32" s="198"/>
      <c r="F32" s="198"/>
      <c r="G32" s="198"/>
      <c r="H32" s="198"/>
    </row>
    <row r="33" spans="11:14" ht="13.8" x14ac:dyDescent="0.25">
      <c r="K33" s="194" t="s">
        <v>108</v>
      </c>
      <c r="L33" s="194"/>
      <c r="M33" s="194"/>
      <c r="N33" s="194"/>
    </row>
  </sheetData>
  <sheetProtection sheet="1" objects="1" scenarios="1"/>
  <mergeCells count="32">
    <mergeCell ref="K33:N33"/>
    <mergeCell ref="B17:H17"/>
    <mergeCell ref="B26:H32"/>
    <mergeCell ref="L5:L7"/>
    <mergeCell ref="M5:M7"/>
    <mergeCell ref="N5:N7"/>
    <mergeCell ref="B18:B20"/>
    <mergeCell ref="C18:C20"/>
    <mergeCell ref="D18:D20"/>
    <mergeCell ref="E18:E20"/>
    <mergeCell ref="H18:H20"/>
    <mergeCell ref="F18:F20"/>
    <mergeCell ref="G18:G20"/>
    <mergeCell ref="I5:I7"/>
    <mergeCell ref="J5:J7"/>
    <mergeCell ref="B5:B7"/>
    <mergeCell ref="B10:G10"/>
    <mergeCell ref="B2:N2"/>
    <mergeCell ref="B11:B13"/>
    <mergeCell ref="C11:C13"/>
    <mergeCell ref="D11:D13"/>
    <mergeCell ref="E11:E13"/>
    <mergeCell ref="F11:F13"/>
    <mergeCell ref="G11:G13"/>
    <mergeCell ref="B4:N4"/>
    <mergeCell ref="C5:C7"/>
    <mergeCell ref="D5:D7"/>
    <mergeCell ref="E5:E7"/>
    <mergeCell ref="G5:G7"/>
    <mergeCell ref="H5:H7"/>
    <mergeCell ref="K5:K7"/>
    <mergeCell ref="F5:F7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1"/>
  <sheetViews>
    <sheetView zoomScale="90" zoomScaleNormal="90" workbookViewId="0">
      <selection activeCell="M9" sqref="M9"/>
    </sheetView>
  </sheetViews>
  <sheetFormatPr baseColWidth="10" defaultRowHeight="11.4" x14ac:dyDescent="0.2"/>
  <cols>
    <col min="1" max="1" width="18.25" customWidth="1"/>
    <col min="2" max="2" width="14.875" customWidth="1"/>
    <col min="3" max="3" width="36.875" customWidth="1"/>
    <col min="4" max="4" width="14.125" customWidth="1"/>
    <col min="6" max="6" width="14.125" customWidth="1"/>
    <col min="7" max="7" width="4.375" customWidth="1"/>
  </cols>
  <sheetData>
    <row r="2" spans="2:7" ht="12" thickBot="1" x14ac:dyDescent="0.25"/>
    <row r="3" spans="2:7" ht="16.2" thickBot="1" x14ac:dyDescent="0.35">
      <c r="B3" s="211" t="s">
        <v>155</v>
      </c>
      <c r="C3" s="212"/>
      <c r="D3" s="213"/>
    </row>
    <row r="4" spans="2:7" ht="16.2" thickBot="1" x14ac:dyDescent="0.35">
      <c r="B4" s="225" t="s">
        <v>49</v>
      </c>
      <c r="C4" s="226"/>
      <c r="D4" s="227"/>
    </row>
    <row r="5" spans="2:7" ht="15" x14ac:dyDescent="0.25">
      <c r="B5" s="222" t="s">
        <v>50</v>
      </c>
      <c r="C5" s="224"/>
      <c r="D5" s="105" t="s">
        <v>152</v>
      </c>
    </row>
    <row r="6" spans="2:7" ht="15.6" thickBot="1" x14ac:dyDescent="0.3">
      <c r="B6" s="228" t="s">
        <v>56</v>
      </c>
      <c r="C6" s="229"/>
      <c r="D6" s="171">
        <v>-0.2</v>
      </c>
    </row>
    <row r="7" spans="2:7" ht="16.2" thickBot="1" x14ac:dyDescent="0.35">
      <c r="B7" s="230" t="s">
        <v>51</v>
      </c>
      <c r="C7" s="231"/>
      <c r="D7" s="232"/>
    </row>
    <row r="8" spans="2:7" ht="15" x14ac:dyDescent="0.25">
      <c r="B8" s="222" t="s">
        <v>52</v>
      </c>
      <c r="C8" s="223"/>
      <c r="D8" s="172">
        <f>MAX('Initial data'!E8:F8)</f>
        <v>17</v>
      </c>
    </row>
    <row r="9" spans="2:7" ht="15" x14ac:dyDescent="0.25">
      <c r="B9" s="237" t="s">
        <v>48</v>
      </c>
      <c r="C9" s="238"/>
      <c r="D9" s="169">
        <f>0.015*D8</f>
        <v>0.255</v>
      </c>
      <c r="E9" s="167" t="s">
        <v>153</v>
      </c>
      <c r="F9" s="168"/>
      <c r="G9" s="168"/>
    </row>
    <row r="10" spans="2:7" ht="15" x14ac:dyDescent="0.25">
      <c r="B10" s="237" t="s">
        <v>47</v>
      </c>
      <c r="C10" s="238"/>
      <c r="D10" s="170">
        <f>'Squat results'!H10</f>
        <v>1.7386734474086225</v>
      </c>
      <c r="E10" s="97" t="s">
        <v>9</v>
      </c>
      <c r="F10" s="166" t="s">
        <v>9</v>
      </c>
    </row>
    <row r="11" spans="2:7" ht="15" x14ac:dyDescent="0.25">
      <c r="B11" s="216" t="s">
        <v>53</v>
      </c>
      <c r="C11" s="217"/>
      <c r="D11" s="170">
        <f>Dynamic_Heel!G85+Dynamic_Heel!H147</f>
        <v>7.7127941430136404E-2</v>
      </c>
      <c r="F11" s="166"/>
    </row>
    <row r="12" spans="2:7" ht="15" x14ac:dyDescent="0.25">
      <c r="B12" s="237" t="s">
        <v>54</v>
      </c>
      <c r="C12" s="238"/>
      <c r="D12" s="169">
        <v>0</v>
      </c>
      <c r="E12" s="167" t="s">
        <v>154</v>
      </c>
    </row>
    <row r="13" spans="2:7" ht="15" x14ac:dyDescent="0.25">
      <c r="B13" s="237" t="s">
        <v>46</v>
      </c>
      <c r="C13" s="238"/>
      <c r="D13" s="173">
        <v>0.6</v>
      </c>
    </row>
    <row r="14" spans="2:7" ht="15.6" thickBot="1" x14ac:dyDescent="0.3">
      <c r="B14" s="220" t="s">
        <v>80</v>
      </c>
      <c r="C14" s="221"/>
      <c r="D14" s="174">
        <v>0.25</v>
      </c>
    </row>
    <row r="15" spans="2:7" ht="16.2" thickBot="1" x14ac:dyDescent="0.35">
      <c r="B15" s="225" t="s">
        <v>55</v>
      </c>
      <c r="C15" s="226"/>
      <c r="D15" s="227"/>
    </row>
    <row r="16" spans="2:7" ht="15.6" thickBot="1" x14ac:dyDescent="0.3">
      <c r="B16" s="222" t="s">
        <v>81</v>
      </c>
      <c r="C16" s="223"/>
      <c r="D16" s="175">
        <v>0.6</v>
      </c>
    </row>
    <row r="17" spans="2:8" ht="15" hidden="1" x14ac:dyDescent="0.25">
      <c r="B17" s="216" t="s">
        <v>58</v>
      </c>
      <c r="C17" s="217"/>
      <c r="D17" s="102">
        <v>0</v>
      </c>
    </row>
    <row r="18" spans="2:8" ht="15.6" hidden="1" thickBot="1" x14ac:dyDescent="0.3">
      <c r="B18" s="228" t="s">
        <v>59</v>
      </c>
      <c r="C18" s="239"/>
      <c r="D18" s="76">
        <v>0</v>
      </c>
    </row>
    <row r="19" spans="2:8" ht="16.2" thickBot="1" x14ac:dyDescent="0.35">
      <c r="B19" s="235" t="s">
        <v>57</v>
      </c>
      <c r="C19" s="236"/>
      <c r="D19" s="101">
        <f>D6-SUM(D8:D14)-SUM(D16:D18)</f>
        <v>-20.720801388838758</v>
      </c>
      <c r="E19" s="97"/>
    </row>
    <row r="20" spans="2:8" ht="16.2" thickBot="1" x14ac:dyDescent="0.35">
      <c r="B20" s="218" t="s">
        <v>78</v>
      </c>
      <c r="C20" s="219"/>
      <c r="D20" s="100">
        <f>D6-D19-D8-D9-D10-D11</f>
        <v>1.4500000000000002</v>
      </c>
      <c r="E20" s="214" t="s">
        <v>79</v>
      </c>
      <c r="F20" s="215"/>
      <c r="G20" s="176">
        <f>0.05*D8</f>
        <v>0.85000000000000009</v>
      </c>
      <c r="H20" s="177" t="s">
        <v>45</v>
      </c>
    </row>
    <row r="21" spans="2:8" ht="14.4" thickBot="1" x14ac:dyDescent="0.3">
      <c r="B21" s="233" t="s">
        <v>44</v>
      </c>
      <c r="C21" s="234"/>
      <c r="D21" s="77">
        <f>-D19/D8</f>
        <v>1.2188706699316916</v>
      </c>
    </row>
  </sheetData>
  <sheetProtection sheet="1" objects="1" scenarios="1"/>
  <mergeCells count="20">
    <mergeCell ref="B21:C21"/>
    <mergeCell ref="B19:C19"/>
    <mergeCell ref="B16:C16"/>
    <mergeCell ref="B9:C9"/>
    <mergeCell ref="B10:C10"/>
    <mergeCell ref="B12:C12"/>
    <mergeCell ref="B13:C13"/>
    <mergeCell ref="B11:C11"/>
    <mergeCell ref="B15:D15"/>
    <mergeCell ref="B18:C18"/>
    <mergeCell ref="B3:D3"/>
    <mergeCell ref="E20:F20"/>
    <mergeCell ref="B17:C17"/>
    <mergeCell ref="B20:C20"/>
    <mergeCell ref="B14:C14"/>
    <mergeCell ref="B8:C8"/>
    <mergeCell ref="B5:C5"/>
    <mergeCell ref="B4:D4"/>
    <mergeCell ref="B6:C6"/>
    <mergeCell ref="B7:D7"/>
  </mergeCells>
  <pageMargins left="0.78740157499999996" right="0.78740157499999996" top="0.984251969" bottom="0.984251969" header="0.4921259845" footer="0.492125984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47"/>
  <sheetViews>
    <sheetView topLeftCell="A122" zoomScale="80" zoomScaleNormal="80" workbookViewId="0">
      <selection activeCell="G141" sqref="G141"/>
    </sheetView>
  </sheetViews>
  <sheetFormatPr baseColWidth="10" defaultRowHeight="11.4" x14ac:dyDescent="0.2"/>
  <cols>
    <col min="1" max="1" width="29.875" customWidth="1"/>
    <col min="7" max="7" width="16.875" bestFit="1" customWidth="1"/>
    <col min="9" max="9" width="12.625" bestFit="1" customWidth="1"/>
  </cols>
  <sheetData>
    <row r="2" spans="2:10" ht="12" thickBot="1" x14ac:dyDescent="0.25"/>
    <row r="3" spans="2:10" ht="26.25" customHeight="1" thickBot="1" x14ac:dyDescent="0.45">
      <c r="B3" s="240" t="s">
        <v>64</v>
      </c>
      <c r="C3" s="241"/>
      <c r="D3" s="241"/>
      <c r="E3" s="242"/>
      <c r="F3" s="242"/>
      <c r="G3" s="242"/>
      <c r="H3" s="242"/>
      <c r="I3" s="242"/>
      <c r="J3" s="243"/>
    </row>
    <row r="4" spans="2:10" ht="17.399999999999999" x14ac:dyDescent="0.3">
      <c r="B4" s="85"/>
      <c r="C4" s="158">
        <f>'Initial data'!G8</f>
        <v>3200</v>
      </c>
      <c r="D4" s="159" t="s">
        <v>71</v>
      </c>
      <c r="E4" s="85"/>
    </row>
    <row r="5" spans="2:10" ht="24.75" customHeight="1" x14ac:dyDescent="0.3">
      <c r="B5" s="85"/>
      <c r="C5" s="158">
        <f>'Initial data'!H8</f>
        <v>920</v>
      </c>
      <c r="D5" s="159" t="s">
        <v>71</v>
      </c>
      <c r="E5" s="85"/>
      <c r="F5" s="158">
        <f>'Initial data'!I8/'Initial data'!B23</f>
        <v>173170.73170731709</v>
      </c>
      <c r="G5" s="86" t="s">
        <v>72</v>
      </c>
    </row>
    <row r="6" spans="2:10" ht="21" customHeight="1" x14ac:dyDescent="0.3">
      <c r="B6" s="85"/>
      <c r="C6" s="160">
        <f>'Initial data'!C8</f>
        <v>260</v>
      </c>
      <c r="D6" s="159" t="s">
        <v>45</v>
      </c>
      <c r="E6" s="85" t="s">
        <v>76</v>
      </c>
      <c r="F6" s="161">
        <f>'Initial data'!J8</f>
        <v>0.81622705367325177</v>
      </c>
    </row>
    <row r="7" spans="2:10" ht="17.399999999999999" x14ac:dyDescent="0.3">
      <c r="B7" s="85"/>
      <c r="C7" s="160">
        <f>'Initial data'!D8</f>
        <v>48</v>
      </c>
      <c r="D7" s="159" t="s">
        <v>45</v>
      </c>
      <c r="E7" s="85"/>
    </row>
    <row r="8" spans="2:10" ht="17.399999999999999" x14ac:dyDescent="0.3">
      <c r="B8" s="85"/>
      <c r="C8" s="160">
        <f>('Initial data'!E8+'Initial data'!F8)/2</f>
        <v>17</v>
      </c>
      <c r="D8" s="159" t="s">
        <v>45</v>
      </c>
      <c r="E8" s="85"/>
    </row>
    <row r="11" spans="2:10" ht="13.8" x14ac:dyDescent="0.25">
      <c r="B11" s="79"/>
      <c r="C11" s="87">
        <f>C4/C6^2</f>
        <v>4.7337278106508875E-2</v>
      </c>
      <c r="E11" s="88">
        <f>0.5</f>
        <v>0.5</v>
      </c>
      <c r="G11" s="89">
        <f>C6/C7</f>
        <v>5.416666666666667</v>
      </c>
      <c r="I11" s="89">
        <f>C4/C5</f>
        <v>3.4782608695652173</v>
      </c>
    </row>
    <row r="26" spans="3:3" ht="13.2" x14ac:dyDescent="0.25">
      <c r="C26" s="82">
        <f>0.509+4.904*C11+0.022*I11</f>
        <v>0.8176637509647543</v>
      </c>
    </row>
    <row r="29" spans="3:3" ht="13.2" x14ac:dyDescent="0.25">
      <c r="C29" s="82">
        <f>0.0208+0.23*C11-0.075*E11</f>
        <v>-5.8124260355029572E-3</v>
      </c>
    </row>
    <row r="32" spans="3:3" ht="13.2" x14ac:dyDescent="0.25">
      <c r="C32" s="82">
        <f>-0.357+0.943*C11+0.0381*G11</f>
        <v>-0.10598594674556211</v>
      </c>
    </row>
    <row r="35" spans="1:6" ht="13.8" x14ac:dyDescent="0.25">
      <c r="A35" s="81" t="s">
        <v>65</v>
      </c>
      <c r="C35" s="84">
        <f>'Initial data'!D14</f>
        <v>90</v>
      </c>
      <c r="D35" s="80" t="s">
        <v>74</v>
      </c>
    </row>
    <row r="36" spans="1:6" ht="13.2" x14ac:dyDescent="0.25">
      <c r="D36" s="78"/>
    </row>
    <row r="37" spans="1:6" ht="13.2" x14ac:dyDescent="0.25">
      <c r="C37" s="84">
        <f>'Initial data'!E14</f>
        <v>21</v>
      </c>
      <c r="D37" s="80" t="s">
        <v>66</v>
      </c>
    </row>
    <row r="40" spans="1:6" ht="13.2" x14ac:dyDescent="0.25">
      <c r="D40" s="162">
        <f>C26*SIN(C35*PI()/180)+C29*SIN(2*C35*PI()/180)+C32*SIN(3*C35*PI()/180)</f>
        <v>0.92364969771031635</v>
      </c>
    </row>
    <row r="44" spans="1:6" ht="13.8" x14ac:dyDescent="0.25">
      <c r="A44" s="81" t="s">
        <v>70</v>
      </c>
      <c r="E44" s="90">
        <f>1.25*D40*C4*(C37^2)/2/1000</f>
        <v>814.65903338049895</v>
      </c>
      <c r="F44" s="80" t="s">
        <v>67</v>
      </c>
    </row>
    <row r="49" spans="4:11" ht="13.2" x14ac:dyDescent="0.25">
      <c r="D49" s="90">
        <f>C4/C6</f>
        <v>12.307692307692308</v>
      </c>
      <c r="H49" s="90">
        <f>C8+D49/2</f>
        <v>23.153846153846153</v>
      </c>
      <c r="K49" s="90">
        <f>H49-C8/2</f>
        <v>14.653846153846153</v>
      </c>
    </row>
    <row r="53" spans="4:11" ht="13.8" x14ac:dyDescent="0.25">
      <c r="G53" s="91">
        <f>K49*E44</f>
        <v>11937.888142998849</v>
      </c>
      <c r="H53" s="80" t="s">
        <v>68</v>
      </c>
    </row>
    <row r="60" spans="4:11" x14ac:dyDescent="0.2">
      <c r="D60" s="244" t="s">
        <v>77</v>
      </c>
      <c r="E60" s="244"/>
      <c r="F60" s="244"/>
      <c r="G60" s="244"/>
    </row>
    <row r="61" spans="4:11" x14ac:dyDescent="0.2">
      <c r="D61" s="244"/>
      <c r="E61" s="244"/>
      <c r="F61" s="244"/>
      <c r="G61" s="244"/>
    </row>
    <row r="63" spans="4:11" ht="13.95" customHeight="1" x14ac:dyDescent="0.25">
      <c r="D63" s="80" t="s">
        <v>69</v>
      </c>
      <c r="G63" s="245" t="s">
        <v>146</v>
      </c>
      <c r="H63" s="245"/>
    </row>
    <row r="64" spans="4:11" ht="11.55" customHeight="1" x14ac:dyDescent="0.2">
      <c r="G64" s="245"/>
      <c r="H64" s="245"/>
    </row>
    <row r="65" spans="4:8" ht="11.55" customHeight="1" x14ac:dyDescent="0.2">
      <c r="G65" s="245"/>
      <c r="H65" s="245"/>
    </row>
    <row r="66" spans="4:8" ht="12.45" customHeight="1" x14ac:dyDescent="0.25">
      <c r="D66" s="163">
        <f>'Initial data'!C14</f>
        <v>1.92</v>
      </c>
      <c r="E66" s="80" t="s">
        <v>45</v>
      </c>
      <c r="G66" s="245"/>
      <c r="H66" s="245"/>
    </row>
    <row r="68" spans="4:8" ht="13.2" x14ac:dyDescent="0.25">
      <c r="D68" s="98"/>
      <c r="E68" s="98"/>
      <c r="F68" s="98"/>
    </row>
    <row r="69" spans="4:8" ht="13.2" x14ac:dyDescent="0.25">
      <c r="D69" s="99"/>
      <c r="E69" s="99"/>
      <c r="F69" s="99"/>
    </row>
    <row r="79" spans="4:8" ht="15.6" x14ac:dyDescent="0.3">
      <c r="E79" s="93">
        <f>G53*180/(9.81*'Initial data'!B23*F5*D66)/PI()</f>
        <v>0.20458865357673189</v>
      </c>
      <c r="F79" s="92" t="s">
        <v>74</v>
      </c>
    </row>
    <row r="85" spans="2:10" ht="17.399999999999999" x14ac:dyDescent="0.3">
      <c r="G85" s="95">
        <f>0.9*(C7*SIN(E79*PI()/180)/2)</f>
        <v>7.7127941430136404E-2</v>
      </c>
      <c r="H85" s="94" t="s">
        <v>45</v>
      </c>
    </row>
    <row r="90" spans="2:10" ht="12" thickBot="1" x14ac:dyDescent="0.25"/>
    <row r="91" spans="2:10" ht="23.4" thickBot="1" x14ac:dyDescent="0.45">
      <c r="B91" s="240" t="s">
        <v>73</v>
      </c>
      <c r="C91" s="242"/>
      <c r="D91" s="242"/>
      <c r="E91" s="242"/>
      <c r="F91" s="242"/>
      <c r="G91" s="242"/>
      <c r="H91" s="242"/>
      <c r="I91" s="242"/>
      <c r="J91" s="243"/>
    </row>
    <row r="94" spans="2:10" ht="13.2" x14ac:dyDescent="0.25">
      <c r="D94" s="83">
        <f>'Initial data'!F14</f>
        <v>0</v>
      </c>
      <c r="E94" s="80" t="s">
        <v>74</v>
      </c>
      <c r="F94" s="80"/>
    </row>
    <row r="96" spans="2:10" ht="13.2" x14ac:dyDescent="0.25">
      <c r="D96" s="83">
        <f>'Initial data'!B14</f>
        <v>11</v>
      </c>
      <c r="E96" s="80" t="s">
        <v>75</v>
      </c>
    </row>
    <row r="100" spans="6:10" ht="13.2" x14ac:dyDescent="0.25">
      <c r="G100" s="89">
        <f>C8*(0.84-(0.33*F6/(0.18+0.87*F6)))</f>
        <v>9.1356976103345726</v>
      </c>
      <c r="H100" s="78" t="s">
        <v>45</v>
      </c>
    </row>
    <row r="105" spans="6:10" ht="13.2" x14ac:dyDescent="0.25">
      <c r="I105" s="89">
        <f>C7^2/(20.4*C8*F6)</f>
        <v>8.1394001657000832</v>
      </c>
      <c r="J105" s="78" t="s">
        <v>45</v>
      </c>
    </row>
    <row r="110" spans="6:10" ht="13.2" x14ac:dyDescent="0.25">
      <c r="F110" s="89">
        <f>G100-D66+I105</f>
        <v>15.355097776034656</v>
      </c>
      <c r="G110" s="78" t="s">
        <v>45</v>
      </c>
    </row>
    <row r="113" spans="5:6" ht="13.2" x14ac:dyDescent="0.25">
      <c r="E113" s="163">
        <f>'Initial data'!G14</f>
        <v>0.62</v>
      </c>
    </row>
    <row r="116" spans="5:6" ht="13.2" x14ac:dyDescent="0.25">
      <c r="E116" s="90">
        <f>IF(D94&gt;0,C6/(E113*D94*PI()/180),0)</f>
        <v>0</v>
      </c>
      <c r="F116" s="78" t="s">
        <v>45</v>
      </c>
    </row>
    <row r="127" spans="5:6" ht="13.2" x14ac:dyDescent="0.25">
      <c r="E127" s="90">
        <f>F110-C8/2</f>
        <v>6.8550977760346559</v>
      </c>
      <c r="F127" s="78" t="s">
        <v>45</v>
      </c>
    </row>
    <row r="136" spans="7:8" ht="15.6" x14ac:dyDescent="0.3">
      <c r="G136" s="93">
        <f>IF(E116&gt;0,E127*(D96*0.514)^2*180/(9.81*E116*D66)/PI(),0)</f>
        <v>0</v>
      </c>
      <c r="H136" s="92" t="s">
        <v>74</v>
      </c>
    </row>
    <row r="141" spans="7:8" ht="15.6" x14ac:dyDescent="0.3">
      <c r="G141" s="96">
        <f>1.7*G136</f>
        <v>0</v>
      </c>
      <c r="H141" s="92" t="s">
        <v>74</v>
      </c>
    </row>
    <row r="147" spans="8:9" ht="17.399999999999999" x14ac:dyDescent="0.3">
      <c r="H147" s="95">
        <f>0.9*(C7*SIN(G141*PI()/180)/2)</f>
        <v>0</v>
      </c>
      <c r="I147" s="94" t="s">
        <v>45</v>
      </c>
    </row>
  </sheetData>
  <sheetProtection sheet="1" objects="1" scenarios="1"/>
  <mergeCells count="4">
    <mergeCell ref="B3:J3"/>
    <mergeCell ref="B91:J91"/>
    <mergeCell ref="D60:G61"/>
    <mergeCell ref="G63:H66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56"/>
  <sheetViews>
    <sheetView tabSelected="1" zoomScaleNormal="100" workbookViewId="0">
      <selection activeCell="C14" sqref="C14"/>
    </sheetView>
  </sheetViews>
  <sheetFormatPr baseColWidth="10" defaultRowHeight="11.4" x14ac:dyDescent="0.2"/>
  <cols>
    <col min="2" max="2" width="17.375" customWidth="1"/>
    <col min="3" max="3" width="22.75" customWidth="1"/>
    <col min="4" max="4" width="22.375" customWidth="1"/>
    <col min="5" max="5" width="20.875" customWidth="1"/>
  </cols>
  <sheetData>
    <row r="1" spans="2:9" ht="12" x14ac:dyDescent="0.25">
      <c r="B1" s="262"/>
      <c r="C1" s="262"/>
      <c r="D1" s="262"/>
      <c r="E1" s="262"/>
      <c r="G1" s="31"/>
      <c r="H1" s="31"/>
      <c r="I1" s="31"/>
    </row>
    <row r="2" spans="2:9" ht="12" thickBot="1" x14ac:dyDescent="0.25">
      <c r="G2" s="31"/>
      <c r="H2" s="31"/>
      <c r="I2" s="31"/>
    </row>
    <row r="3" spans="2:9" ht="12.6" thickBot="1" x14ac:dyDescent="0.3">
      <c r="B3" s="263" t="s">
        <v>131</v>
      </c>
      <c r="C3" s="264"/>
      <c r="D3" s="264"/>
      <c r="E3" s="265"/>
      <c r="G3" s="43"/>
      <c r="H3" s="43"/>
      <c r="I3" s="31"/>
    </row>
    <row r="4" spans="2:9" ht="11.55" customHeight="1" x14ac:dyDescent="0.2">
      <c r="B4" s="246" t="s">
        <v>132</v>
      </c>
      <c r="C4" s="268" t="s">
        <v>133</v>
      </c>
      <c r="D4" s="266" t="s">
        <v>134</v>
      </c>
      <c r="E4" s="266" t="s">
        <v>135</v>
      </c>
      <c r="F4" s="246" t="s">
        <v>137</v>
      </c>
      <c r="G4" s="252" t="s">
        <v>138</v>
      </c>
      <c r="H4" s="253"/>
      <c r="I4" s="254"/>
    </row>
    <row r="5" spans="2:9" ht="12" thickBot="1" x14ac:dyDescent="0.25">
      <c r="B5" s="270"/>
      <c r="C5" s="269"/>
      <c r="D5" s="267"/>
      <c r="E5" s="267"/>
      <c r="F5" s="247"/>
      <c r="G5" s="255"/>
      <c r="H5" s="256"/>
      <c r="I5" s="257"/>
    </row>
    <row r="6" spans="2:9" ht="12" x14ac:dyDescent="0.25">
      <c r="B6" s="52">
        <v>2</v>
      </c>
      <c r="C6" s="54">
        <f>IF('Squat data'!B29=0,(MAX('Squat data'!M49,'Squat data'!M53,'Squat data'!D42)),(0))</f>
        <v>0</v>
      </c>
      <c r="D6" s="54">
        <f>IF(AND('Squat data'!$B$29&lt;('Squat data'!$B$28+'Squat data'!$B$27),'Squat data'!B29&gt;0),(MAX('Squat data'!B65,'Squat data'!B66)),(0))</f>
        <v>0</v>
      </c>
      <c r="E6" s="144">
        <f>IF('Squat data'!$B$29='Squat data'!$B$28,(MAX('Squat data'!M49,'Squat data'!M53,'Squat data'!B65,'Squat data'!B66)),(0))</f>
        <v>8.6264230677832621E-2</v>
      </c>
      <c r="F6" s="144">
        <f>MAX(C6:E6)</f>
        <v>8.6264230677832621E-2</v>
      </c>
      <c r="G6" s="150" t="s">
        <v>139</v>
      </c>
      <c r="H6" s="258">
        <f>LOOKUP(D55,B6:B14)</f>
        <v>10</v>
      </c>
      <c r="I6" s="259"/>
    </row>
    <row r="7" spans="2:9" ht="12" x14ac:dyDescent="0.25">
      <c r="B7" s="53">
        <v>4</v>
      </c>
      <c r="C7" s="55">
        <f>IF('Squat data'!$B$29=0,(MAX('V+2'!$M$49,'V+2'!$M$53,'V+2'!$D$42)),(0))</f>
        <v>0</v>
      </c>
      <c r="D7" s="55">
        <f>IF(AND('Squat data'!$B$29&lt;('Squat data'!$B$28+'Squat data'!$B$27),'Squat data'!$B$29&gt;0),(MAX('V+2'!$B$65,'V+2'!$B$66)),(0))</f>
        <v>0</v>
      </c>
      <c r="E7" s="145">
        <f>IF('Squat data'!$B$29='Squat data'!$B$28,(MAX('V+2'!$M$49,'V+2'!$M$53,'V+2'!$B$65,'V+2'!$B$66)),(0))</f>
        <v>0.2895221365359581</v>
      </c>
      <c r="F7" s="145">
        <f t="shared" ref="F7:F13" si="0">MAX(C7:E7)</f>
        <v>0.2895221365359581</v>
      </c>
      <c r="G7" s="151" t="s">
        <v>141</v>
      </c>
      <c r="H7" s="260">
        <f>MATCH(H6,B6:B14,0)</f>
        <v>5</v>
      </c>
      <c r="I7" s="261"/>
    </row>
    <row r="8" spans="2:9" ht="12" x14ac:dyDescent="0.25">
      <c r="B8" s="53">
        <v>6</v>
      </c>
      <c r="C8" s="55">
        <f>IF('Squat data'!$B$29=0,(MAX('V+4'!$M$49,'V+4'!$M$53,'V+4'!$D$42)),(0))</f>
        <v>0</v>
      </c>
      <c r="D8" s="55">
        <f>IF(AND('Squat data'!$B$29&lt;('Squat data'!$B$28+'Squat data'!$B$27),'Squat data'!$B$29&gt;0),(MAX('V+4'!$B$65,'V+4'!$B$66)),(0))</f>
        <v>0</v>
      </c>
      <c r="E8" s="145">
        <f>IF('Squat data'!$B$29='Squat data'!$B$28,(MAX('V+4'!$M$49,'V+4'!$M$53,'V+4'!$B$65,'V+4'!$B$66)),(0))</f>
        <v>0.58689483997910141</v>
      </c>
      <c r="F8" s="145">
        <f t="shared" si="0"/>
        <v>0.58689483997910141</v>
      </c>
      <c r="G8" s="151" t="s">
        <v>139</v>
      </c>
      <c r="H8" s="149">
        <f>INDEX(B6:F14,H7,1)</f>
        <v>10</v>
      </c>
      <c r="I8" s="155">
        <f>INDEX(B6:F14,H7,5)</f>
        <v>1.4419718085232709</v>
      </c>
    </row>
    <row r="9" spans="2:9" ht="12.6" thickBot="1" x14ac:dyDescent="0.3">
      <c r="B9" s="53">
        <v>8</v>
      </c>
      <c r="C9" s="55">
        <f>IF('Squat data'!$B$29=0,(MAX('V+6'!$M$49,'V+6'!$M$53,'V+6'!$D$42)),(0))</f>
        <v>0</v>
      </c>
      <c r="D9" s="55">
        <f>IF(AND('Squat data'!$B$29&lt;('Squat data'!$B$28+'Squat data'!$B$27),'Squat data'!$B$29&gt;0),(MAX('V+6'!$B$65,'V+6'!$B$66)),(0))</f>
        <v>0</v>
      </c>
      <c r="E9" s="145">
        <f>IF('Squat data'!$B$29='Squat data'!$B$28,(MAX('V+6'!$M$49,'V+6'!$M$53,'V+6'!$B$65,'V+6'!$B$66)),(0))</f>
        <v>0.97137433808468221</v>
      </c>
      <c r="F9" s="145">
        <f t="shared" si="0"/>
        <v>0.97137433808468221</v>
      </c>
      <c r="G9" s="152" t="s">
        <v>140</v>
      </c>
      <c r="H9" s="154">
        <f>INDEX(B6:F14,H7+1,1)</f>
        <v>12</v>
      </c>
      <c r="I9" s="153">
        <f>INDEX(B6:F14,H7+1,5)</f>
        <v>2.0353750862939743</v>
      </c>
    </row>
    <row r="10" spans="2:9" ht="13.8" thickBot="1" x14ac:dyDescent="0.3">
      <c r="B10" s="53">
        <v>10</v>
      </c>
      <c r="C10" s="55">
        <f>IF('Squat data'!$B$29=0,(MAX('V+8'!$M$49,'V+8'!$M$53,'V+8'!$D$42)),(0))</f>
        <v>0</v>
      </c>
      <c r="D10" s="55">
        <f>IF(AND('Squat data'!$B$29&lt;('Squat data'!$B$28+'Squat data'!$B$27),'Squat data'!$B$29&gt;0),(MAX('V+8'!$B$65,'V+8'!$B$66)),(0))</f>
        <v>0</v>
      </c>
      <c r="E10" s="145">
        <f>IF('Squat data'!$B$29='Squat data'!$B$28,(MAX('V+8'!$M$49,'V+8'!$M$53,'V+8'!$B$65,'V+8'!$B$66)),(0))</f>
        <v>1.4419718085232709</v>
      </c>
      <c r="F10" s="145">
        <f t="shared" si="0"/>
        <v>1.4419718085232709</v>
      </c>
      <c r="G10" s="112" t="s">
        <v>142</v>
      </c>
      <c r="H10" s="157">
        <f>IF(H8&lt;B14,I8+(D55-H8)*(I9-I8)/(H9-H8),"False")</f>
        <v>1.7386734474086225</v>
      </c>
      <c r="I10" s="156"/>
    </row>
    <row r="11" spans="2:9" ht="12" x14ac:dyDescent="0.25">
      <c r="B11" s="53">
        <v>12</v>
      </c>
      <c r="C11" s="55">
        <f>IF('Squat data'!$B$29=0,(MAX('V+10'!$M$49,'V+10'!$M$53,'V+10'!$D$42)),(0))</f>
        <v>0</v>
      </c>
      <c r="D11" s="55">
        <f>IF(AND('Squat data'!$B$29&lt;('Squat data'!$B$28+'Squat data'!$B$27),'Squat data'!$B$29&gt;0),(MAX('V+10'!$B$65,'V+10'!$B$66)),(0))</f>
        <v>0</v>
      </c>
      <c r="E11" s="145">
        <f>IF('Squat data'!$B$29='Squat data'!$B$28,(MAX('V+10'!$M$49,'V+10'!$M$53,'V+10'!$B$65,'V+10'!$B$66)),(0))</f>
        <v>2.0353750862939743</v>
      </c>
      <c r="F11" s="55">
        <f t="shared" si="0"/>
        <v>2.0353750862939743</v>
      </c>
      <c r="G11" s="31"/>
      <c r="H11" s="31"/>
      <c r="I11" s="31"/>
    </row>
    <row r="12" spans="2:9" ht="12" x14ac:dyDescent="0.25">
      <c r="B12" s="53">
        <v>14</v>
      </c>
      <c r="C12" s="55">
        <f>IF('Squat data'!$B$29=0,(MAX('V+12'!$M$49,'V+12'!$M$53,'V+12'!$D$42)),(0))</f>
        <v>0</v>
      </c>
      <c r="D12" s="55">
        <f>IF(AND('Squat data'!$B$29&lt;('Squat data'!$B$28+'Squat data'!$B$27),'Squat data'!$B$29&gt;0),(MAX('V+12'!$B$65,'V+12'!$B$66)),(0))</f>
        <v>0</v>
      </c>
      <c r="E12" s="145">
        <f>IF('Squat data'!$B$29='Squat data'!$B$28,(MAX('V+12'!$M$49,'V+12'!$M$53,'V+12'!$B$65,'V+12'!$B$66)),(0))</f>
        <v>3.5015874332085923</v>
      </c>
      <c r="F12" s="55">
        <f t="shared" si="0"/>
        <v>3.5015874332085923</v>
      </c>
      <c r="H12" s="75"/>
    </row>
    <row r="13" spans="2:9" ht="12" x14ac:dyDescent="0.25">
      <c r="B13" s="53">
        <v>16</v>
      </c>
      <c r="C13" s="55">
        <f>IF('Squat data'!$B$29=0,(MAX('V+14'!$M$49,'V+14'!$M$53,'V+14'!$D$42)),(0))</f>
        <v>0</v>
      </c>
      <c r="D13" s="55">
        <f>IF(AND('Squat data'!$B$29&lt;('Squat data'!$B$28+'Squat data'!$B$27),'Squat data'!$B$29&gt;0),(MAX('V+14'!$B$65,'V+14'!$B$66)),(0))</f>
        <v>0</v>
      </c>
      <c r="E13" s="145">
        <f>IF('Squat data'!$B$29='Squat data'!$B$28,(MAX('V+14'!$M$49,'V+14'!$M$53,'V+14'!$B$65,'V+14'!$B$66)),(0))</f>
        <v>6.5783930939322808</v>
      </c>
      <c r="F13" s="55">
        <f t="shared" si="0"/>
        <v>6.5783930939322808</v>
      </c>
    </row>
    <row r="14" spans="2:9" ht="12.6" thickBot="1" x14ac:dyDescent="0.3">
      <c r="B14" s="146">
        <v>18</v>
      </c>
      <c r="C14" s="147">
        <f>IF('Squat data'!$B$29=0,(MAX('V+16'!$M$49,'V+16'!$M$53,'V+16'!$D$42)),(0))</f>
        <v>0</v>
      </c>
      <c r="D14" s="147">
        <f>IF(AND('Squat data'!$B$29&lt;('Squat data'!$B$28+'Squat data'!$B$27),'Squat data'!$B$29&gt;0),(MAX('V+16'!$B$65,'V+16'!$B$66)),(0))</f>
        <v>0</v>
      </c>
      <c r="E14" s="148">
        <f>IF('Squat data'!$B$29='Squat data'!$B$28,(MAX('V+16'!$M$49,'V+16'!$M$53,'V+16'!$B$65,'V+16'!$B$66)),(0))</f>
        <v>6.5783930939322808</v>
      </c>
      <c r="F14" s="56">
        <f t="shared" ref="F14" si="1">MAX(C14:E14)</f>
        <v>6.5783930939322808</v>
      </c>
    </row>
    <row r="52" spans="2:5" ht="12" thickBot="1" x14ac:dyDescent="0.25"/>
    <row r="53" spans="2:5" x14ac:dyDescent="0.2">
      <c r="B53" s="248" t="s">
        <v>125</v>
      </c>
      <c r="C53" s="249"/>
      <c r="D53" s="248" t="s">
        <v>132</v>
      </c>
      <c r="E53" s="249"/>
    </row>
    <row r="54" spans="2:5" ht="12" thickBot="1" x14ac:dyDescent="0.25">
      <c r="B54" s="250"/>
      <c r="C54" s="251"/>
      <c r="D54" s="250"/>
      <c r="E54" s="251"/>
    </row>
    <row r="55" spans="2:5" ht="12" x14ac:dyDescent="0.25">
      <c r="B55" s="71">
        <f>'Squat data'!I49*3600/1852</f>
        <v>15.798834362420404</v>
      </c>
      <c r="C55" s="73">
        <v>0</v>
      </c>
      <c r="D55" s="71">
        <f>'Initial data'!B14</f>
        <v>11</v>
      </c>
      <c r="E55" s="73">
        <v>0</v>
      </c>
    </row>
    <row r="56" spans="2:5" ht="12.6" thickBot="1" x14ac:dyDescent="0.3">
      <c r="B56" s="72">
        <f>'Squat data'!I49*3600/1852</f>
        <v>15.798834362420404</v>
      </c>
      <c r="C56" s="56">
        <f>MAX(F14)</f>
        <v>6.5783930939322808</v>
      </c>
      <c r="D56" s="72">
        <f>'Initial data'!B14</f>
        <v>11</v>
      </c>
      <c r="E56" s="56">
        <f>MAX(F14)</f>
        <v>6.5783930939322808</v>
      </c>
    </row>
  </sheetData>
  <sheetProtection sheet="1" objects="1" scenarios="1"/>
  <mergeCells count="12">
    <mergeCell ref="B53:C54"/>
    <mergeCell ref="B1:E1"/>
    <mergeCell ref="B3:E3"/>
    <mergeCell ref="D4:D5"/>
    <mergeCell ref="E4:E5"/>
    <mergeCell ref="C4:C5"/>
    <mergeCell ref="B4:B5"/>
    <mergeCell ref="F4:F5"/>
    <mergeCell ref="D53:E54"/>
    <mergeCell ref="G4:I5"/>
    <mergeCell ref="H6:I6"/>
    <mergeCell ref="H7:I7"/>
  </mergeCells>
  <phoneticPr fontId="10" type="noConversion"/>
  <pageMargins left="0.78740157499999996" right="0.78740157499999996" top="0.984251969" bottom="0.984251969" header="0.4921259845" footer="0.4921259845"/>
  <pageSetup paperSize="9" scale="59" orientation="portrait" vertic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6"/>
  <sheetViews>
    <sheetView topLeftCell="A7" workbookViewId="0">
      <selection activeCell="G18" sqref="G18"/>
    </sheetView>
  </sheetViews>
  <sheetFormatPr baseColWidth="10" defaultRowHeight="11.4" x14ac:dyDescent="0.2"/>
  <cols>
    <col min="1" max="1" width="23.25" customWidth="1"/>
    <col min="9" max="9" width="13.875" customWidth="1"/>
  </cols>
  <sheetData>
    <row r="1" spans="1:10" ht="12" thickBot="1" x14ac:dyDescent="0.25"/>
    <row r="2" spans="1:10" ht="21" thickBot="1" x14ac:dyDescent="0.4">
      <c r="F2" s="279" t="s">
        <v>43</v>
      </c>
      <c r="G2" s="280"/>
      <c r="H2" s="280"/>
      <c r="I2" s="280"/>
      <c r="J2" s="281"/>
    </row>
    <row r="10" spans="1:10" x14ac:dyDescent="0.2">
      <c r="A10" s="282"/>
      <c r="B10" s="282"/>
    </row>
    <row r="11" spans="1:10" ht="12" thickBot="1" x14ac:dyDescent="0.25"/>
    <row r="12" spans="1:10" ht="12" thickBot="1" x14ac:dyDescent="0.25">
      <c r="A12" s="283" t="s">
        <v>99</v>
      </c>
      <c r="B12" s="284"/>
    </row>
    <row r="13" spans="1:10" x14ac:dyDescent="0.2">
      <c r="A13" s="4" t="s">
        <v>0</v>
      </c>
      <c r="B13" s="106">
        <f>'Initial data'!C8</f>
        <v>260</v>
      </c>
    </row>
    <row r="14" spans="1:10" x14ac:dyDescent="0.2">
      <c r="A14" s="109" t="s">
        <v>86</v>
      </c>
      <c r="B14" s="107">
        <f>'Initial data'!D8</f>
        <v>48</v>
      </c>
    </row>
    <row r="15" spans="1:10" x14ac:dyDescent="0.2">
      <c r="A15" s="109" t="s">
        <v>91</v>
      </c>
      <c r="B15" s="59">
        <f>(B23+B24)/2</f>
        <v>17</v>
      </c>
    </row>
    <row r="16" spans="1:10" x14ac:dyDescent="0.2">
      <c r="A16" s="109" t="s">
        <v>105</v>
      </c>
      <c r="B16" s="125">
        <f>B17*B13*B14*B15</f>
        <v>173170.73170731709</v>
      </c>
    </row>
    <row r="17" spans="1:2" x14ac:dyDescent="0.2">
      <c r="A17" s="5" t="s">
        <v>5</v>
      </c>
      <c r="B17" s="108">
        <f>'Initial data'!J8</f>
        <v>0.81622705367325177</v>
      </c>
    </row>
    <row r="18" spans="1:2" x14ac:dyDescent="0.2">
      <c r="A18" s="9" t="s">
        <v>7</v>
      </c>
      <c r="B18" s="108">
        <f>'Initial data'!K8</f>
        <v>0.9</v>
      </c>
    </row>
    <row r="19" spans="1:2" ht="12" thickBot="1" x14ac:dyDescent="0.25">
      <c r="A19" s="110" t="s">
        <v>87</v>
      </c>
      <c r="B19" s="74">
        <v>2</v>
      </c>
    </row>
    <row r="20" spans="1:2" x14ac:dyDescent="0.2">
      <c r="A20" s="113" t="s">
        <v>89</v>
      </c>
      <c r="B20" s="116">
        <f>'Initial data'!L8</f>
        <v>1</v>
      </c>
    </row>
    <row r="21" spans="1:2" x14ac:dyDescent="0.2">
      <c r="A21" s="114" t="s">
        <v>92</v>
      </c>
      <c r="B21" s="108" t="str">
        <f>'Initial data'!M8</f>
        <v>O</v>
      </c>
    </row>
    <row r="22" spans="1:2" ht="11.55" customHeight="1" x14ac:dyDescent="0.2">
      <c r="A22" s="114" t="s">
        <v>94</v>
      </c>
      <c r="B22" s="108" t="str">
        <f>'Initial data'!N8</f>
        <v>O</v>
      </c>
    </row>
    <row r="23" spans="1:2" x14ac:dyDescent="0.2">
      <c r="A23" s="115" t="s">
        <v>97</v>
      </c>
      <c r="B23" s="108">
        <f>'Initial data'!E8</f>
        <v>17</v>
      </c>
    </row>
    <row r="24" spans="1:2" ht="12" thickBot="1" x14ac:dyDescent="0.25">
      <c r="A24" s="117" t="s">
        <v>98</v>
      </c>
      <c r="B24" s="118">
        <f>'Initial data'!F8</f>
        <v>17</v>
      </c>
    </row>
    <row r="25" spans="1:2" ht="12" thickBot="1" x14ac:dyDescent="0.25"/>
    <row r="26" spans="1:2" ht="12" thickBot="1" x14ac:dyDescent="0.25">
      <c r="A26" s="111" t="s">
        <v>102</v>
      </c>
      <c r="B26" s="57"/>
    </row>
    <row r="27" spans="1:2" x14ac:dyDescent="0.2">
      <c r="A27" s="6" t="s">
        <v>106</v>
      </c>
      <c r="B27" s="116">
        <f>'Initial data'!C23</f>
        <v>-0.2</v>
      </c>
    </row>
    <row r="28" spans="1:2" x14ac:dyDescent="0.2">
      <c r="A28" s="7" t="s">
        <v>107</v>
      </c>
      <c r="B28" s="108">
        <f>'Initial data'!D23</f>
        <v>20.75</v>
      </c>
    </row>
    <row r="29" spans="1:2" x14ac:dyDescent="0.2">
      <c r="A29" s="133" t="s">
        <v>110</v>
      </c>
      <c r="B29" s="108">
        <f>'Initial data'!E23</f>
        <v>20.75</v>
      </c>
    </row>
    <row r="30" spans="1:2" x14ac:dyDescent="0.2">
      <c r="A30" s="133" t="s">
        <v>111</v>
      </c>
      <c r="B30" s="108">
        <f>'Initial data'!F23</f>
        <v>300</v>
      </c>
    </row>
    <row r="31" spans="1:2" ht="12" thickBot="1" x14ac:dyDescent="0.25">
      <c r="A31" s="135" t="s">
        <v>116</v>
      </c>
      <c r="B31" s="118">
        <f>'Initial data'!G23</f>
        <v>0</v>
      </c>
    </row>
    <row r="32" spans="1:2" ht="12" thickBot="1" x14ac:dyDescent="0.25">
      <c r="A32" s="44" t="s">
        <v>44</v>
      </c>
      <c r="B32" s="60">
        <f>B28/B15</f>
        <v>1.2205882352941178</v>
      </c>
    </row>
    <row r="33" spans="1:13" x14ac:dyDescent="0.2">
      <c r="A33" s="285" t="s">
        <v>117</v>
      </c>
      <c r="B33" s="286"/>
    </row>
    <row r="34" spans="1:13" x14ac:dyDescent="0.2">
      <c r="A34" s="287" t="s">
        <v>40</v>
      </c>
      <c r="B34" s="288"/>
    </row>
    <row r="35" spans="1:13" ht="12" thickBot="1" x14ac:dyDescent="0.25">
      <c r="A35" s="51" t="s">
        <v>8</v>
      </c>
      <c r="B35" s="61">
        <f>(7.04/B17^0.85)*B14</f>
        <v>401.58229656579465</v>
      </c>
    </row>
    <row r="38" spans="1:13" ht="12" thickBot="1" x14ac:dyDescent="0.25">
      <c r="A38" s="42"/>
      <c r="B38" s="42"/>
    </row>
    <row r="39" spans="1:13" ht="12.6" thickBot="1" x14ac:dyDescent="0.3">
      <c r="A39" s="263" t="s">
        <v>119</v>
      </c>
      <c r="B39" s="264"/>
      <c r="C39" s="264"/>
      <c r="D39" s="265"/>
    </row>
    <row r="40" spans="1:13" ht="12" thickBot="1" x14ac:dyDescent="0.25">
      <c r="A40" s="274" t="s">
        <v>122</v>
      </c>
      <c r="B40" s="277"/>
      <c r="C40" s="277"/>
      <c r="D40" s="278"/>
    </row>
    <row r="41" spans="1:13" x14ac:dyDescent="0.2">
      <c r="A41" s="11" t="s">
        <v>121</v>
      </c>
      <c r="B41" s="12" t="s">
        <v>42</v>
      </c>
      <c r="C41" s="12" t="s">
        <v>120</v>
      </c>
      <c r="D41" s="13" t="s">
        <v>4</v>
      </c>
    </row>
    <row r="42" spans="1:13" ht="12.6" thickBot="1" x14ac:dyDescent="0.3">
      <c r="A42" s="58" t="s">
        <v>41</v>
      </c>
      <c r="B42" s="62">
        <f>IF(B19*1852/3600&lt;I49,B19*1852/3600,I49)</f>
        <v>1.028888888888889</v>
      </c>
      <c r="C42" s="62">
        <f>B42/SQRT(9.81*($B$27+$B$28))</f>
        <v>7.2464960605845966E-2</v>
      </c>
      <c r="D42" s="63">
        <f xml:space="preserve">  IF($B$29=0,       (IF(B32&lt;1.2, (IF(B17&lt;0.8,          (((2*B17*B14*B15)/B13)*POWER(C42,2)/SQRT(1-POWER(C42,2))),         (0)     )),     (((2*B17*B14*B15)/B13)*POWER(C42,2)/SQRT(1-POWER(C42,2))))),(0))</f>
        <v>0</v>
      </c>
      <c r="E42" s="42"/>
      <c r="F42" s="42"/>
      <c r="G42" s="42"/>
      <c r="H42" s="42"/>
      <c r="I42" s="42"/>
      <c r="J42" s="42"/>
      <c r="K42" s="42"/>
      <c r="L42" s="42"/>
    </row>
    <row r="43" spans="1:13" x14ac:dyDescent="0.2">
      <c r="A43" s="42"/>
      <c r="B43" s="42"/>
      <c r="E43" s="42"/>
      <c r="F43" s="42"/>
      <c r="G43" s="42"/>
      <c r="H43" s="42"/>
      <c r="I43" s="42"/>
      <c r="J43" s="42"/>
      <c r="K43" s="42"/>
      <c r="L43" s="42"/>
    </row>
    <row r="44" spans="1:13" ht="12" thickBot="1" x14ac:dyDescent="0.25">
      <c r="A44" s="45"/>
      <c r="B44" s="45"/>
      <c r="E44" s="42"/>
      <c r="F44" s="42"/>
      <c r="G44" s="42"/>
      <c r="H44" s="42"/>
      <c r="I44" s="42"/>
      <c r="J44" s="42"/>
      <c r="K44" s="42"/>
      <c r="L44" s="42"/>
    </row>
    <row r="45" spans="1:13" ht="12.6" thickBot="1" x14ac:dyDescent="0.3">
      <c r="A45" s="263" t="s">
        <v>123</v>
      </c>
      <c r="B45" s="264"/>
      <c r="C45" s="264"/>
      <c r="D45" s="264"/>
      <c r="E45" s="264"/>
      <c r="F45" s="264"/>
      <c r="G45" s="264"/>
      <c r="H45" s="264"/>
      <c r="I45" s="264"/>
      <c r="J45" s="264"/>
      <c r="K45" s="264"/>
      <c r="L45" s="264"/>
      <c r="M45" s="265"/>
    </row>
    <row r="46" spans="1:13" ht="12" thickBot="1" x14ac:dyDescent="0.25">
      <c r="A46" s="274" t="s">
        <v>124</v>
      </c>
      <c r="B46" s="275"/>
      <c r="C46" s="275"/>
      <c r="D46" s="275"/>
      <c r="E46" s="275"/>
      <c r="F46" s="275"/>
      <c r="G46" s="275"/>
      <c r="H46" s="275"/>
      <c r="I46" s="275"/>
      <c r="J46" s="275"/>
      <c r="K46" s="275"/>
      <c r="L46" s="275"/>
      <c r="M46" s="276"/>
    </row>
    <row r="47" spans="1:13" ht="12.6" thickBot="1" x14ac:dyDescent="0.3">
      <c r="A47" s="271" t="s">
        <v>10</v>
      </c>
      <c r="B47" s="272"/>
      <c r="C47" s="272"/>
      <c r="D47" s="272"/>
      <c r="E47" s="272"/>
      <c r="F47" s="272"/>
      <c r="G47" s="272"/>
      <c r="H47" s="272"/>
      <c r="I47" s="272"/>
      <c r="J47" s="272"/>
      <c r="K47" s="272"/>
      <c r="L47" s="272"/>
      <c r="M47" s="273"/>
    </row>
    <row r="48" spans="1:13" x14ac:dyDescent="0.2">
      <c r="A48" s="11" t="s">
        <v>121</v>
      </c>
      <c r="B48" s="12" t="s">
        <v>1</v>
      </c>
      <c r="C48" s="12" t="s">
        <v>2</v>
      </c>
      <c r="D48" s="12" t="s">
        <v>3</v>
      </c>
      <c r="E48" s="12" t="s">
        <v>12</v>
      </c>
      <c r="F48" s="12" t="s">
        <v>13</v>
      </c>
      <c r="G48" s="12" t="s">
        <v>14</v>
      </c>
      <c r="H48" s="12" t="s">
        <v>15</v>
      </c>
      <c r="I48" s="19" t="s">
        <v>125</v>
      </c>
      <c r="J48" s="19" t="s">
        <v>17</v>
      </c>
      <c r="K48" s="19" t="s">
        <v>18</v>
      </c>
      <c r="L48" s="19" t="s">
        <v>19</v>
      </c>
      <c r="M48" s="20" t="s">
        <v>4</v>
      </c>
    </row>
    <row r="49" spans="1:16" ht="12.6" thickBot="1" x14ac:dyDescent="0.3">
      <c r="A49" s="137" t="s">
        <v>39</v>
      </c>
      <c r="B49" s="138">
        <f>0.98*$B$14*$B$15</f>
        <v>799.68</v>
      </c>
      <c r="C49" s="138">
        <f>IF($B$29=0,IF($B$30&lt;$B$35,$B$30*($B$27+$B$28)+$B$31*POWER($B$27+$B$28,2),$B$35*($B$27+$B$28)+$B$31*POWER($B$27+$B$28,2)),$B$30*($B$27+$B$28)+$B$31*POWER($B$27+$B$28,2))</f>
        <v>6165</v>
      </c>
      <c r="D49" s="139">
        <f>B49/C49</f>
        <v>0.12971289537712893</v>
      </c>
      <c r="E49" s="139">
        <f>POWER(2*COS((PI()+ACOS(1-D49))/3),1.5)</f>
        <v>0.57243095484554007</v>
      </c>
      <c r="F49" s="139">
        <f>IF($B$29=0,IF($B$30&lt;$B$35,C49/($B$30+2*$B$31*($B$27+$B$28)),C49/($B$35+2*$B$31*($B$27+$B$28))),C49/($B$30+2*$B$31*($B$27+$B$28)))</f>
        <v>20.55</v>
      </c>
      <c r="G49" s="139">
        <f>0.58*POWER(($B$27+$B$28)*$B$13/$B$15/$B$14,0.125)</f>
        <v>0.73356714258821765</v>
      </c>
      <c r="H49" s="139">
        <f>($B$27+$B$28)-$B$29*(1-F49/($B$27+$B$28))</f>
        <v>20.55</v>
      </c>
      <c r="I49" s="140">
        <f>IF($B$29=0, G49*SQRT(9.81*($B$27+$B$28)),IF($B$29&lt;($B$28+$B$27),(G49*(1-$B$29/($B$28+$B$27))+E49*$B$29/($B$28+$B$27))*SQRT(9.81*H49),E49*SQRT(9.81*F49)))</f>
        <v>8.1276225664451633</v>
      </c>
      <c r="J49" s="140">
        <f>0.155*SQRT(($B$27+$B$28)/$B$15)</f>
        <v>0.17041709214194936</v>
      </c>
      <c r="K49" s="140">
        <f>POWER(10*$B$14*$B$17/$B$13,2)</f>
        <v>2.270689487652755</v>
      </c>
      <c r="L49" s="140">
        <f>8*POWER(B42/I49,2)*(POWER(B42/I49-0.5,4)+0.0625)</f>
        <v>1.0505224408963384E-2</v>
      </c>
      <c r="M49" s="141">
        <f>IF($B$29=0,(IF(B32&lt;1.2,(IF(B17&gt;=0.8,(L49*K49*J49*B15),(0))),(L49*K49*J49*B15)   )   ),(IF(B28=B29,(IF(B28/B15&lt;1.2,(IF(B17&gt;0.8,(IF(B19&gt;=7,(L49*K49*J49*B15),(0))),(L49*K49*J49*B15))),(L49*K49*J49*B15))),(0))))</f>
        <v>6.9107495702133565E-2</v>
      </c>
    </row>
    <row r="50" spans="1:16" ht="12.6" thickBot="1" x14ac:dyDescent="0.3">
      <c r="A50" s="15"/>
      <c r="B50" s="39"/>
      <c r="C50" s="39"/>
      <c r="D50" s="39"/>
      <c r="E50" s="39"/>
      <c r="F50" s="41"/>
      <c r="G50" s="3"/>
      <c r="H50" s="31"/>
      <c r="I50" s="31"/>
      <c r="J50" s="31"/>
      <c r="K50" s="31"/>
      <c r="L50" s="31"/>
      <c r="M50" s="31"/>
    </row>
    <row r="51" spans="1:16" ht="12.6" thickBot="1" x14ac:dyDescent="0.3">
      <c r="A51" s="271" t="s">
        <v>11</v>
      </c>
      <c r="B51" s="272"/>
      <c r="C51" s="272"/>
      <c r="D51" s="272"/>
      <c r="E51" s="272"/>
      <c r="F51" s="272"/>
      <c r="G51" s="272"/>
      <c r="H51" s="272"/>
      <c r="I51" s="272"/>
      <c r="J51" s="272"/>
      <c r="K51" s="272"/>
      <c r="L51" s="272"/>
      <c r="M51" s="273"/>
    </row>
    <row r="52" spans="1:16" x14ac:dyDescent="0.2">
      <c r="A52" s="11" t="s">
        <v>126</v>
      </c>
      <c r="B52" s="12" t="s">
        <v>1</v>
      </c>
      <c r="C52" s="12" t="s">
        <v>2</v>
      </c>
      <c r="D52" s="12" t="s">
        <v>3</v>
      </c>
      <c r="E52" s="12" t="s">
        <v>12</v>
      </c>
      <c r="F52" s="12" t="s">
        <v>13</v>
      </c>
      <c r="G52" s="12" t="s">
        <v>14</v>
      </c>
      <c r="H52" s="12" t="s">
        <v>15</v>
      </c>
      <c r="I52" s="19" t="s">
        <v>16</v>
      </c>
      <c r="J52" s="19" t="s">
        <v>17</v>
      </c>
      <c r="K52" s="19" t="s">
        <v>18</v>
      </c>
      <c r="L52" s="19" t="s">
        <v>19</v>
      </c>
      <c r="M52" s="20" t="s">
        <v>20</v>
      </c>
    </row>
    <row r="53" spans="1:16" ht="12.6" thickBot="1" x14ac:dyDescent="0.3">
      <c r="A53" s="137" t="s">
        <v>39</v>
      </c>
      <c r="B53" s="138">
        <f>0.98*$B$14*$B$15</f>
        <v>799.68</v>
      </c>
      <c r="C53" s="138">
        <f>IF($B$29=0,IF($B$30&lt;$B$35,$B$30*($B$27+$B$28)+$B$31*POWER($B$27+$B$28,2),$B$35*($B$27+$B$28)+$B$31*POWER($B$27+$B$28,2)),$B$30*($B$27+$B$28)+$B$31*POWER($B$27+$B$28,2))</f>
        <v>6165</v>
      </c>
      <c r="D53" s="139">
        <f>B53/C53</f>
        <v>0.12971289537712893</v>
      </c>
      <c r="E53" s="139">
        <f>POWER(2*COS((PI()+ACOS(1-D53))/3),1.5)</f>
        <v>0.57243095484554007</v>
      </c>
      <c r="F53" s="139">
        <f>IF($B$29=0,IF($B$30&lt;$B$35,C53/($B$30+2*$B$31*($B$27+$B$28)),C53/($B$35+2*$B$31*($B$27+$B$28))),C53/($B$30+2*$B$31*($B$27+$B$28)))</f>
        <v>20.55</v>
      </c>
      <c r="G53" s="139">
        <f>0.58*POWER(($B$27+$B$28)*$B$13/$B$15/$B$14,0.125)</f>
        <v>0.73356714258821765</v>
      </c>
      <c r="H53" s="139">
        <f>($B$27+$B$28)-$B$29*(1-F53/($B$27+$B$28))</f>
        <v>20.55</v>
      </c>
      <c r="I53" s="140">
        <f>IF($B$29=0, G53*SQRT(9.81*($B$27+$B$28)),IF($B$29&lt;($B$28+$B$27),(G53*(1-$B$29/($B$28+$B$27))+E53*$B$29/($B$28+$B$27))*SQRT(9.81*H53),E53*SQRT(9.81*F53)))</f>
        <v>8.1276225664451633</v>
      </c>
      <c r="J53" s="140">
        <f>0.155*SQRT(($B$27+$B$28)/$B$15)</f>
        <v>0.17041709214194936</v>
      </c>
      <c r="K53" s="140">
        <v>1</v>
      </c>
      <c r="L53" s="140">
        <f>8*POWER(B42/I53,2)*(POWER(B42/I53-0.5,4)+0.0625)</f>
        <v>1.0505224408963384E-2</v>
      </c>
      <c r="M53" s="141">
        <f>IF($B$29=0,(IF(B32&lt;1.2,(IF(B17&gt;=0.8,(L53*K53*J53*B15),(0))),(L53*K53*J53*B15))),(IF(B28=B29,(IF(B28/B15&lt;1.2,(IF(B17&gt;0.8,(IF(B19&gt;=7,(L53*K53*J53*B15),(0))),(L53*K53*J53*B15))),(L53*K53*J53*B15))),(0))))</f>
        <v>3.0434586533260866E-2</v>
      </c>
    </row>
    <row r="54" spans="1:16" x14ac:dyDescent="0.2">
      <c r="A54" s="15"/>
      <c r="B54" s="39"/>
    </row>
    <row r="55" spans="1:16" ht="12" thickBot="1" x14ac:dyDescent="0.25">
      <c r="A55" s="45"/>
      <c r="B55" s="45"/>
    </row>
    <row r="56" spans="1:16" ht="12.6" thickBot="1" x14ac:dyDescent="0.3">
      <c r="A56" s="263" t="s">
        <v>127</v>
      </c>
      <c r="B56" s="264"/>
      <c r="C56" s="264"/>
      <c r="D56" s="264"/>
      <c r="E56" s="264"/>
      <c r="F56" s="264"/>
      <c r="G56" s="264"/>
      <c r="H56" s="264"/>
      <c r="I56" s="264"/>
      <c r="J56" s="264"/>
      <c r="K56" s="265"/>
    </row>
    <row r="57" spans="1:16" ht="12" thickBot="1" x14ac:dyDescent="0.25">
      <c r="A57" s="274" t="s">
        <v>128</v>
      </c>
      <c r="B57" s="275"/>
      <c r="C57" s="275"/>
      <c r="D57" s="275"/>
      <c r="E57" s="275"/>
      <c r="F57" s="275"/>
      <c r="G57" s="275"/>
      <c r="H57" s="275"/>
      <c r="I57" s="275"/>
      <c r="J57" s="275"/>
      <c r="K57" s="276"/>
    </row>
    <row r="58" spans="1:16" ht="12" x14ac:dyDescent="0.25">
      <c r="A58" s="11" t="s">
        <v>129</v>
      </c>
      <c r="B58" s="12" t="s">
        <v>23</v>
      </c>
      <c r="C58" s="12" t="s">
        <v>24</v>
      </c>
      <c r="D58" s="12" t="s">
        <v>25</v>
      </c>
      <c r="E58" s="12" t="s">
        <v>26</v>
      </c>
      <c r="F58" s="12" t="s">
        <v>1</v>
      </c>
      <c r="G58" s="12" t="s">
        <v>2</v>
      </c>
      <c r="H58" s="12" t="s">
        <v>3</v>
      </c>
      <c r="I58" s="19" t="s">
        <v>27</v>
      </c>
      <c r="J58" s="19" t="s">
        <v>37</v>
      </c>
      <c r="K58" s="29" t="s">
        <v>28</v>
      </c>
    </row>
    <row r="59" spans="1:16" ht="12" x14ac:dyDescent="0.25">
      <c r="A59" s="47" t="s">
        <v>22</v>
      </c>
      <c r="B59" s="64">
        <f>IF(B20=1, 0.15,0.13)</f>
        <v>0.15</v>
      </c>
      <c r="C59" s="66">
        <f>1.7*$B$17*($B$14*$B$15/($B$13^2))+0.004*($B$17^2)</f>
        <v>1.9414465123473161E-2</v>
      </c>
      <c r="D59" s="66">
        <f>POWER(C42,1.8+0.4*C42)</f>
        <v>8.2260282895241406E-3</v>
      </c>
      <c r="E59" s="64">
        <f>1+0.35/B32^2</f>
        <v>1.2349252431412396</v>
      </c>
      <c r="F59" s="64">
        <f>0.98*$B$14*$B$15</f>
        <v>799.68</v>
      </c>
      <c r="G59" s="64">
        <f>IF($B$29=0,IF($B$30&lt;$B$35,$B$30*($B$27+$B$28)+$B$31*POWER($B$27+$B$28,2),$B$35*($B$27+$B$28)+$B$31*POWER($B$27+$B$28,2)),$B$30*($B$27+$B$28)+$B$31*POWER($B$27+$B$28,2))</f>
        <v>6165</v>
      </c>
      <c r="H59" s="65">
        <f>F59/G59</f>
        <v>0.12971289537712893</v>
      </c>
      <c r="I59" s="67">
        <f>$B$17*H59*$B$15*$B$29/($B$27+$B$28)^2</f>
        <v>8.8437714140059021E-2</v>
      </c>
      <c r="J59" s="66">
        <f>IF($B$29=0,1,1+10*I59-1.5*(1+I59)*SQRT(I59))</f>
        <v>1.3988499075872562</v>
      </c>
      <c r="K59" s="68">
        <f>$B$13*(1+B59)*C59*D59*E59*J59</f>
        <v>8.2489487188800767E-2</v>
      </c>
    </row>
    <row r="60" spans="1:16" ht="12" thickBot="1" x14ac:dyDescent="0.25">
      <c r="A60" s="48" t="s">
        <v>6</v>
      </c>
      <c r="B60" s="14"/>
      <c r="C60" s="17" t="s">
        <v>9</v>
      </c>
      <c r="D60" s="10" t="s">
        <v>29</v>
      </c>
      <c r="E60" s="10" t="s">
        <v>9</v>
      </c>
      <c r="F60" s="10"/>
      <c r="G60" s="10"/>
      <c r="H60" s="10" t="s">
        <v>9</v>
      </c>
      <c r="I60" s="21"/>
      <c r="J60" s="21"/>
      <c r="K60" s="22"/>
    </row>
    <row r="61" spans="1:16" ht="12" thickBot="1" x14ac:dyDescent="0.25">
      <c r="A61" s="274" t="s">
        <v>130</v>
      </c>
      <c r="B61" s="275"/>
      <c r="C61" s="275"/>
      <c r="D61" s="275"/>
      <c r="E61" s="275"/>
      <c r="F61" s="275"/>
      <c r="G61" s="275"/>
      <c r="H61" s="275"/>
      <c r="I61" s="275"/>
      <c r="J61" s="275"/>
      <c r="K61" s="276"/>
    </row>
    <row r="62" spans="1:16" ht="12" x14ac:dyDescent="0.25">
      <c r="A62" s="24" t="s">
        <v>38</v>
      </c>
      <c r="B62" s="12" t="s">
        <v>23</v>
      </c>
      <c r="C62" s="12" t="s">
        <v>32</v>
      </c>
      <c r="D62" s="12" t="s">
        <v>33</v>
      </c>
      <c r="E62" s="12" t="s">
        <v>34</v>
      </c>
      <c r="F62" s="12" t="s">
        <v>35</v>
      </c>
      <c r="G62" s="12" t="s">
        <v>36</v>
      </c>
      <c r="H62" s="12" t="s">
        <v>24</v>
      </c>
      <c r="I62" s="12" t="s">
        <v>25</v>
      </c>
      <c r="J62" s="12" t="s">
        <v>31</v>
      </c>
      <c r="K62" s="12" t="s">
        <v>1</v>
      </c>
      <c r="L62" s="12" t="s">
        <v>2</v>
      </c>
      <c r="M62" s="12" t="s">
        <v>3</v>
      </c>
      <c r="N62" s="19" t="s">
        <v>27</v>
      </c>
      <c r="O62" s="19" t="s">
        <v>30</v>
      </c>
      <c r="P62" s="29" t="s">
        <v>38</v>
      </c>
    </row>
    <row r="63" spans="1:16" ht="12" x14ac:dyDescent="0.25">
      <c r="A63" s="46" t="s">
        <v>22</v>
      </c>
      <c r="B63" s="64">
        <f>IF(B20=1, 0.15,0.13)</f>
        <v>0.15</v>
      </c>
      <c r="C63" s="64">
        <f>IF(B20=1, 0.15,0.2)</f>
        <v>0.15</v>
      </c>
      <c r="D63" s="69">
        <f>IF(B21="O",0.1,0)</f>
        <v>0.1</v>
      </c>
      <c r="E63" s="69">
        <f>IF(B22="O",0.04,0)</f>
        <v>0.04</v>
      </c>
      <c r="F63" s="69">
        <f>(B24-B23)/(B23+B24)</f>
        <v>0</v>
      </c>
      <c r="G63" s="66">
        <f>POWER($B$17,2+(0.8*J59/$B$17))-(0.15*B63+C63)-(D63+E63+F63)</f>
        <v>0.19182593837806194</v>
      </c>
      <c r="H63" s="66">
        <f>1.7*$B$17*($B$14*$B$15/($B$13^2))+0.004*($B$17^2)</f>
        <v>1.9414465123473161E-2</v>
      </c>
      <c r="I63" s="66">
        <f>POWER(C42,1.8+0.4*C42)</f>
        <v>8.2260282895241406E-3</v>
      </c>
      <c r="J63" s="64">
        <f>1-EXP(2.5*(1-B32)/C42)</f>
        <v>0.99950461181071748</v>
      </c>
      <c r="K63" s="64">
        <f>0.98*$B$14*$B$15</f>
        <v>799.68</v>
      </c>
      <c r="L63" s="64">
        <f>IF($B$29=0,IF($B$30&lt;$B$35,$B$30*($B$27+$B$28)+$B$31*POWER($B$27+$B$28,2),$B$35*($B$27+$B$28)+$B$31*POWER($B$27+$B$28,2)),$B$30*($B$27+$B$28)+$B$31*POWER($B$27+$B$28,2))</f>
        <v>6165</v>
      </c>
      <c r="M63" s="65">
        <f>K63/L63</f>
        <v>0.12971289537712893</v>
      </c>
      <c r="N63" s="67">
        <f>$B$17*M63*$B$15*$B$29/($B$27+$B$28)^2</f>
        <v>8.8437714140059021E-2</v>
      </c>
      <c r="O63" s="66">
        <f>IF($B$29=0,1,1-5*N63)</f>
        <v>0.55781142929970495</v>
      </c>
      <c r="P63" s="68">
        <f>-$B$13*1.7*H63*I63*J63*G63*O63</f>
        <v>-7.549486978063698E-3</v>
      </c>
    </row>
    <row r="64" spans="1:16" ht="12" thickBot="1" x14ac:dyDescent="0.25">
      <c r="A64" s="50" t="s">
        <v>6</v>
      </c>
      <c r="B64" s="28"/>
      <c r="C64" s="17" t="s">
        <v>9</v>
      </c>
      <c r="D64" s="23" t="s">
        <v>29</v>
      </c>
      <c r="E64" s="23" t="s">
        <v>9</v>
      </c>
      <c r="F64" s="23"/>
      <c r="G64" s="23"/>
      <c r="H64" s="10" t="s">
        <v>9</v>
      </c>
      <c r="I64" s="21"/>
      <c r="J64" s="21"/>
      <c r="K64" s="26"/>
      <c r="L64" s="27"/>
      <c r="M64" s="25"/>
      <c r="N64" s="25"/>
      <c r="O64" s="25"/>
      <c r="P64" s="18"/>
    </row>
    <row r="65" spans="1:15" ht="12" x14ac:dyDescent="0.25">
      <c r="A65" s="49" t="s">
        <v>121</v>
      </c>
      <c r="B65" s="70">
        <f>IF(AND($B$29&lt;($B$28+$B$27),B29&gt;0),(K59-0.5*P63),(IF(B28=B29,(IF(B28/B15&lt;1.2,(IF(B17&gt;0.8,(IF(B19&lt;7,(K59-0.5*P63),(0))),(K59-0.5*P63))),(K59-0.5*P63))),(0))))</f>
        <v>8.6264230677832621E-2</v>
      </c>
    </row>
    <row r="66" spans="1:15" ht="12.6" thickBot="1" x14ac:dyDescent="0.3">
      <c r="A66" s="142" t="s">
        <v>126</v>
      </c>
      <c r="B66" s="143">
        <f>IF(AND($B$29&lt;($B$28+$B$27),B29&gt;0),(K59+0.5*P63),(IF(B28=B29,(IF(B28/B15&lt;1.2,(IF(B17&gt;0.8,(IF(B19&lt;7,(K59+0.5*P63),(0))),(K59+0.5*P63))),(K59+0.5*P63))),(0))))</f>
        <v>7.8714743699768913E-2</v>
      </c>
    </row>
    <row r="67" spans="1:15" x14ac:dyDescent="0.2">
      <c r="A67" s="31"/>
      <c r="B67" s="31"/>
    </row>
    <row r="68" spans="1:15" x14ac:dyDescent="0.2">
      <c r="A68" s="31"/>
      <c r="B68" s="31"/>
    </row>
    <row r="69" spans="1:15" ht="12" x14ac:dyDescent="0.25">
      <c r="A69" s="16"/>
      <c r="B69" s="16"/>
    </row>
    <row r="70" spans="1:15" x14ac:dyDescent="0.2">
      <c r="A70" s="1"/>
      <c r="B70" s="1"/>
    </row>
    <row r="71" spans="1:15" x14ac:dyDescent="0.2">
      <c r="A71" s="32"/>
      <c r="B71" s="32"/>
      <c r="C71" s="31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</row>
    <row r="72" spans="1:15" x14ac:dyDescent="0.2">
      <c r="A72" s="30"/>
      <c r="B72" s="37"/>
      <c r="C72" s="31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</row>
    <row r="73" spans="1:15" ht="12" x14ac:dyDescent="0.25">
      <c r="A73" s="30"/>
      <c r="B73" s="30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31"/>
      <c r="O73" s="31"/>
    </row>
    <row r="74" spans="1:15" ht="12" x14ac:dyDescent="0.25">
      <c r="A74" s="32"/>
      <c r="B74" s="33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31"/>
      <c r="O74" s="31"/>
    </row>
    <row r="75" spans="1:15" x14ac:dyDescent="0.2">
      <c r="A75" s="30"/>
      <c r="B75" s="37"/>
      <c r="C75" s="32"/>
      <c r="D75" s="32"/>
      <c r="E75" s="32"/>
      <c r="F75" s="32"/>
      <c r="G75" s="32"/>
      <c r="H75" s="32"/>
      <c r="I75" s="32"/>
      <c r="J75" s="32"/>
      <c r="K75" s="32"/>
      <c r="L75" s="32"/>
      <c r="M75" s="31"/>
      <c r="N75" s="31"/>
      <c r="O75" s="31"/>
    </row>
    <row r="76" spans="1:15" x14ac:dyDescent="0.2">
      <c r="A76" s="15"/>
      <c r="B76" s="8"/>
      <c r="C76" s="36"/>
      <c r="D76" s="36"/>
      <c r="E76" s="36"/>
      <c r="F76" s="38"/>
      <c r="G76" s="37"/>
      <c r="H76" s="37"/>
      <c r="I76" s="38"/>
      <c r="J76" s="37"/>
      <c r="K76" s="38"/>
      <c r="L76" s="36"/>
      <c r="M76" s="31"/>
      <c r="N76" s="31"/>
      <c r="O76" s="31"/>
    </row>
    <row r="77" spans="1:15" x14ac:dyDescent="0.2">
      <c r="A77" s="1"/>
      <c r="B77" s="1"/>
      <c r="C77" s="30"/>
      <c r="D77" s="30"/>
      <c r="E77" s="30"/>
      <c r="F77" s="30"/>
      <c r="G77" s="30"/>
      <c r="H77" s="30"/>
      <c r="I77" s="30"/>
      <c r="J77" s="30"/>
      <c r="K77" s="30"/>
      <c r="L77" s="31"/>
      <c r="M77" s="31"/>
      <c r="N77" s="31"/>
      <c r="O77" s="31"/>
    </row>
    <row r="78" spans="1:15" ht="12" x14ac:dyDescent="0.25">
      <c r="A78" s="32"/>
      <c r="B78" s="33"/>
      <c r="C78" s="33"/>
      <c r="D78" s="32"/>
      <c r="E78" s="32"/>
      <c r="F78" s="33"/>
      <c r="G78" s="32"/>
      <c r="H78" s="32"/>
      <c r="I78" s="32"/>
      <c r="J78" s="33"/>
      <c r="K78" s="32"/>
      <c r="L78" s="33"/>
      <c r="M78" s="33"/>
      <c r="N78" s="31"/>
      <c r="O78" s="31"/>
    </row>
    <row r="79" spans="1:15" x14ac:dyDescent="0.2">
      <c r="A79" s="30"/>
      <c r="B79" s="37"/>
      <c r="C79" s="37"/>
      <c r="D79" s="36"/>
      <c r="E79" s="37"/>
      <c r="F79" s="36"/>
      <c r="G79" s="36"/>
      <c r="H79" s="38"/>
      <c r="I79" s="34"/>
      <c r="J79" s="36"/>
      <c r="K79" s="35"/>
      <c r="L79" s="36"/>
      <c r="M79" s="35"/>
      <c r="N79" s="31"/>
      <c r="O79" s="31"/>
    </row>
    <row r="80" spans="1:15" x14ac:dyDescent="0.2">
      <c r="A80" s="15"/>
      <c r="B80" s="8"/>
      <c r="C80" s="8"/>
      <c r="D80" s="39"/>
      <c r="E80" s="39"/>
      <c r="F80" s="39"/>
      <c r="G80" s="39"/>
      <c r="H80" s="39"/>
      <c r="I80" s="31"/>
      <c r="J80" s="31"/>
      <c r="K80" s="32"/>
      <c r="L80" s="31"/>
      <c r="M80" s="32"/>
      <c r="N80" s="31"/>
      <c r="O80" s="31"/>
    </row>
    <row r="81" spans="1:15" ht="12" x14ac:dyDescent="0.25">
      <c r="A81" s="40"/>
      <c r="B81" s="3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31"/>
      <c r="O81" s="31"/>
    </row>
    <row r="82" spans="1:15" ht="12" x14ac:dyDescent="0.25">
      <c r="A82" s="31"/>
      <c r="B82" s="31"/>
      <c r="C82" s="33"/>
      <c r="D82" s="33"/>
      <c r="E82" s="32"/>
      <c r="F82" s="32"/>
      <c r="G82" s="32"/>
      <c r="H82" s="33"/>
      <c r="I82" s="32"/>
      <c r="J82" s="33"/>
      <c r="K82" s="33"/>
      <c r="L82" s="31"/>
      <c r="M82" s="31"/>
      <c r="N82" s="31"/>
      <c r="O82" s="31"/>
    </row>
    <row r="83" spans="1:15" x14ac:dyDescent="0.2">
      <c r="C83" s="37"/>
      <c r="D83" s="36"/>
      <c r="E83" s="36"/>
      <c r="F83" s="38"/>
      <c r="G83" s="36"/>
      <c r="H83" s="36"/>
      <c r="I83" s="35"/>
      <c r="J83" s="36"/>
      <c r="K83" s="35"/>
      <c r="L83" s="31"/>
      <c r="M83" s="31"/>
      <c r="N83" s="31"/>
      <c r="O83" s="31"/>
    </row>
    <row r="84" spans="1:15" x14ac:dyDescent="0.2">
      <c r="C84" s="8"/>
      <c r="D84" s="39"/>
      <c r="E84" s="39"/>
      <c r="F84" s="39"/>
      <c r="G84" s="39"/>
      <c r="H84" s="39"/>
      <c r="I84" s="31"/>
      <c r="J84" s="31"/>
      <c r="K84" s="32"/>
      <c r="L84" s="31"/>
      <c r="M84" s="32"/>
      <c r="N84" s="31"/>
      <c r="O84" s="31"/>
    </row>
    <row r="85" spans="1:15" x14ac:dyDescent="0.2">
      <c r="C85" s="31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</row>
    <row r="86" spans="1:15" x14ac:dyDescent="0.2">
      <c r="C86" s="31"/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</row>
  </sheetData>
  <sheetProtection sheet="1" objects="1" scenarios="1"/>
  <mergeCells count="14">
    <mergeCell ref="A39:D39"/>
    <mergeCell ref="A45:M45"/>
    <mergeCell ref="A46:M46"/>
    <mergeCell ref="A47:M47"/>
    <mergeCell ref="F2:J2"/>
    <mergeCell ref="A10:B10"/>
    <mergeCell ref="A12:B12"/>
    <mergeCell ref="A33:B33"/>
    <mergeCell ref="A34:B34"/>
    <mergeCell ref="A51:M51"/>
    <mergeCell ref="A56:K56"/>
    <mergeCell ref="A57:K57"/>
    <mergeCell ref="A61:K61"/>
    <mergeCell ref="A40:D40"/>
  </mergeCells>
  <phoneticPr fontId="10" type="noConversion"/>
  <pageMargins left="0.78740157499999996" right="0.78740157499999996" top="0.984251969" bottom="0.984251969" header="0.4921259845" footer="0.4921259845"/>
  <pageSetup paperSize="9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6"/>
  <sheetViews>
    <sheetView topLeftCell="A10" workbookViewId="0">
      <selection activeCell="I52" sqref="I52"/>
    </sheetView>
  </sheetViews>
  <sheetFormatPr baseColWidth="10" defaultRowHeight="11.4" x14ac:dyDescent="0.2"/>
  <cols>
    <col min="1" max="1" width="23.25" customWidth="1"/>
    <col min="9" max="9" width="13.875" customWidth="1"/>
  </cols>
  <sheetData>
    <row r="1" spans="1:10" ht="12" thickBot="1" x14ac:dyDescent="0.25"/>
    <row r="2" spans="1:10" ht="21" thickBot="1" x14ac:dyDescent="0.4">
      <c r="F2" s="279" t="s">
        <v>43</v>
      </c>
      <c r="G2" s="280"/>
      <c r="H2" s="280"/>
      <c r="I2" s="280"/>
      <c r="J2" s="281"/>
    </row>
    <row r="10" spans="1:10" x14ac:dyDescent="0.2">
      <c r="A10" s="282"/>
      <c r="B10" s="282"/>
    </row>
    <row r="11" spans="1:10" ht="12" thickBot="1" x14ac:dyDescent="0.25"/>
    <row r="12" spans="1:10" ht="12" thickBot="1" x14ac:dyDescent="0.25">
      <c r="A12" s="283" t="s">
        <v>99</v>
      </c>
      <c r="B12" s="284"/>
    </row>
    <row r="13" spans="1:10" x14ac:dyDescent="0.2">
      <c r="A13" s="4" t="s">
        <v>0</v>
      </c>
      <c r="B13" s="106">
        <f>'Initial data'!C8</f>
        <v>260</v>
      </c>
    </row>
    <row r="14" spans="1:10" x14ac:dyDescent="0.2">
      <c r="A14" s="109" t="s">
        <v>86</v>
      </c>
      <c r="B14" s="107">
        <f>'Initial data'!D8</f>
        <v>48</v>
      </c>
    </row>
    <row r="15" spans="1:10" x14ac:dyDescent="0.2">
      <c r="A15" s="109" t="s">
        <v>91</v>
      </c>
      <c r="B15" s="59">
        <f>(B23+B24)/2</f>
        <v>17</v>
      </c>
    </row>
    <row r="16" spans="1:10" x14ac:dyDescent="0.2">
      <c r="A16" s="109" t="s">
        <v>105</v>
      </c>
      <c r="B16" s="125">
        <f>B17*B13*B14*B15</f>
        <v>173170.73170731709</v>
      </c>
    </row>
    <row r="17" spans="1:2" x14ac:dyDescent="0.2">
      <c r="A17" s="5" t="s">
        <v>5</v>
      </c>
      <c r="B17" s="108">
        <f>'Initial data'!J8</f>
        <v>0.81622705367325177</v>
      </c>
    </row>
    <row r="18" spans="1:2" x14ac:dyDescent="0.2">
      <c r="A18" s="9" t="s">
        <v>7</v>
      </c>
      <c r="B18" s="108">
        <f>'Initial data'!K8</f>
        <v>0.9</v>
      </c>
    </row>
    <row r="19" spans="1:2" ht="12" thickBot="1" x14ac:dyDescent="0.25">
      <c r="A19" s="110" t="s">
        <v>87</v>
      </c>
      <c r="B19" s="74">
        <v>4</v>
      </c>
    </row>
    <row r="20" spans="1:2" x14ac:dyDescent="0.2">
      <c r="A20" s="113" t="s">
        <v>89</v>
      </c>
      <c r="B20" s="116">
        <f>'Initial data'!L8</f>
        <v>1</v>
      </c>
    </row>
    <row r="21" spans="1:2" x14ac:dyDescent="0.2">
      <c r="A21" s="114" t="s">
        <v>92</v>
      </c>
      <c r="B21" s="108" t="str">
        <f>'Initial data'!M8</f>
        <v>O</v>
      </c>
    </row>
    <row r="22" spans="1:2" ht="11.55" customHeight="1" x14ac:dyDescent="0.2">
      <c r="A22" s="114" t="s">
        <v>94</v>
      </c>
      <c r="B22" s="108" t="str">
        <f>'Initial data'!N8</f>
        <v>O</v>
      </c>
    </row>
    <row r="23" spans="1:2" x14ac:dyDescent="0.2">
      <c r="A23" s="115" t="s">
        <v>97</v>
      </c>
      <c r="B23" s="108">
        <f>'Initial data'!E8</f>
        <v>17</v>
      </c>
    </row>
    <row r="24" spans="1:2" ht="12" thickBot="1" x14ac:dyDescent="0.25">
      <c r="A24" s="117" t="s">
        <v>98</v>
      </c>
      <c r="B24" s="118">
        <f>'Initial data'!F8</f>
        <v>17</v>
      </c>
    </row>
    <row r="25" spans="1:2" ht="12" thickBot="1" x14ac:dyDescent="0.25"/>
    <row r="26" spans="1:2" ht="12" thickBot="1" x14ac:dyDescent="0.25">
      <c r="A26" s="111" t="s">
        <v>102</v>
      </c>
      <c r="B26" s="57"/>
    </row>
    <row r="27" spans="1:2" x14ac:dyDescent="0.2">
      <c r="A27" s="6" t="s">
        <v>106</v>
      </c>
      <c r="B27" s="116">
        <f>'Initial data'!C23</f>
        <v>-0.2</v>
      </c>
    </row>
    <row r="28" spans="1:2" x14ac:dyDescent="0.2">
      <c r="A28" s="7" t="s">
        <v>107</v>
      </c>
      <c r="B28" s="108">
        <f>'Initial data'!D23</f>
        <v>20.75</v>
      </c>
    </row>
    <row r="29" spans="1:2" x14ac:dyDescent="0.2">
      <c r="A29" s="133" t="s">
        <v>110</v>
      </c>
      <c r="B29" s="108">
        <f>'Initial data'!E23</f>
        <v>20.75</v>
      </c>
    </row>
    <row r="30" spans="1:2" x14ac:dyDescent="0.2">
      <c r="A30" s="133" t="s">
        <v>111</v>
      </c>
      <c r="B30" s="108">
        <f>'Initial data'!F23</f>
        <v>300</v>
      </c>
    </row>
    <row r="31" spans="1:2" ht="12" thickBot="1" x14ac:dyDescent="0.25">
      <c r="A31" s="135" t="s">
        <v>116</v>
      </c>
      <c r="B31" s="118">
        <f>'Initial data'!G23</f>
        <v>0</v>
      </c>
    </row>
    <row r="32" spans="1:2" ht="12" thickBot="1" x14ac:dyDescent="0.25">
      <c r="A32" s="44" t="s">
        <v>44</v>
      </c>
      <c r="B32" s="60">
        <f>B28/B15</f>
        <v>1.2205882352941178</v>
      </c>
    </row>
    <row r="33" spans="1:13" x14ac:dyDescent="0.2">
      <c r="A33" s="285" t="s">
        <v>117</v>
      </c>
      <c r="B33" s="286"/>
    </row>
    <row r="34" spans="1:13" x14ac:dyDescent="0.2">
      <c r="A34" s="287" t="s">
        <v>40</v>
      </c>
      <c r="B34" s="288"/>
    </row>
    <row r="35" spans="1:13" ht="12" thickBot="1" x14ac:dyDescent="0.25">
      <c r="A35" s="51" t="s">
        <v>8</v>
      </c>
      <c r="B35" s="61">
        <f>(7.04/B17^0.85)*B14</f>
        <v>401.58229656579465</v>
      </c>
    </row>
    <row r="38" spans="1:13" ht="12" thickBot="1" x14ac:dyDescent="0.25">
      <c r="A38" s="42"/>
      <c r="B38" s="42"/>
    </row>
    <row r="39" spans="1:13" ht="12.6" thickBot="1" x14ac:dyDescent="0.3">
      <c r="A39" s="263" t="s">
        <v>119</v>
      </c>
      <c r="B39" s="264"/>
      <c r="C39" s="264"/>
      <c r="D39" s="265"/>
    </row>
    <row r="40" spans="1:13" ht="12" thickBot="1" x14ac:dyDescent="0.25">
      <c r="A40" s="274" t="s">
        <v>122</v>
      </c>
      <c r="B40" s="277"/>
      <c r="C40" s="277"/>
      <c r="D40" s="278"/>
    </row>
    <row r="41" spans="1:13" x14ac:dyDescent="0.2">
      <c r="A41" s="11" t="s">
        <v>121</v>
      </c>
      <c r="B41" s="12" t="s">
        <v>42</v>
      </c>
      <c r="C41" s="12" t="s">
        <v>120</v>
      </c>
      <c r="D41" s="13" t="s">
        <v>4</v>
      </c>
    </row>
    <row r="42" spans="1:13" ht="12.6" thickBot="1" x14ac:dyDescent="0.3">
      <c r="A42" s="58" t="s">
        <v>41</v>
      </c>
      <c r="B42" s="62">
        <f>IF(B19*1852/3600&lt;I49,B19*1852/3600,I49)</f>
        <v>2.0577777777777779</v>
      </c>
      <c r="C42" s="62">
        <f>B42/SQRT(9.81*($B$27+$B$28))</f>
        <v>0.14492992121169193</v>
      </c>
      <c r="D42" s="63">
        <f xml:space="preserve">  IF($B$29=0,       (IF(B32&lt;1.2, (IF(B17&lt;0.8,          (((2*B17*B14*B15)/B13)*POWER(C42,2)/SQRT(1-POWER(C42,2))),         (0)     )),     (((2*B17*B14*B15)/B13)*POWER(C42,2)/SQRT(1-POWER(C42,2))))),(0))</f>
        <v>0</v>
      </c>
      <c r="E42" s="42"/>
      <c r="F42" s="42"/>
      <c r="G42" s="42"/>
      <c r="H42" s="42"/>
      <c r="I42" s="42"/>
      <c r="J42" s="42"/>
      <c r="K42" s="42"/>
      <c r="L42" s="42"/>
    </row>
    <row r="43" spans="1:13" x14ac:dyDescent="0.2">
      <c r="A43" s="42"/>
      <c r="B43" s="42"/>
      <c r="E43" s="42"/>
      <c r="F43" s="42"/>
      <c r="G43" s="42"/>
      <c r="H43" s="42"/>
      <c r="I43" s="42"/>
      <c r="J43" s="42"/>
      <c r="K43" s="42"/>
      <c r="L43" s="42"/>
    </row>
    <row r="44" spans="1:13" ht="12" thickBot="1" x14ac:dyDescent="0.25">
      <c r="A44" s="45"/>
      <c r="B44" s="45"/>
      <c r="E44" s="42"/>
      <c r="F44" s="42"/>
      <c r="G44" s="42"/>
      <c r="H44" s="42"/>
      <c r="I44" s="42"/>
      <c r="J44" s="42"/>
      <c r="K44" s="42"/>
      <c r="L44" s="42"/>
    </row>
    <row r="45" spans="1:13" ht="12.6" thickBot="1" x14ac:dyDescent="0.3">
      <c r="A45" s="263" t="s">
        <v>123</v>
      </c>
      <c r="B45" s="264"/>
      <c r="C45" s="264"/>
      <c r="D45" s="264"/>
      <c r="E45" s="264"/>
      <c r="F45" s="264"/>
      <c r="G45" s="264"/>
      <c r="H45" s="264"/>
      <c r="I45" s="264"/>
      <c r="J45" s="264"/>
      <c r="K45" s="264"/>
      <c r="L45" s="264"/>
      <c r="M45" s="265"/>
    </row>
    <row r="46" spans="1:13" ht="12" thickBot="1" x14ac:dyDescent="0.25">
      <c r="A46" s="274" t="s">
        <v>124</v>
      </c>
      <c r="B46" s="275"/>
      <c r="C46" s="275"/>
      <c r="D46" s="275"/>
      <c r="E46" s="275"/>
      <c r="F46" s="275"/>
      <c r="G46" s="275"/>
      <c r="H46" s="275"/>
      <c r="I46" s="275"/>
      <c r="J46" s="275"/>
      <c r="K46" s="275"/>
      <c r="L46" s="275"/>
      <c r="M46" s="276"/>
    </row>
    <row r="47" spans="1:13" ht="12.6" thickBot="1" x14ac:dyDescent="0.3">
      <c r="A47" s="271" t="s">
        <v>10</v>
      </c>
      <c r="B47" s="272"/>
      <c r="C47" s="272"/>
      <c r="D47" s="272"/>
      <c r="E47" s="272"/>
      <c r="F47" s="272"/>
      <c r="G47" s="272"/>
      <c r="H47" s="272"/>
      <c r="I47" s="272"/>
      <c r="J47" s="272"/>
      <c r="K47" s="272"/>
      <c r="L47" s="272"/>
      <c r="M47" s="273"/>
    </row>
    <row r="48" spans="1:13" x14ac:dyDescent="0.2">
      <c r="A48" s="11" t="s">
        <v>121</v>
      </c>
      <c r="B48" s="12" t="s">
        <v>1</v>
      </c>
      <c r="C48" s="12" t="s">
        <v>2</v>
      </c>
      <c r="D48" s="12" t="s">
        <v>3</v>
      </c>
      <c r="E48" s="12" t="s">
        <v>12</v>
      </c>
      <c r="F48" s="12" t="s">
        <v>13</v>
      </c>
      <c r="G48" s="12" t="s">
        <v>14</v>
      </c>
      <c r="H48" s="12" t="s">
        <v>15</v>
      </c>
      <c r="I48" s="19" t="s">
        <v>125</v>
      </c>
      <c r="J48" s="19" t="s">
        <v>17</v>
      </c>
      <c r="K48" s="19" t="s">
        <v>18</v>
      </c>
      <c r="L48" s="19" t="s">
        <v>19</v>
      </c>
      <c r="M48" s="20" t="s">
        <v>4</v>
      </c>
    </row>
    <row r="49" spans="1:16" ht="12.6" thickBot="1" x14ac:dyDescent="0.3">
      <c r="A49" s="137" t="s">
        <v>39</v>
      </c>
      <c r="B49" s="138">
        <f>0.98*$B$14*$B$15</f>
        <v>799.68</v>
      </c>
      <c r="C49" s="138">
        <f>IF($B$29=0,IF($B$30&lt;$B$35,$B$30*($B$27+$B$28)+$B$31*POWER($B$27+$B$28,2),$B$35*($B$27+$B$28)+$B$31*POWER($B$27+$B$28,2)),$B$30*($B$27+$B$28)+$B$31*POWER($B$27+$B$28,2))</f>
        <v>6165</v>
      </c>
      <c r="D49" s="139">
        <f>B49/C49</f>
        <v>0.12971289537712893</v>
      </c>
      <c r="E49" s="139">
        <f>POWER(2*COS((PI()+ACOS(1-D49))/3),1.5)</f>
        <v>0.57243095484554007</v>
      </c>
      <c r="F49" s="139">
        <f>IF($B$29=0,IF($B$30&lt;$B$35,C49/($B$30+2*$B$31*($B$27+$B$28)),C49/($B$35+2*$B$31*($B$27+$B$28))),C49/($B$30+2*$B$31*($B$27+$B$28)))</f>
        <v>20.55</v>
      </c>
      <c r="G49" s="139">
        <f>0.58*POWER(($B$27+$B$28)*$B$13/$B$15/$B$14,0.125)</f>
        <v>0.73356714258821765</v>
      </c>
      <c r="H49" s="139">
        <f>($B$27+$B$28)-$B$29*(1-F49/($B$27+$B$28))</f>
        <v>20.55</v>
      </c>
      <c r="I49" s="140">
        <f>IF($B$29=0, G49*SQRT(9.81*($B$27+$B$28)),IF($B$29&lt;($B$28+$B$27),(G49*(1-$B$29/($B$28+$B$27))+E49*$B$29/($B$28+$B$27))*SQRT(9.81*H49),E49*SQRT(9.81*F49)))</f>
        <v>8.1276225664451633</v>
      </c>
      <c r="J49" s="140">
        <f>0.155*SQRT(($B$27+$B$28)/$B$15)</f>
        <v>0.17041709214194936</v>
      </c>
      <c r="K49" s="140">
        <f>POWER(10*$B$14*$B$17/$B$13,2)</f>
        <v>2.270689487652755</v>
      </c>
      <c r="L49" s="140">
        <f>8*POWER(B42/I49,2)*(POWER(B42/I49-0.5,4)+0.0625)</f>
        <v>3.3953961718642518E-2</v>
      </c>
      <c r="M49" s="141">
        <f>IF($B$29=0,(IF(B32&lt;1.2,(IF(B17&gt;=0.8,(L49*K49*J49*B15),(0))),(L49*K49*J49*B15)   )   ),(IF(B28=B29,(IF(B28/B15&lt;1.2,(IF(B17&gt;0.8,(IF(B19&gt;=7,(L49*K49*J49*B15),(0))),(L49*K49*J49*B15))),(L49*K49*J49*B15))),(0))))</f>
        <v>0.22336250728155899</v>
      </c>
    </row>
    <row r="50" spans="1:16" ht="12.6" thickBot="1" x14ac:dyDescent="0.3">
      <c r="A50" s="15"/>
      <c r="B50" s="39"/>
      <c r="C50" s="39"/>
      <c r="D50" s="39"/>
      <c r="E50" s="39"/>
      <c r="F50" s="41"/>
      <c r="G50" s="3"/>
      <c r="H50" s="31"/>
      <c r="I50" s="31"/>
      <c r="J50" s="31"/>
      <c r="K50" s="31"/>
      <c r="L50" s="31"/>
      <c r="M50" s="31"/>
    </row>
    <row r="51" spans="1:16" ht="12.6" thickBot="1" x14ac:dyDescent="0.3">
      <c r="A51" s="271" t="s">
        <v>11</v>
      </c>
      <c r="B51" s="272"/>
      <c r="C51" s="272"/>
      <c r="D51" s="272"/>
      <c r="E51" s="272"/>
      <c r="F51" s="272"/>
      <c r="G51" s="272"/>
      <c r="H51" s="272"/>
      <c r="I51" s="272"/>
      <c r="J51" s="272"/>
      <c r="K51" s="272"/>
      <c r="L51" s="272"/>
      <c r="M51" s="273"/>
    </row>
    <row r="52" spans="1:16" x14ac:dyDescent="0.2">
      <c r="A52" s="11" t="s">
        <v>126</v>
      </c>
      <c r="B52" s="12" t="s">
        <v>1</v>
      </c>
      <c r="C52" s="12" t="s">
        <v>2</v>
      </c>
      <c r="D52" s="12" t="s">
        <v>3</v>
      </c>
      <c r="E52" s="12" t="s">
        <v>12</v>
      </c>
      <c r="F52" s="12" t="s">
        <v>13</v>
      </c>
      <c r="G52" s="12" t="s">
        <v>14</v>
      </c>
      <c r="H52" s="12" t="s">
        <v>15</v>
      </c>
      <c r="I52" s="19" t="s">
        <v>125</v>
      </c>
      <c r="J52" s="19" t="s">
        <v>17</v>
      </c>
      <c r="K52" s="19" t="s">
        <v>18</v>
      </c>
      <c r="L52" s="19" t="s">
        <v>19</v>
      </c>
      <c r="M52" s="20" t="s">
        <v>20</v>
      </c>
    </row>
    <row r="53" spans="1:16" ht="12.6" thickBot="1" x14ac:dyDescent="0.3">
      <c r="A53" s="137" t="s">
        <v>39</v>
      </c>
      <c r="B53" s="138">
        <f>0.98*$B$14*$B$15</f>
        <v>799.68</v>
      </c>
      <c r="C53" s="138">
        <f>IF($B$29=0,IF($B$30&lt;$B$35,$B$30*($B$27+$B$28)+$B$31*POWER($B$27+$B$28,2),$B$35*($B$27+$B$28)+$B$31*POWER($B$27+$B$28,2)),$B$30*($B$27+$B$28)+$B$31*POWER($B$27+$B$28,2))</f>
        <v>6165</v>
      </c>
      <c r="D53" s="139">
        <f>B53/C53</f>
        <v>0.12971289537712893</v>
      </c>
      <c r="E53" s="139">
        <f>POWER(2*COS((PI()+ACOS(1-D53))/3),1.5)</f>
        <v>0.57243095484554007</v>
      </c>
      <c r="F53" s="139">
        <f>IF($B$29=0,IF($B$30&lt;$B$35,C53/($B$30+2*$B$31*($B$27+$B$28)),C53/($B$35+2*$B$31*($B$27+$B$28))),C53/($B$30+2*$B$31*($B$27+$B$28)))</f>
        <v>20.55</v>
      </c>
      <c r="G53" s="139">
        <f>0.58*POWER(($B$27+$B$28)*$B$13/$B$15/$B$14,0.125)</f>
        <v>0.73356714258821765</v>
      </c>
      <c r="H53" s="139">
        <f>($B$27+$B$28)-$B$29*(1-F53/($B$27+$B$28))</f>
        <v>20.55</v>
      </c>
      <c r="I53" s="140">
        <f>IF($B$29=0, G53*SQRT(9.81*($B$27+$B$28)),IF($B$29&lt;($B$28+$B$27),(G53*(1-$B$29/($B$28+$B$27))+E53*$B$29/($B$28+$B$27))*SQRT(9.81*H53),E53*SQRT(9.81*F53)))</f>
        <v>8.1276225664451633</v>
      </c>
      <c r="J53" s="140">
        <f>0.155*SQRT(($B$27+$B$28)/$B$15)</f>
        <v>0.17041709214194936</v>
      </c>
      <c r="K53" s="140">
        <v>1</v>
      </c>
      <c r="L53" s="140">
        <f>8*POWER(B42/I53,2)*(POWER(B42/I53-0.5,4)+0.0625)</f>
        <v>3.3953961718642518E-2</v>
      </c>
      <c r="M53" s="141">
        <f>IF($B$29=0,(IF(B32&lt;1.2,(IF(B17&gt;=0.8,(L53*K53*J53*B15),(0))),(L53*K53*J53*B15))),(IF(B28=B29,(IF(B28/B15&lt;1.2,(IF(B17&gt;0.8,(IF(B19&gt;=7,(L53*K53*J53*B15),(0))),(L53*K53*J53*B15))),(L53*K53*J53*B15))),(0))))</f>
        <v>9.8367702187432099E-2</v>
      </c>
    </row>
    <row r="54" spans="1:16" x14ac:dyDescent="0.2">
      <c r="A54" s="15"/>
      <c r="B54" s="39"/>
    </row>
    <row r="55" spans="1:16" ht="12" thickBot="1" x14ac:dyDescent="0.25">
      <c r="A55" s="45"/>
      <c r="B55" s="45"/>
    </row>
    <row r="56" spans="1:16" ht="12.6" thickBot="1" x14ac:dyDescent="0.3">
      <c r="A56" s="263" t="s">
        <v>127</v>
      </c>
      <c r="B56" s="264"/>
      <c r="C56" s="264"/>
      <c r="D56" s="264"/>
      <c r="E56" s="264"/>
      <c r="F56" s="264"/>
      <c r="G56" s="264"/>
      <c r="H56" s="264"/>
      <c r="I56" s="264"/>
      <c r="J56" s="264"/>
      <c r="K56" s="265"/>
    </row>
    <row r="57" spans="1:16" ht="12" thickBot="1" x14ac:dyDescent="0.25">
      <c r="A57" s="274" t="s">
        <v>128</v>
      </c>
      <c r="B57" s="275"/>
      <c r="C57" s="275"/>
      <c r="D57" s="275"/>
      <c r="E57" s="275"/>
      <c r="F57" s="275"/>
      <c r="G57" s="275"/>
      <c r="H57" s="275"/>
      <c r="I57" s="275"/>
      <c r="J57" s="275"/>
      <c r="K57" s="276"/>
    </row>
    <row r="58" spans="1:16" ht="12" x14ac:dyDescent="0.25">
      <c r="A58" s="11" t="s">
        <v>129</v>
      </c>
      <c r="B58" s="12" t="s">
        <v>23</v>
      </c>
      <c r="C58" s="12" t="s">
        <v>24</v>
      </c>
      <c r="D58" s="12" t="s">
        <v>25</v>
      </c>
      <c r="E58" s="12" t="s">
        <v>26</v>
      </c>
      <c r="F58" s="12" t="s">
        <v>1</v>
      </c>
      <c r="G58" s="12" t="s">
        <v>2</v>
      </c>
      <c r="H58" s="12" t="s">
        <v>3</v>
      </c>
      <c r="I58" s="19" t="s">
        <v>27</v>
      </c>
      <c r="J58" s="19" t="s">
        <v>37</v>
      </c>
      <c r="K58" s="29" t="s">
        <v>28</v>
      </c>
    </row>
    <row r="59" spans="1:16" ht="12" x14ac:dyDescent="0.25">
      <c r="A59" s="47" t="s">
        <v>22</v>
      </c>
      <c r="B59" s="64">
        <f>IF(B20=1, 0.15,0.13)</f>
        <v>0.15</v>
      </c>
      <c r="C59" s="66">
        <f>1.7*$B$17*($B$14*$B$15/($B$13^2))+0.004*($B$17^2)</f>
        <v>1.9414465123473161E-2</v>
      </c>
      <c r="D59" s="66">
        <f>POWER(C42,1.8+0.4*C42)</f>
        <v>2.7634727233268978E-2</v>
      </c>
      <c r="E59" s="64">
        <f>1+0.35/B32^2</f>
        <v>1.2349252431412396</v>
      </c>
      <c r="F59" s="64">
        <f>0.98*$B$14*$B$15</f>
        <v>799.68</v>
      </c>
      <c r="G59" s="64">
        <f>IF($B$29=0,IF($B$30&lt;$B$35,$B$30*($B$27+$B$28)+$B$31*POWER($B$27+$B$28,2),$B$35*($B$27+$B$28)+$B$31*POWER($B$27+$B$28,2)),$B$30*($B$27+$B$28)+$B$31*POWER($B$27+$B$28,2))</f>
        <v>6165</v>
      </c>
      <c r="H59" s="65">
        <f>F59/G59</f>
        <v>0.12971289537712893</v>
      </c>
      <c r="I59" s="67">
        <f>$B$17*H59*$B$15*$B$29/($B$27+$B$28)^2</f>
        <v>8.8437714140059021E-2</v>
      </c>
      <c r="J59" s="66">
        <f>IF($B$29=0,1,1+10*I59-1.5*(1+I59)*SQRT(I59))</f>
        <v>1.3988499075872562</v>
      </c>
      <c r="K59" s="68">
        <f>$B$13*(1+B59)*C59*D59*E59*J59</f>
        <v>0.2771172670263955</v>
      </c>
    </row>
    <row r="60" spans="1:16" ht="12" thickBot="1" x14ac:dyDescent="0.25">
      <c r="A60" s="48" t="s">
        <v>6</v>
      </c>
      <c r="B60" s="14"/>
      <c r="C60" s="17" t="s">
        <v>9</v>
      </c>
      <c r="D60" s="10" t="s">
        <v>29</v>
      </c>
      <c r="E60" s="10" t="s">
        <v>9</v>
      </c>
      <c r="F60" s="10"/>
      <c r="G60" s="10"/>
      <c r="H60" s="10" t="s">
        <v>9</v>
      </c>
      <c r="I60" s="21"/>
      <c r="J60" s="21"/>
      <c r="K60" s="22"/>
    </row>
    <row r="61" spans="1:16" ht="12" thickBot="1" x14ac:dyDescent="0.25">
      <c r="A61" s="274" t="s">
        <v>130</v>
      </c>
      <c r="B61" s="275"/>
      <c r="C61" s="275"/>
      <c r="D61" s="275"/>
      <c r="E61" s="275"/>
      <c r="F61" s="275"/>
      <c r="G61" s="275"/>
      <c r="H61" s="275"/>
      <c r="I61" s="275"/>
      <c r="J61" s="275"/>
      <c r="K61" s="276"/>
    </row>
    <row r="62" spans="1:16" ht="12" x14ac:dyDescent="0.25">
      <c r="A62" s="24" t="s">
        <v>38</v>
      </c>
      <c r="B62" s="12" t="s">
        <v>23</v>
      </c>
      <c r="C62" s="12" t="s">
        <v>32</v>
      </c>
      <c r="D62" s="12" t="s">
        <v>33</v>
      </c>
      <c r="E62" s="12" t="s">
        <v>34</v>
      </c>
      <c r="F62" s="12" t="s">
        <v>35</v>
      </c>
      <c r="G62" s="12" t="s">
        <v>36</v>
      </c>
      <c r="H62" s="12" t="s">
        <v>24</v>
      </c>
      <c r="I62" s="12" t="s">
        <v>25</v>
      </c>
      <c r="J62" s="12" t="s">
        <v>31</v>
      </c>
      <c r="K62" s="12" t="s">
        <v>1</v>
      </c>
      <c r="L62" s="12" t="s">
        <v>2</v>
      </c>
      <c r="M62" s="12" t="s">
        <v>3</v>
      </c>
      <c r="N62" s="19" t="s">
        <v>27</v>
      </c>
      <c r="O62" s="19" t="s">
        <v>30</v>
      </c>
      <c r="P62" s="29" t="s">
        <v>38</v>
      </c>
    </row>
    <row r="63" spans="1:16" ht="12" x14ac:dyDescent="0.25">
      <c r="A63" s="46" t="s">
        <v>22</v>
      </c>
      <c r="B63" s="64">
        <f>IF(B20=1, 0.15,0.13)</f>
        <v>0.15</v>
      </c>
      <c r="C63" s="64">
        <f>IF(B20=1, 0.15,0.2)</f>
        <v>0.15</v>
      </c>
      <c r="D63" s="69">
        <f>IF(B21="O",0.1,0)</f>
        <v>0.1</v>
      </c>
      <c r="E63" s="69">
        <f>IF(B22="O",0.04,0)</f>
        <v>0.04</v>
      </c>
      <c r="F63" s="69">
        <f>(B24-B23)/(B23+B24)</f>
        <v>0</v>
      </c>
      <c r="G63" s="66">
        <f>POWER($B$17,2+(0.8*J59/$B$17))-(0.15*B63+C63)-(D63+E63+F63)</f>
        <v>0.19182593837806194</v>
      </c>
      <c r="H63" s="66">
        <f>1.7*$B$17*($B$14*$B$15/($B$13^2))+0.004*($B$17^2)</f>
        <v>1.9414465123473161E-2</v>
      </c>
      <c r="I63" s="66">
        <f>POWER(C42,1.8+0.4*C42)</f>
        <v>2.7634727233268978E-2</v>
      </c>
      <c r="J63" s="64">
        <f>1-EXP(2.5*(1-B32)/C42)</f>
        <v>0.97774268234304562</v>
      </c>
      <c r="K63" s="64">
        <f>0.98*$B$14*$B$15</f>
        <v>799.68</v>
      </c>
      <c r="L63" s="64">
        <f>IF($B$29=0,IF($B$30&lt;$B$35,$B$30*($B$27+$B$28)+$B$31*POWER($B$27+$B$28,2),$B$35*($B$27+$B$28)+$B$31*POWER($B$27+$B$28,2)),$B$30*($B$27+$B$28)+$B$31*POWER($B$27+$B$28,2))</f>
        <v>6165</v>
      </c>
      <c r="M63" s="65">
        <f>K63/L63</f>
        <v>0.12971289537712893</v>
      </c>
      <c r="N63" s="67">
        <f>$B$17*M63*$B$15*$B$29/($B$27+$B$28)^2</f>
        <v>8.8437714140059021E-2</v>
      </c>
      <c r="O63" s="66">
        <f>IF($B$29=0,1,1-5*N63)</f>
        <v>0.55781142929970495</v>
      </c>
      <c r="P63" s="68">
        <f>-$B$13*1.7*H63*I63*J63*G63*O63</f>
        <v>-2.4809739019125195E-2</v>
      </c>
    </row>
    <row r="64" spans="1:16" ht="12" thickBot="1" x14ac:dyDescent="0.25">
      <c r="A64" s="50" t="s">
        <v>6</v>
      </c>
      <c r="B64" s="28"/>
      <c r="C64" s="17" t="s">
        <v>9</v>
      </c>
      <c r="D64" s="23" t="s">
        <v>29</v>
      </c>
      <c r="E64" s="23" t="s">
        <v>9</v>
      </c>
      <c r="F64" s="23"/>
      <c r="G64" s="23"/>
      <c r="H64" s="10" t="s">
        <v>9</v>
      </c>
      <c r="I64" s="21"/>
      <c r="J64" s="21"/>
      <c r="K64" s="26"/>
      <c r="L64" s="27"/>
      <c r="M64" s="25"/>
      <c r="N64" s="25"/>
      <c r="O64" s="25"/>
      <c r="P64" s="18"/>
    </row>
    <row r="65" spans="1:15" ht="12" x14ac:dyDescent="0.25">
      <c r="A65" s="49" t="s">
        <v>121</v>
      </c>
      <c r="B65" s="70">
        <f>IF(AND($B$29&lt;($B$28+$B$27),B29&gt;0),(K59-0.5*P63),(IF(B28=B29,(IF(B28/B15&lt;1.2,(IF(B17&gt;0.8,(IF(B19&lt;7,(K59-0.5*P63),(0))),(K59-0.5*P63))),(K59-0.5*P63))),(0))))</f>
        <v>0.2895221365359581</v>
      </c>
    </row>
    <row r="66" spans="1:15" ht="12.6" thickBot="1" x14ac:dyDescent="0.3">
      <c r="A66" s="142" t="s">
        <v>126</v>
      </c>
      <c r="B66" s="143">
        <f>IF(AND($B$29&lt;($B$28+$B$27),B29&gt;0),(K59+0.5*P63),(IF(B28=B29,(IF(B28/B15&lt;1.2,(IF(B17&gt;0.8,(IF(B19&lt;7,(K59+0.5*P63),(0))),(K59+0.5*P63))),(K59+0.5*P63))),(0))))</f>
        <v>0.2647123975168329</v>
      </c>
    </row>
    <row r="67" spans="1:15" x14ac:dyDescent="0.2">
      <c r="A67" s="31"/>
      <c r="B67" s="31"/>
    </row>
    <row r="68" spans="1:15" x14ac:dyDescent="0.2">
      <c r="A68" s="31"/>
      <c r="B68" s="31"/>
    </row>
    <row r="69" spans="1:15" ht="12" x14ac:dyDescent="0.25">
      <c r="A69" s="16"/>
      <c r="B69" s="16"/>
    </row>
    <row r="70" spans="1:15" x14ac:dyDescent="0.2">
      <c r="A70" s="1"/>
      <c r="B70" s="1"/>
    </row>
    <row r="71" spans="1:15" x14ac:dyDescent="0.2">
      <c r="A71" s="32"/>
      <c r="B71" s="32"/>
      <c r="C71" s="31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</row>
    <row r="72" spans="1:15" x14ac:dyDescent="0.2">
      <c r="A72" s="30"/>
      <c r="B72" s="37"/>
      <c r="C72" s="31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</row>
    <row r="73" spans="1:15" ht="12" x14ac:dyDescent="0.25">
      <c r="A73" s="30"/>
      <c r="B73" s="30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31"/>
      <c r="O73" s="31"/>
    </row>
    <row r="74" spans="1:15" ht="12" x14ac:dyDescent="0.25">
      <c r="A74" s="32"/>
      <c r="B74" s="33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31"/>
      <c r="O74" s="31"/>
    </row>
    <row r="75" spans="1:15" x14ac:dyDescent="0.2">
      <c r="A75" s="30"/>
      <c r="B75" s="37"/>
      <c r="C75" s="32"/>
      <c r="D75" s="32"/>
      <c r="E75" s="32"/>
      <c r="F75" s="32"/>
      <c r="G75" s="32"/>
      <c r="H75" s="32"/>
      <c r="I75" s="32"/>
      <c r="J75" s="32"/>
      <c r="K75" s="32"/>
      <c r="L75" s="32"/>
      <c r="M75" s="31"/>
      <c r="N75" s="31"/>
      <c r="O75" s="31"/>
    </row>
    <row r="76" spans="1:15" x14ac:dyDescent="0.2">
      <c r="A76" s="15"/>
      <c r="B76" s="8"/>
      <c r="C76" s="36"/>
      <c r="D76" s="36"/>
      <c r="E76" s="36"/>
      <c r="F76" s="38"/>
      <c r="G76" s="37"/>
      <c r="H76" s="37"/>
      <c r="I76" s="38"/>
      <c r="J76" s="37"/>
      <c r="K76" s="38"/>
      <c r="L76" s="36"/>
      <c r="M76" s="31"/>
      <c r="N76" s="31"/>
      <c r="O76" s="31"/>
    </row>
    <row r="77" spans="1:15" x14ac:dyDescent="0.2">
      <c r="A77" s="1"/>
      <c r="B77" s="1"/>
      <c r="C77" s="30"/>
      <c r="D77" s="30"/>
      <c r="E77" s="30"/>
      <c r="F77" s="30"/>
      <c r="G77" s="30"/>
      <c r="H77" s="30"/>
      <c r="I77" s="30"/>
      <c r="J77" s="30"/>
      <c r="K77" s="30"/>
      <c r="L77" s="31"/>
      <c r="M77" s="31"/>
      <c r="N77" s="31"/>
      <c r="O77" s="31"/>
    </row>
    <row r="78" spans="1:15" ht="12" x14ac:dyDescent="0.25">
      <c r="A78" s="32"/>
      <c r="B78" s="33"/>
      <c r="C78" s="33"/>
      <c r="D78" s="32"/>
      <c r="E78" s="32"/>
      <c r="F78" s="33"/>
      <c r="G78" s="32"/>
      <c r="H78" s="32"/>
      <c r="I78" s="32"/>
      <c r="J78" s="33"/>
      <c r="K78" s="32"/>
      <c r="L78" s="33"/>
      <c r="M78" s="33"/>
      <c r="N78" s="31"/>
      <c r="O78" s="31"/>
    </row>
    <row r="79" spans="1:15" x14ac:dyDescent="0.2">
      <c r="A79" s="30"/>
      <c r="B79" s="37"/>
      <c r="C79" s="37"/>
      <c r="D79" s="36"/>
      <c r="E79" s="37"/>
      <c r="F79" s="36"/>
      <c r="G79" s="36"/>
      <c r="H79" s="38"/>
      <c r="I79" s="34"/>
      <c r="J79" s="36"/>
      <c r="K79" s="35"/>
      <c r="L79" s="36"/>
      <c r="M79" s="35"/>
      <c r="N79" s="31"/>
      <c r="O79" s="31"/>
    </row>
    <row r="80" spans="1:15" x14ac:dyDescent="0.2">
      <c r="A80" s="15"/>
      <c r="B80" s="8"/>
      <c r="C80" s="8"/>
      <c r="D80" s="39"/>
      <c r="E80" s="39"/>
      <c r="F80" s="39"/>
      <c r="G80" s="39"/>
      <c r="H80" s="39"/>
      <c r="I80" s="31"/>
      <c r="J80" s="31"/>
      <c r="K80" s="32"/>
      <c r="L80" s="31"/>
      <c r="M80" s="32"/>
      <c r="N80" s="31"/>
      <c r="O80" s="31"/>
    </row>
    <row r="81" spans="1:15" ht="12" x14ac:dyDescent="0.25">
      <c r="A81" s="40"/>
      <c r="B81" s="3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31"/>
      <c r="O81" s="31"/>
    </row>
    <row r="82" spans="1:15" ht="12" x14ac:dyDescent="0.25">
      <c r="A82" s="31"/>
      <c r="B82" s="31"/>
      <c r="C82" s="33"/>
      <c r="D82" s="33"/>
      <c r="E82" s="32"/>
      <c r="F82" s="32"/>
      <c r="G82" s="32"/>
      <c r="H82" s="33"/>
      <c r="I82" s="32"/>
      <c r="J82" s="33"/>
      <c r="K82" s="33"/>
      <c r="L82" s="31"/>
      <c r="M82" s="31"/>
      <c r="N82" s="31"/>
      <c r="O82" s="31"/>
    </row>
    <row r="83" spans="1:15" x14ac:dyDescent="0.2">
      <c r="C83" s="37"/>
      <c r="D83" s="36"/>
      <c r="E83" s="36"/>
      <c r="F83" s="38"/>
      <c r="G83" s="36"/>
      <c r="H83" s="36"/>
      <c r="I83" s="35"/>
      <c r="J83" s="36"/>
      <c r="K83" s="35"/>
      <c r="L83" s="31"/>
      <c r="M83" s="31"/>
      <c r="N83" s="31"/>
      <c r="O83" s="31"/>
    </row>
    <row r="84" spans="1:15" x14ac:dyDescent="0.2">
      <c r="C84" s="8"/>
      <c r="D84" s="39"/>
      <c r="E84" s="39"/>
      <c r="F84" s="39"/>
      <c r="G84" s="39"/>
      <c r="H84" s="39"/>
      <c r="I84" s="31"/>
      <c r="J84" s="31"/>
      <c r="K84" s="32"/>
      <c r="L84" s="31"/>
      <c r="M84" s="32"/>
      <c r="N84" s="31"/>
      <c r="O84" s="31"/>
    </row>
    <row r="85" spans="1:15" x14ac:dyDescent="0.2">
      <c r="C85" s="31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</row>
    <row r="86" spans="1:15" x14ac:dyDescent="0.2">
      <c r="C86" s="31"/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</row>
  </sheetData>
  <sheetProtection sheet="1" objects="1" scenarios="1"/>
  <mergeCells count="14">
    <mergeCell ref="A39:D39"/>
    <mergeCell ref="F2:J2"/>
    <mergeCell ref="A10:B10"/>
    <mergeCell ref="A12:B12"/>
    <mergeCell ref="A33:B33"/>
    <mergeCell ref="A34:B34"/>
    <mergeCell ref="A57:K57"/>
    <mergeCell ref="A61:K61"/>
    <mergeCell ref="A40:D40"/>
    <mergeCell ref="A45:M45"/>
    <mergeCell ref="A46:M46"/>
    <mergeCell ref="A47:M47"/>
    <mergeCell ref="A51:M51"/>
    <mergeCell ref="A56:K56"/>
  </mergeCells>
  <pageMargins left="0.78740157499999996" right="0.78740157499999996" top="0.984251969" bottom="0.984251969" header="0.4921259845" footer="0.4921259845"/>
  <pageSetup paperSize="9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6"/>
  <sheetViews>
    <sheetView topLeftCell="A43" workbookViewId="0">
      <selection activeCell="I52" sqref="I52"/>
    </sheetView>
  </sheetViews>
  <sheetFormatPr baseColWidth="10" defaultRowHeight="11.4" x14ac:dyDescent="0.2"/>
  <cols>
    <col min="1" max="1" width="23.25" customWidth="1"/>
    <col min="9" max="9" width="13.875" customWidth="1"/>
  </cols>
  <sheetData>
    <row r="1" spans="1:10" ht="12" thickBot="1" x14ac:dyDescent="0.25"/>
    <row r="2" spans="1:10" ht="21" thickBot="1" x14ac:dyDescent="0.4">
      <c r="F2" s="279" t="s">
        <v>43</v>
      </c>
      <c r="G2" s="280"/>
      <c r="H2" s="280"/>
      <c r="I2" s="280"/>
      <c r="J2" s="281"/>
    </row>
    <row r="10" spans="1:10" x14ac:dyDescent="0.2">
      <c r="A10" s="282"/>
      <c r="B10" s="282"/>
    </row>
    <row r="11" spans="1:10" ht="12" thickBot="1" x14ac:dyDescent="0.25"/>
    <row r="12" spans="1:10" ht="12" thickBot="1" x14ac:dyDescent="0.25">
      <c r="A12" s="283" t="s">
        <v>99</v>
      </c>
      <c r="B12" s="284"/>
    </row>
    <row r="13" spans="1:10" x14ac:dyDescent="0.2">
      <c r="A13" s="4" t="s">
        <v>0</v>
      </c>
      <c r="B13" s="106">
        <f>'Initial data'!C8</f>
        <v>260</v>
      </c>
    </row>
    <row r="14" spans="1:10" x14ac:dyDescent="0.2">
      <c r="A14" s="109" t="s">
        <v>86</v>
      </c>
      <c r="B14" s="107">
        <f>'Initial data'!D8</f>
        <v>48</v>
      </c>
    </row>
    <row r="15" spans="1:10" x14ac:dyDescent="0.2">
      <c r="A15" s="109" t="s">
        <v>91</v>
      </c>
      <c r="B15" s="59">
        <f>(B23+B24)/2</f>
        <v>17</v>
      </c>
    </row>
    <row r="16" spans="1:10" x14ac:dyDescent="0.2">
      <c r="A16" s="109" t="s">
        <v>105</v>
      </c>
      <c r="B16" s="125">
        <f>B17*B13*B14*B15</f>
        <v>173170.73170731709</v>
      </c>
    </row>
    <row r="17" spans="1:2" x14ac:dyDescent="0.2">
      <c r="A17" s="5" t="s">
        <v>5</v>
      </c>
      <c r="B17" s="108">
        <f>'Initial data'!J8</f>
        <v>0.81622705367325177</v>
      </c>
    </row>
    <row r="18" spans="1:2" x14ac:dyDescent="0.2">
      <c r="A18" s="9" t="s">
        <v>7</v>
      </c>
      <c r="B18" s="108">
        <f>'Initial data'!K8</f>
        <v>0.9</v>
      </c>
    </row>
    <row r="19" spans="1:2" ht="12" thickBot="1" x14ac:dyDescent="0.25">
      <c r="A19" s="110" t="s">
        <v>87</v>
      </c>
      <c r="B19" s="74">
        <v>6</v>
      </c>
    </row>
    <row r="20" spans="1:2" x14ac:dyDescent="0.2">
      <c r="A20" s="113" t="s">
        <v>89</v>
      </c>
      <c r="B20" s="116">
        <f>'Initial data'!L8</f>
        <v>1</v>
      </c>
    </row>
    <row r="21" spans="1:2" x14ac:dyDescent="0.2">
      <c r="A21" s="114" t="s">
        <v>92</v>
      </c>
      <c r="B21" s="108" t="str">
        <f>'Initial data'!M8</f>
        <v>O</v>
      </c>
    </row>
    <row r="22" spans="1:2" ht="11.55" customHeight="1" x14ac:dyDescent="0.2">
      <c r="A22" s="114" t="s">
        <v>94</v>
      </c>
      <c r="B22" s="108" t="str">
        <f>'Initial data'!N8</f>
        <v>O</v>
      </c>
    </row>
    <row r="23" spans="1:2" x14ac:dyDescent="0.2">
      <c r="A23" s="115" t="s">
        <v>97</v>
      </c>
      <c r="B23" s="108">
        <f>'Initial data'!E8</f>
        <v>17</v>
      </c>
    </row>
    <row r="24" spans="1:2" ht="12" thickBot="1" x14ac:dyDescent="0.25">
      <c r="A24" s="117" t="s">
        <v>98</v>
      </c>
      <c r="B24" s="118">
        <f>'Initial data'!F8</f>
        <v>17</v>
      </c>
    </row>
    <row r="25" spans="1:2" ht="12" thickBot="1" x14ac:dyDescent="0.25"/>
    <row r="26" spans="1:2" ht="12" thickBot="1" x14ac:dyDescent="0.25">
      <c r="A26" s="111" t="s">
        <v>102</v>
      </c>
      <c r="B26" s="57"/>
    </row>
    <row r="27" spans="1:2" x14ac:dyDescent="0.2">
      <c r="A27" s="6" t="s">
        <v>106</v>
      </c>
      <c r="B27" s="116">
        <f>'Initial data'!C23</f>
        <v>-0.2</v>
      </c>
    </row>
    <row r="28" spans="1:2" x14ac:dyDescent="0.2">
      <c r="A28" s="7" t="s">
        <v>107</v>
      </c>
      <c r="B28" s="108">
        <f>'Initial data'!D23</f>
        <v>20.75</v>
      </c>
    </row>
    <row r="29" spans="1:2" x14ac:dyDescent="0.2">
      <c r="A29" s="133" t="s">
        <v>110</v>
      </c>
      <c r="B29" s="108">
        <f>'Initial data'!E23</f>
        <v>20.75</v>
      </c>
    </row>
    <row r="30" spans="1:2" x14ac:dyDescent="0.2">
      <c r="A30" s="133" t="s">
        <v>111</v>
      </c>
      <c r="B30" s="108">
        <f>'Initial data'!F23</f>
        <v>300</v>
      </c>
    </row>
    <row r="31" spans="1:2" ht="12" thickBot="1" x14ac:dyDescent="0.25">
      <c r="A31" s="135" t="s">
        <v>116</v>
      </c>
      <c r="B31" s="118">
        <f>'Initial data'!G23</f>
        <v>0</v>
      </c>
    </row>
    <row r="32" spans="1:2" ht="12" thickBot="1" x14ac:dyDescent="0.25">
      <c r="A32" s="44" t="s">
        <v>44</v>
      </c>
      <c r="B32" s="60">
        <f>B28/B15</f>
        <v>1.2205882352941178</v>
      </c>
    </row>
    <row r="33" spans="1:13" x14ac:dyDescent="0.2">
      <c r="A33" s="285" t="s">
        <v>117</v>
      </c>
      <c r="B33" s="286"/>
    </row>
    <row r="34" spans="1:13" x14ac:dyDescent="0.2">
      <c r="A34" s="287" t="s">
        <v>40</v>
      </c>
      <c r="B34" s="288"/>
    </row>
    <row r="35" spans="1:13" ht="12" thickBot="1" x14ac:dyDescent="0.25">
      <c r="A35" s="51" t="s">
        <v>8</v>
      </c>
      <c r="B35" s="61">
        <f>(7.04/B17^0.85)*B14</f>
        <v>401.58229656579465</v>
      </c>
    </row>
    <row r="38" spans="1:13" ht="12" thickBot="1" x14ac:dyDescent="0.25">
      <c r="A38" s="42"/>
      <c r="B38" s="42"/>
    </row>
    <row r="39" spans="1:13" ht="12.6" thickBot="1" x14ac:dyDescent="0.3">
      <c r="A39" s="263" t="s">
        <v>119</v>
      </c>
      <c r="B39" s="264"/>
      <c r="C39" s="264"/>
      <c r="D39" s="265"/>
    </row>
    <row r="40" spans="1:13" ht="12" thickBot="1" x14ac:dyDescent="0.25">
      <c r="A40" s="274" t="s">
        <v>122</v>
      </c>
      <c r="B40" s="277"/>
      <c r="C40" s="277"/>
      <c r="D40" s="278"/>
    </row>
    <row r="41" spans="1:13" x14ac:dyDescent="0.2">
      <c r="A41" s="11" t="s">
        <v>121</v>
      </c>
      <c r="B41" s="12" t="s">
        <v>42</v>
      </c>
      <c r="C41" s="12" t="s">
        <v>120</v>
      </c>
      <c r="D41" s="13" t="s">
        <v>4</v>
      </c>
    </row>
    <row r="42" spans="1:13" ht="12.6" thickBot="1" x14ac:dyDescent="0.3">
      <c r="A42" s="58" t="s">
        <v>41</v>
      </c>
      <c r="B42" s="62">
        <f>IF(B19*1852/3600&lt;I49,B19*1852/3600,I49)</f>
        <v>3.0866666666666664</v>
      </c>
      <c r="C42" s="62">
        <f>B42/SQRT(9.81*($B$27+$B$28))</f>
        <v>0.21739488181753788</v>
      </c>
      <c r="D42" s="63">
        <f xml:space="preserve">  IF($B$29=0,       (IF(B32&lt;1.2, (IF(B17&lt;0.8,          (((2*B17*B14*B15)/B13)*POWER(C42,2)/SQRT(1-POWER(C42,2))),         (0)     )),     (((2*B17*B14*B15)/B13)*POWER(C42,2)/SQRT(1-POWER(C42,2))))),(0))</f>
        <v>0</v>
      </c>
      <c r="E42" s="42"/>
      <c r="F42" s="42"/>
      <c r="G42" s="42"/>
      <c r="H42" s="42"/>
      <c r="I42" s="42"/>
      <c r="J42" s="42"/>
      <c r="K42" s="42"/>
      <c r="L42" s="42"/>
    </row>
    <row r="43" spans="1:13" x14ac:dyDescent="0.2">
      <c r="A43" s="42"/>
      <c r="B43" s="42"/>
      <c r="E43" s="42"/>
      <c r="F43" s="42"/>
      <c r="G43" s="42"/>
      <c r="H43" s="42"/>
      <c r="I43" s="42"/>
      <c r="J43" s="42"/>
      <c r="K43" s="42"/>
      <c r="L43" s="42"/>
    </row>
    <row r="44" spans="1:13" ht="12" thickBot="1" x14ac:dyDescent="0.25">
      <c r="A44" s="45"/>
      <c r="B44" s="45"/>
      <c r="E44" s="42"/>
      <c r="F44" s="42"/>
      <c r="G44" s="42"/>
      <c r="H44" s="42"/>
      <c r="I44" s="42"/>
      <c r="J44" s="42"/>
      <c r="K44" s="42"/>
      <c r="L44" s="42"/>
    </row>
    <row r="45" spans="1:13" ht="12.6" thickBot="1" x14ac:dyDescent="0.3">
      <c r="A45" s="263" t="s">
        <v>123</v>
      </c>
      <c r="B45" s="264"/>
      <c r="C45" s="264"/>
      <c r="D45" s="264"/>
      <c r="E45" s="264"/>
      <c r="F45" s="264"/>
      <c r="G45" s="264"/>
      <c r="H45" s="264"/>
      <c r="I45" s="264"/>
      <c r="J45" s="264"/>
      <c r="K45" s="264"/>
      <c r="L45" s="264"/>
      <c r="M45" s="265"/>
    </row>
    <row r="46" spans="1:13" ht="12" thickBot="1" x14ac:dyDescent="0.25">
      <c r="A46" s="274" t="s">
        <v>124</v>
      </c>
      <c r="B46" s="275"/>
      <c r="C46" s="275"/>
      <c r="D46" s="275"/>
      <c r="E46" s="275"/>
      <c r="F46" s="275"/>
      <c r="G46" s="275"/>
      <c r="H46" s="275"/>
      <c r="I46" s="275"/>
      <c r="J46" s="275"/>
      <c r="K46" s="275"/>
      <c r="L46" s="275"/>
      <c r="M46" s="276"/>
    </row>
    <row r="47" spans="1:13" ht="12.6" thickBot="1" x14ac:dyDescent="0.3">
      <c r="A47" s="271" t="s">
        <v>10</v>
      </c>
      <c r="B47" s="272"/>
      <c r="C47" s="272"/>
      <c r="D47" s="272"/>
      <c r="E47" s="272"/>
      <c r="F47" s="272"/>
      <c r="G47" s="272"/>
      <c r="H47" s="272"/>
      <c r="I47" s="272"/>
      <c r="J47" s="272"/>
      <c r="K47" s="272"/>
      <c r="L47" s="272"/>
      <c r="M47" s="273"/>
    </row>
    <row r="48" spans="1:13" x14ac:dyDescent="0.2">
      <c r="A48" s="11" t="s">
        <v>121</v>
      </c>
      <c r="B48" s="12" t="s">
        <v>1</v>
      </c>
      <c r="C48" s="12" t="s">
        <v>2</v>
      </c>
      <c r="D48" s="12" t="s">
        <v>3</v>
      </c>
      <c r="E48" s="12" t="s">
        <v>12</v>
      </c>
      <c r="F48" s="12" t="s">
        <v>13</v>
      </c>
      <c r="G48" s="12" t="s">
        <v>14</v>
      </c>
      <c r="H48" s="12" t="s">
        <v>15</v>
      </c>
      <c r="I48" s="19" t="s">
        <v>125</v>
      </c>
      <c r="J48" s="19" t="s">
        <v>17</v>
      </c>
      <c r="K48" s="19" t="s">
        <v>18</v>
      </c>
      <c r="L48" s="19" t="s">
        <v>19</v>
      </c>
      <c r="M48" s="20" t="s">
        <v>4</v>
      </c>
    </row>
    <row r="49" spans="1:16" ht="12.6" thickBot="1" x14ac:dyDescent="0.3">
      <c r="A49" s="137" t="s">
        <v>39</v>
      </c>
      <c r="B49" s="138">
        <f>0.98*$B$14*$B$15</f>
        <v>799.68</v>
      </c>
      <c r="C49" s="138">
        <f>IF($B$29=0,IF($B$30&lt;$B$35,$B$30*($B$27+$B$28)+$B$31*POWER($B$27+$B$28,2),$B$35*($B$27+$B$28)+$B$31*POWER($B$27+$B$28,2)),$B$30*($B$27+$B$28)+$B$31*POWER($B$27+$B$28,2))</f>
        <v>6165</v>
      </c>
      <c r="D49" s="139">
        <f>B49/C49</f>
        <v>0.12971289537712893</v>
      </c>
      <c r="E49" s="139">
        <f>POWER(2*COS((PI()+ACOS(1-D49))/3),1.5)</f>
        <v>0.57243095484554007</v>
      </c>
      <c r="F49" s="139">
        <f>IF($B$29=0,IF($B$30&lt;$B$35,C49/($B$30+2*$B$31*($B$27+$B$28)),C49/($B$35+2*$B$31*($B$27+$B$28))),C49/($B$30+2*$B$31*($B$27+$B$28)))</f>
        <v>20.55</v>
      </c>
      <c r="G49" s="139">
        <f>0.58*POWER(($B$27+$B$28)*$B$13/$B$15/$B$14,0.125)</f>
        <v>0.73356714258821765</v>
      </c>
      <c r="H49" s="139">
        <f>($B$27+$B$28)-$B$29*(1-F49/($B$27+$B$28))</f>
        <v>20.55</v>
      </c>
      <c r="I49" s="140">
        <f>IF($B$29=0, G49*SQRT(9.81*($B$27+$B$28)),IF($B$29&lt;($B$28+$B$27),(G49*(1-$B$29/($B$28+$B$27))+E49*$B$29/($B$28+$B$27))*SQRT(9.81*H49),E49*SQRT(9.81*F49)))</f>
        <v>8.1276225664451633</v>
      </c>
      <c r="J49" s="140">
        <f>0.155*SQRT(($B$27+$B$28)/$B$15)</f>
        <v>0.17041709214194936</v>
      </c>
      <c r="K49" s="140">
        <f>POWER(10*$B$14*$B$17/$B$13,2)</f>
        <v>2.270689487652755</v>
      </c>
      <c r="L49" s="140">
        <f>8*POWER(B42/I49,2)*(POWER(B42/I49-0.5,4)+0.0625)</f>
        <v>7.2355528716400649E-2</v>
      </c>
      <c r="M49" s="141">
        <f>IF($B$29=0,(IF(B32&lt;1.2,(IF(B17&gt;=0.8,(L49*K49*J49*B15),(0))),(L49*K49*J49*B15)   )   ),(IF(B28=B29,(IF(B28/B15&lt;1.2,(IF(B17&gt;0.8,(IF(B19&gt;=7,(L49*K49*J49*B15),(0))),(L49*K49*J49*B15))),(L49*K49*J49*B15))),(0))))</f>
        <v>0.47598311041578883</v>
      </c>
    </row>
    <row r="50" spans="1:16" ht="12.6" thickBot="1" x14ac:dyDescent="0.3">
      <c r="A50" s="15"/>
      <c r="B50" s="39"/>
      <c r="C50" s="39"/>
      <c r="D50" s="39"/>
      <c r="E50" s="39"/>
      <c r="F50" s="41"/>
      <c r="G50" s="3"/>
      <c r="H50" s="31"/>
      <c r="I50" s="31"/>
      <c r="J50" s="31"/>
      <c r="K50" s="31"/>
      <c r="L50" s="31"/>
      <c r="M50" s="31"/>
    </row>
    <row r="51" spans="1:16" ht="12.6" thickBot="1" x14ac:dyDescent="0.3">
      <c r="A51" s="271" t="s">
        <v>11</v>
      </c>
      <c r="B51" s="272"/>
      <c r="C51" s="272"/>
      <c r="D51" s="272"/>
      <c r="E51" s="272"/>
      <c r="F51" s="272"/>
      <c r="G51" s="272"/>
      <c r="H51" s="272"/>
      <c r="I51" s="272"/>
      <c r="J51" s="272"/>
      <c r="K51" s="272"/>
      <c r="L51" s="272"/>
      <c r="M51" s="273"/>
    </row>
    <row r="52" spans="1:16" x14ac:dyDescent="0.2">
      <c r="A52" s="11" t="s">
        <v>126</v>
      </c>
      <c r="B52" s="12" t="s">
        <v>1</v>
      </c>
      <c r="C52" s="12" t="s">
        <v>2</v>
      </c>
      <c r="D52" s="12" t="s">
        <v>3</v>
      </c>
      <c r="E52" s="12" t="s">
        <v>12</v>
      </c>
      <c r="F52" s="12" t="s">
        <v>13</v>
      </c>
      <c r="G52" s="12" t="s">
        <v>14</v>
      </c>
      <c r="H52" s="12" t="s">
        <v>15</v>
      </c>
      <c r="I52" s="19" t="s">
        <v>125</v>
      </c>
      <c r="J52" s="19" t="s">
        <v>17</v>
      </c>
      <c r="K52" s="19" t="s">
        <v>18</v>
      </c>
      <c r="L52" s="19" t="s">
        <v>19</v>
      </c>
      <c r="M52" s="20" t="s">
        <v>20</v>
      </c>
    </row>
    <row r="53" spans="1:16" ht="12.6" thickBot="1" x14ac:dyDescent="0.3">
      <c r="A53" s="137" t="s">
        <v>39</v>
      </c>
      <c r="B53" s="138">
        <f>0.98*$B$14*$B$15</f>
        <v>799.68</v>
      </c>
      <c r="C53" s="138">
        <f>IF($B$29=0,IF($B$30&lt;$B$35,$B$30*($B$27+$B$28)+$B$31*POWER($B$27+$B$28,2),$B$35*($B$27+$B$28)+$B$31*POWER($B$27+$B$28,2)),$B$30*($B$27+$B$28)+$B$31*POWER($B$27+$B$28,2))</f>
        <v>6165</v>
      </c>
      <c r="D53" s="139">
        <f>B53/C53</f>
        <v>0.12971289537712893</v>
      </c>
      <c r="E53" s="139">
        <f>POWER(2*COS((PI()+ACOS(1-D53))/3),1.5)</f>
        <v>0.57243095484554007</v>
      </c>
      <c r="F53" s="139">
        <f>IF($B$29=0,IF($B$30&lt;$B$35,C53/($B$30+2*$B$31*($B$27+$B$28)),C53/($B$35+2*$B$31*($B$27+$B$28))),C53/($B$30+2*$B$31*($B$27+$B$28)))</f>
        <v>20.55</v>
      </c>
      <c r="G53" s="139">
        <f>0.58*POWER(($B$27+$B$28)*$B$13/$B$15/$B$14,0.125)</f>
        <v>0.73356714258821765</v>
      </c>
      <c r="H53" s="139">
        <f>($B$27+$B$28)-$B$29*(1-F53/($B$27+$B$28))</f>
        <v>20.55</v>
      </c>
      <c r="I53" s="140">
        <f>IF($B$29=0, G53*SQRT(9.81*($B$27+$B$28)),IF($B$29&lt;($B$28+$B$27),(G53*(1-$B$29/($B$28+$B$27))+E53*$B$29/($B$28+$B$27))*SQRT(9.81*H53),E53*SQRT(9.81*F53)))</f>
        <v>8.1276225664451633</v>
      </c>
      <c r="J53" s="140">
        <f>0.155*SQRT(($B$27+$B$28)/$B$15)</f>
        <v>0.17041709214194936</v>
      </c>
      <c r="K53" s="140">
        <v>1</v>
      </c>
      <c r="L53" s="140">
        <f>8*POWER(B42/I53,2)*(POWER(B42/I53-0.5,4)+0.0625)</f>
        <v>7.2355528716400649E-2</v>
      </c>
      <c r="M53" s="141">
        <f>IF($B$29=0,(IF(B32&lt;1.2,(IF(B17&gt;=0.8,(L53*K53*J53*B15),(0))),(L53*K53*J53*B15))),(IF(B28=B29,(IF(B28/B15&lt;1.2,(IF(B17&gt;0.8,(IF(B19&gt;=7,(L53*K53*J53*B15),(0))),(L53*K53*J53*B15))),(L53*K53*J53*B15))),(0))))</f>
        <v>0.20962051967211931</v>
      </c>
    </row>
    <row r="54" spans="1:16" x14ac:dyDescent="0.2">
      <c r="A54" s="15"/>
      <c r="B54" s="39"/>
    </row>
    <row r="55" spans="1:16" ht="12" thickBot="1" x14ac:dyDescent="0.25">
      <c r="A55" s="45"/>
      <c r="B55" s="45"/>
    </row>
    <row r="56" spans="1:16" ht="12.6" thickBot="1" x14ac:dyDescent="0.3">
      <c r="A56" s="263" t="s">
        <v>127</v>
      </c>
      <c r="B56" s="264"/>
      <c r="C56" s="264"/>
      <c r="D56" s="264"/>
      <c r="E56" s="264"/>
      <c r="F56" s="264"/>
      <c r="G56" s="264"/>
      <c r="H56" s="264"/>
      <c r="I56" s="264"/>
      <c r="J56" s="264"/>
      <c r="K56" s="265"/>
    </row>
    <row r="57" spans="1:16" ht="12" thickBot="1" x14ac:dyDescent="0.25">
      <c r="A57" s="274" t="s">
        <v>128</v>
      </c>
      <c r="B57" s="275"/>
      <c r="C57" s="275"/>
      <c r="D57" s="275"/>
      <c r="E57" s="275"/>
      <c r="F57" s="275"/>
      <c r="G57" s="275"/>
      <c r="H57" s="275"/>
      <c r="I57" s="275"/>
      <c r="J57" s="275"/>
      <c r="K57" s="276"/>
    </row>
    <row r="58" spans="1:16" ht="12" x14ac:dyDescent="0.25">
      <c r="A58" s="11" t="s">
        <v>129</v>
      </c>
      <c r="B58" s="12" t="s">
        <v>23</v>
      </c>
      <c r="C58" s="12" t="s">
        <v>24</v>
      </c>
      <c r="D58" s="12" t="s">
        <v>25</v>
      </c>
      <c r="E58" s="12" t="s">
        <v>26</v>
      </c>
      <c r="F58" s="12" t="s">
        <v>1</v>
      </c>
      <c r="G58" s="12" t="s">
        <v>2</v>
      </c>
      <c r="H58" s="12" t="s">
        <v>3</v>
      </c>
      <c r="I58" s="19" t="s">
        <v>27</v>
      </c>
      <c r="J58" s="19" t="s">
        <v>37</v>
      </c>
      <c r="K58" s="29" t="s">
        <v>28</v>
      </c>
    </row>
    <row r="59" spans="1:16" ht="12" x14ac:dyDescent="0.25">
      <c r="A59" s="47" t="s">
        <v>22</v>
      </c>
      <c r="B59" s="64">
        <f>IF(B20=1, 0.15,0.13)</f>
        <v>0.15</v>
      </c>
      <c r="C59" s="66">
        <f>1.7*$B$17*($B$14*$B$15/($B$13^2))+0.004*($B$17^2)</f>
        <v>1.9414465123473161E-2</v>
      </c>
      <c r="D59" s="66">
        <f>POWER(C42,1.8+0.4*C42)</f>
        <v>5.6158736036859662E-2</v>
      </c>
      <c r="E59" s="64">
        <f>1+0.35/B32^2</f>
        <v>1.2349252431412396</v>
      </c>
      <c r="F59" s="64">
        <f>0.98*$B$14*$B$15</f>
        <v>799.68</v>
      </c>
      <c r="G59" s="64">
        <f>IF($B$29=0,IF($B$30&lt;$B$35,$B$30*($B$27+$B$28)+$B$31*POWER($B$27+$B$28,2),$B$35*($B$27+$B$28)+$B$31*POWER($B$27+$B$28,2)),$B$30*($B$27+$B$28)+$B$31*POWER($B$27+$B$28,2))</f>
        <v>6165</v>
      </c>
      <c r="H59" s="65">
        <f>F59/G59</f>
        <v>0.12971289537712893</v>
      </c>
      <c r="I59" s="67">
        <f>$B$17*H59*$B$15*$B$29/($B$27+$B$28)^2</f>
        <v>8.8437714140059021E-2</v>
      </c>
      <c r="J59" s="66">
        <f>IF($B$29=0,1,1+10*I59-1.5*(1+I59)*SQRT(I59))</f>
        <v>1.3988499075872562</v>
      </c>
      <c r="K59" s="68">
        <f>$B$13*(1+B59)*C59*D59*E59*J59</f>
        <v>0.56315212807513448</v>
      </c>
    </row>
    <row r="60" spans="1:16" ht="12" thickBot="1" x14ac:dyDescent="0.25">
      <c r="A60" s="48" t="s">
        <v>6</v>
      </c>
      <c r="B60" s="14"/>
      <c r="C60" s="17" t="s">
        <v>9</v>
      </c>
      <c r="D60" s="10" t="s">
        <v>29</v>
      </c>
      <c r="E60" s="10" t="s">
        <v>9</v>
      </c>
      <c r="F60" s="10"/>
      <c r="G60" s="10"/>
      <c r="H60" s="10" t="s">
        <v>9</v>
      </c>
      <c r="I60" s="21"/>
      <c r="J60" s="21"/>
      <c r="K60" s="22"/>
    </row>
    <row r="61" spans="1:16" ht="12" thickBot="1" x14ac:dyDescent="0.25">
      <c r="A61" s="274" t="s">
        <v>130</v>
      </c>
      <c r="B61" s="275"/>
      <c r="C61" s="275"/>
      <c r="D61" s="275"/>
      <c r="E61" s="275"/>
      <c r="F61" s="275"/>
      <c r="G61" s="275"/>
      <c r="H61" s="275"/>
      <c r="I61" s="275"/>
      <c r="J61" s="275"/>
      <c r="K61" s="276"/>
    </row>
    <row r="62" spans="1:16" ht="12" x14ac:dyDescent="0.25">
      <c r="A62" s="24" t="s">
        <v>38</v>
      </c>
      <c r="B62" s="12" t="s">
        <v>23</v>
      </c>
      <c r="C62" s="12" t="s">
        <v>32</v>
      </c>
      <c r="D62" s="12" t="s">
        <v>33</v>
      </c>
      <c r="E62" s="12" t="s">
        <v>34</v>
      </c>
      <c r="F62" s="12" t="s">
        <v>35</v>
      </c>
      <c r="G62" s="12" t="s">
        <v>36</v>
      </c>
      <c r="H62" s="12" t="s">
        <v>24</v>
      </c>
      <c r="I62" s="12" t="s">
        <v>25</v>
      </c>
      <c r="J62" s="12" t="s">
        <v>31</v>
      </c>
      <c r="K62" s="12" t="s">
        <v>1</v>
      </c>
      <c r="L62" s="12" t="s">
        <v>2</v>
      </c>
      <c r="M62" s="12" t="s">
        <v>3</v>
      </c>
      <c r="N62" s="19" t="s">
        <v>27</v>
      </c>
      <c r="O62" s="19" t="s">
        <v>30</v>
      </c>
      <c r="P62" s="29" t="s">
        <v>38</v>
      </c>
    </row>
    <row r="63" spans="1:16" ht="12" x14ac:dyDescent="0.25">
      <c r="A63" s="46" t="s">
        <v>22</v>
      </c>
      <c r="B63" s="64">
        <f>IF(B20=1, 0.15,0.13)</f>
        <v>0.15</v>
      </c>
      <c r="C63" s="64">
        <f>IF(B20=1, 0.15,0.2)</f>
        <v>0.15</v>
      </c>
      <c r="D63" s="69">
        <f>IF(B21="O",0.1,0)</f>
        <v>0.1</v>
      </c>
      <c r="E63" s="69">
        <f>IF(B22="O",0.04,0)</f>
        <v>0.04</v>
      </c>
      <c r="F63" s="69">
        <f>(B24-B23)/(B23+B24)</f>
        <v>0</v>
      </c>
      <c r="G63" s="66">
        <f>POWER($B$17,2+(0.8*J59/$B$17))-(0.15*B63+C63)-(D63+E63+F63)</f>
        <v>0.19182593837806194</v>
      </c>
      <c r="H63" s="66">
        <f>1.7*$B$17*($B$14*$B$15/($B$13^2))+0.004*($B$17^2)</f>
        <v>1.9414465123473161E-2</v>
      </c>
      <c r="I63" s="66">
        <f>POWER(C42,1.8+0.4*C42)</f>
        <v>5.6158736036859662E-2</v>
      </c>
      <c r="J63" s="64">
        <f>1-EXP(2.5*(1-B32)/C42)</f>
        <v>0.92087472797858982</v>
      </c>
      <c r="K63" s="64">
        <f>0.98*$B$14*$B$15</f>
        <v>799.68</v>
      </c>
      <c r="L63" s="64">
        <f>IF($B$29=0,IF($B$30&lt;$B$35,$B$30*($B$27+$B$28)+$B$31*POWER($B$27+$B$28,2),$B$35*($B$27+$B$28)+$B$31*POWER($B$27+$B$28,2)),$B$30*($B$27+$B$28)+$B$31*POWER($B$27+$B$28,2))</f>
        <v>6165</v>
      </c>
      <c r="M63" s="65">
        <f>K63/L63</f>
        <v>0.12971289537712893</v>
      </c>
      <c r="N63" s="67">
        <f>$B$17*M63*$B$15*$B$29/($B$27+$B$28)^2</f>
        <v>8.8437714140059021E-2</v>
      </c>
      <c r="O63" s="66">
        <f>IF($B$29=0,1,1-5*N63)</f>
        <v>0.55781142929970495</v>
      </c>
      <c r="P63" s="68">
        <f>-$B$13*1.7*H63*I63*J63*G63*O63</f>
        <v>-4.7485423807933837E-2</v>
      </c>
    </row>
    <row r="64" spans="1:16" ht="12" thickBot="1" x14ac:dyDescent="0.25">
      <c r="A64" s="50" t="s">
        <v>6</v>
      </c>
      <c r="B64" s="28"/>
      <c r="C64" s="17" t="s">
        <v>9</v>
      </c>
      <c r="D64" s="23" t="s">
        <v>29</v>
      </c>
      <c r="E64" s="23" t="s">
        <v>9</v>
      </c>
      <c r="F64" s="23"/>
      <c r="G64" s="23"/>
      <c r="H64" s="10" t="s">
        <v>9</v>
      </c>
      <c r="I64" s="21"/>
      <c r="J64" s="21"/>
      <c r="K64" s="26"/>
      <c r="L64" s="27"/>
      <c r="M64" s="25"/>
      <c r="N64" s="25"/>
      <c r="O64" s="25"/>
      <c r="P64" s="18"/>
    </row>
    <row r="65" spans="1:15" ht="12" x14ac:dyDescent="0.25">
      <c r="A65" s="49" t="s">
        <v>121</v>
      </c>
      <c r="B65" s="70">
        <f>IF(AND($B$29&lt;($B$28+$B$27),B29&gt;0),(K59-0.5*P63),(IF(B28=B29,(IF(B28/B15&lt;1.2,(IF(B17&gt;0.8,(IF(B19&lt;7,(K59-0.5*P63),(0))),(K59-0.5*P63))),(K59-0.5*P63))),(0))))</f>
        <v>0.58689483997910141</v>
      </c>
    </row>
    <row r="66" spans="1:15" ht="12.6" thickBot="1" x14ac:dyDescent="0.3">
      <c r="A66" s="142" t="s">
        <v>126</v>
      </c>
      <c r="B66" s="143">
        <f>IF(AND($B$29&lt;($B$28+$B$27),B29&gt;0),(K59+0.5*P63),(IF(B28=B29,(IF(B28/B15&lt;1.2,(IF(B17&gt;0.8,(IF(B19&lt;7,(K59+0.5*P63),(0))),(K59+0.5*P63))),(K59+0.5*P63))),(0))))</f>
        <v>0.53940941617116756</v>
      </c>
    </row>
    <row r="67" spans="1:15" x14ac:dyDescent="0.2">
      <c r="A67" s="31"/>
      <c r="B67" s="31"/>
    </row>
    <row r="68" spans="1:15" x14ac:dyDescent="0.2">
      <c r="A68" s="31"/>
      <c r="B68" s="31"/>
    </row>
    <row r="69" spans="1:15" ht="12" x14ac:dyDescent="0.25">
      <c r="A69" s="16"/>
      <c r="B69" s="16"/>
    </row>
    <row r="70" spans="1:15" x14ac:dyDescent="0.2">
      <c r="A70" s="1"/>
      <c r="B70" s="1"/>
    </row>
    <row r="71" spans="1:15" x14ac:dyDescent="0.2">
      <c r="A71" s="32"/>
      <c r="B71" s="32"/>
      <c r="C71" s="31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</row>
    <row r="72" spans="1:15" x14ac:dyDescent="0.2">
      <c r="A72" s="30"/>
      <c r="B72" s="37"/>
      <c r="C72" s="31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</row>
    <row r="73" spans="1:15" ht="12" x14ac:dyDescent="0.25">
      <c r="A73" s="30"/>
      <c r="B73" s="30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31"/>
      <c r="O73" s="31"/>
    </row>
    <row r="74" spans="1:15" ht="12" x14ac:dyDescent="0.25">
      <c r="A74" s="32"/>
      <c r="B74" s="33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31"/>
      <c r="O74" s="31"/>
    </row>
    <row r="75" spans="1:15" x14ac:dyDescent="0.2">
      <c r="A75" s="30"/>
      <c r="B75" s="37"/>
      <c r="C75" s="32"/>
      <c r="D75" s="32"/>
      <c r="E75" s="32"/>
      <c r="F75" s="32"/>
      <c r="G75" s="32"/>
      <c r="H75" s="32"/>
      <c r="I75" s="32"/>
      <c r="J75" s="32"/>
      <c r="K75" s="32"/>
      <c r="L75" s="32"/>
      <c r="M75" s="31"/>
      <c r="N75" s="31"/>
      <c r="O75" s="31"/>
    </row>
    <row r="76" spans="1:15" x14ac:dyDescent="0.2">
      <c r="A76" s="15"/>
      <c r="B76" s="8"/>
      <c r="C76" s="36"/>
      <c r="D76" s="36"/>
      <c r="E76" s="36"/>
      <c r="F76" s="38"/>
      <c r="G76" s="37"/>
      <c r="H76" s="37"/>
      <c r="I76" s="38"/>
      <c r="J76" s="37"/>
      <c r="K76" s="38"/>
      <c r="L76" s="36"/>
      <c r="M76" s="31"/>
      <c r="N76" s="31"/>
      <c r="O76" s="31"/>
    </row>
    <row r="77" spans="1:15" x14ac:dyDescent="0.2">
      <c r="A77" s="1"/>
      <c r="B77" s="1"/>
      <c r="C77" s="30"/>
      <c r="D77" s="30"/>
      <c r="E77" s="30"/>
      <c r="F77" s="30"/>
      <c r="G77" s="30"/>
      <c r="H77" s="30"/>
      <c r="I77" s="30"/>
      <c r="J77" s="30"/>
      <c r="K77" s="30"/>
      <c r="L77" s="31"/>
      <c r="M77" s="31"/>
      <c r="N77" s="31"/>
      <c r="O77" s="31"/>
    </row>
    <row r="78" spans="1:15" ht="12" x14ac:dyDescent="0.25">
      <c r="A78" s="32"/>
      <c r="B78" s="33"/>
      <c r="C78" s="33"/>
      <c r="D78" s="32"/>
      <c r="E78" s="32"/>
      <c r="F78" s="33"/>
      <c r="G78" s="32"/>
      <c r="H78" s="32"/>
      <c r="I78" s="32"/>
      <c r="J78" s="33"/>
      <c r="K78" s="32"/>
      <c r="L78" s="33"/>
      <c r="M78" s="33"/>
      <c r="N78" s="31"/>
      <c r="O78" s="31"/>
    </row>
    <row r="79" spans="1:15" x14ac:dyDescent="0.2">
      <c r="A79" s="30"/>
      <c r="B79" s="37"/>
      <c r="C79" s="37"/>
      <c r="D79" s="36"/>
      <c r="E79" s="37"/>
      <c r="F79" s="36"/>
      <c r="G79" s="36"/>
      <c r="H79" s="38"/>
      <c r="I79" s="34"/>
      <c r="J79" s="36"/>
      <c r="K79" s="35"/>
      <c r="L79" s="36"/>
      <c r="M79" s="35"/>
      <c r="N79" s="31"/>
      <c r="O79" s="31"/>
    </row>
    <row r="80" spans="1:15" x14ac:dyDescent="0.2">
      <c r="A80" s="15"/>
      <c r="B80" s="8"/>
      <c r="C80" s="8"/>
      <c r="D80" s="39"/>
      <c r="E80" s="39"/>
      <c r="F80" s="39"/>
      <c r="G80" s="39"/>
      <c r="H80" s="39"/>
      <c r="I80" s="31"/>
      <c r="J80" s="31"/>
      <c r="K80" s="32"/>
      <c r="L80" s="31"/>
      <c r="M80" s="32"/>
      <c r="N80" s="31"/>
      <c r="O80" s="31"/>
    </row>
    <row r="81" spans="1:15" ht="12" x14ac:dyDescent="0.25">
      <c r="A81" s="40"/>
      <c r="B81" s="3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31"/>
      <c r="O81" s="31"/>
    </row>
    <row r="82" spans="1:15" ht="12" x14ac:dyDescent="0.25">
      <c r="A82" s="31"/>
      <c r="B82" s="31"/>
      <c r="C82" s="33"/>
      <c r="D82" s="33"/>
      <c r="E82" s="32"/>
      <c r="F82" s="32"/>
      <c r="G82" s="32"/>
      <c r="H82" s="33"/>
      <c r="I82" s="32"/>
      <c r="J82" s="33"/>
      <c r="K82" s="33"/>
      <c r="L82" s="31"/>
      <c r="M82" s="31"/>
      <c r="N82" s="31"/>
      <c r="O82" s="31"/>
    </row>
    <row r="83" spans="1:15" x14ac:dyDescent="0.2">
      <c r="C83" s="37"/>
      <c r="D83" s="36"/>
      <c r="E83" s="36"/>
      <c r="F83" s="38"/>
      <c r="G83" s="36"/>
      <c r="H83" s="36"/>
      <c r="I83" s="35"/>
      <c r="J83" s="36"/>
      <c r="K83" s="35"/>
      <c r="L83" s="31"/>
      <c r="M83" s="31"/>
      <c r="N83" s="31"/>
      <c r="O83" s="31"/>
    </row>
    <row r="84" spans="1:15" x14ac:dyDescent="0.2">
      <c r="C84" s="8"/>
      <c r="D84" s="39"/>
      <c r="E84" s="39"/>
      <c r="F84" s="39"/>
      <c r="G84" s="39"/>
      <c r="H84" s="39"/>
      <c r="I84" s="31"/>
      <c r="J84" s="31"/>
      <c r="K84" s="32"/>
      <c r="L84" s="31"/>
      <c r="M84" s="32"/>
      <c r="N84" s="31"/>
      <c r="O84" s="31"/>
    </row>
    <row r="85" spans="1:15" x14ac:dyDescent="0.2">
      <c r="C85" s="31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</row>
    <row r="86" spans="1:15" x14ac:dyDescent="0.2">
      <c r="C86" s="31"/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</row>
  </sheetData>
  <sheetProtection sheet="1" objects="1" scenarios="1"/>
  <mergeCells count="14">
    <mergeCell ref="A39:D39"/>
    <mergeCell ref="F2:J2"/>
    <mergeCell ref="A10:B10"/>
    <mergeCell ref="A12:B12"/>
    <mergeCell ref="A33:B33"/>
    <mergeCell ref="A34:B34"/>
    <mergeCell ref="A57:K57"/>
    <mergeCell ref="A61:K61"/>
    <mergeCell ref="A40:D40"/>
    <mergeCell ref="A45:M45"/>
    <mergeCell ref="A46:M46"/>
    <mergeCell ref="A47:M47"/>
    <mergeCell ref="A51:M51"/>
    <mergeCell ref="A56:K56"/>
  </mergeCells>
  <pageMargins left="0.78740157499999996" right="0.78740157499999996" top="0.984251969" bottom="0.984251969" header="0.4921259845" footer="0.4921259845"/>
  <pageSetup paperSize="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15</vt:i4>
      </vt:variant>
    </vt:vector>
  </HeadingPairs>
  <TitlesOfParts>
    <vt:vector size="15" baseType="lpstr">
      <vt:lpstr>NOTICE</vt:lpstr>
      <vt:lpstr>NOTE</vt:lpstr>
      <vt:lpstr>Initial data</vt:lpstr>
      <vt:lpstr>Results_Depth</vt:lpstr>
      <vt:lpstr>Dynamic_Heel</vt:lpstr>
      <vt:lpstr>Squat results</vt:lpstr>
      <vt:lpstr>Squat data</vt:lpstr>
      <vt:lpstr>V+2</vt:lpstr>
      <vt:lpstr>V+4</vt:lpstr>
      <vt:lpstr>V+6</vt:lpstr>
      <vt:lpstr>V+8</vt:lpstr>
      <vt:lpstr>V+10</vt:lpstr>
      <vt:lpstr>V+12</vt:lpstr>
      <vt:lpstr>V+14</vt:lpstr>
      <vt:lpstr>V+16</vt:lpstr>
    </vt:vector>
  </TitlesOfParts>
  <Company>SOGREAH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SOGREAH</dc:creator>
  <cp:lastModifiedBy>DEMENET Pierre-François</cp:lastModifiedBy>
  <cp:lastPrinted>2009-12-11T14:18:39Z</cp:lastPrinted>
  <dcterms:created xsi:type="dcterms:W3CDTF">2002-03-20T07:40:29Z</dcterms:created>
  <dcterms:modified xsi:type="dcterms:W3CDTF">2023-09-23T07:28:14Z</dcterms:modified>
</cp:coreProperties>
</file>