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cadata\SIMBAD\Calculs\Caracteristiques_navires\"/>
    </mc:Choice>
  </mc:AlternateContent>
  <bookViews>
    <workbookView xWindow="240" yWindow="108" windowWidth="19920" windowHeight="6336" firstSheet="8" activeTab="10"/>
  </bookViews>
  <sheets>
    <sheet name="NOTICE" sheetId="22" r:id="rId1"/>
    <sheet name="General" sheetId="6" r:id="rId2"/>
    <sheet name="Container_Ship" sheetId="12" r:id="rId3"/>
    <sheet name="Tanker" sheetId="13" r:id="rId4"/>
    <sheet name="Bulk_carrier" sheetId="14" r:id="rId5"/>
    <sheet name="Cruise_Ship" sheetId="15" r:id="rId6"/>
    <sheet name="Coaster" sheetId="16" r:id="rId7"/>
    <sheet name="LPG_Carrier" sheetId="17" r:id="rId8"/>
    <sheet name="LNG_Carrier" sheetId="19" r:id="rId9"/>
    <sheet name="Ferry_RoRo" sheetId="20" r:id="rId10"/>
    <sheet name="River_Boat" sheetId="21" r:id="rId11"/>
  </sheets>
  <definedNames>
    <definedName name="MetaL1">#REF!</definedName>
    <definedName name="ML2L1">#REF!</definedName>
    <definedName name="XetaL1">#REF!</definedName>
    <definedName name="xL2L1">#REF!</definedName>
    <definedName name="YetaL1">#REF!</definedName>
    <definedName name="YL2L1">#REF!</definedName>
  </definedNames>
  <calcPr calcId="162913"/>
</workbook>
</file>

<file path=xl/calcChain.xml><?xml version="1.0" encoding="utf-8"?>
<calcChain xmlns="http://schemas.openxmlformats.org/spreadsheetml/2006/main">
  <c r="M19" i="21" l="1"/>
  <c r="K19" i="21"/>
  <c r="M18" i="21"/>
  <c r="K18" i="21"/>
  <c r="M44" i="13"/>
  <c r="K44" i="13"/>
  <c r="M28" i="13"/>
  <c r="K28" i="13"/>
  <c r="E42" i="6" l="1"/>
  <c r="D55" i="6" s="1"/>
  <c r="F21" i="6"/>
  <c r="F26" i="6"/>
  <c r="C12" i="6"/>
  <c r="G48" i="6" s="1"/>
  <c r="D53" i="6" l="1"/>
  <c r="N32" i="21"/>
  <c r="M32" i="21"/>
  <c r="L32" i="21"/>
  <c r="J14" i="21"/>
  <c r="M14" i="21"/>
  <c r="J17" i="21"/>
  <c r="M17" i="21"/>
  <c r="N31" i="21" s="1"/>
  <c r="M16" i="21"/>
  <c r="J16" i="21"/>
  <c r="J15" i="21"/>
  <c r="J20" i="21"/>
  <c r="M26" i="21"/>
  <c r="J26" i="21"/>
  <c r="M22" i="21"/>
  <c r="J22" i="21"/>
  <c r="M27" i="21"/>
  <c r="J27" i="21"/>
  <c r="J23" i="21"/>
  <c r="M21" i="21"/>
  <c r="M15" i="21"/>
  <c r="M20" i="21"/>
  <c r="M23" i="21"/>
  <c r="J21" i="21"/>
  <c r="M24" i="21"/>
  <c r="M31" i="21"/>
  <c r="N39" i="20"/>
  <c r="M39" i="20"/>
  <c r="L39" i="20"/>
  <c r="N38" i="20"/>
  <c r="J32" i="20"/>
  <c r="M32" i="20"/>
  <c r="M34" i="20"/>
  <c r="J34" i="20"/>
  <c r="M35" i="20"/>
  <c r="M31" i="20"/>
  <c r="M30" i="20"/>
  <c r="M29" i="20"/>
  <c r="M27" i="20"/>
  <c r="M26" i="20"/>
  <c r="M25" i="20"/>
  <c r="M24" i="20"/>
  <c r="M23" i="20"/>
  <c r="M22" i="20"/>
  <c r="M21" i="20"/>
  <c r="M20" i="20"/>
  <c r="M18" i="20"/>
  <c r="M17" i="20"/>
  <c r="M28" i="20"/>
  <c r="K28" i="20"/>
  <c r="J28" i="20"/>
  <c r="M19" i="20"/>
  <c r="K19" i="20"/>
  <c r="J19" i="20"/>
  <c r="M16" i="20"/>
  <c r="M15" i="20"/>
  <c r="J15" i="20"/>
  <c r="M14" i="20"/>
  <c r="M38" i="20" s="1"/>
  <c r="J14" i="20"/>
  <c r="L31" i="21" l="1"/>
  <c r="L38" i="20"/>
  <c r="O58" i="19"/>
  <c r="N58" i="19"/>
  <c r="M58" i="19"/>
  <c r="O57" i="19"/>
  <c r="M57" i="19"/>
  <c r="N57" i="19"/>
  <c r="N38" i="19"/>
  <c r="N44" i="19"/>
  <c r="K44" i="19"/>
  <c r="N23" i="19"/>
  <c r="K23" i="19"/>
  <c r="N47" i="19"/>
  <c r="K47" i="19"/>
  <c r="N22" i="19"/>
  <c r="K22" i="19"/>
  <c r="N43" i="19"/>
  <c r="K43" i="19"/>
  <c r="K21" i="19"/>
  <c r="N42" i="19"/>
  <c r="K42" i="19"/>
  <c r="K16" i="19"/>
  <c r="K18" i="19"/>
  <c r="K39" i="19"/>
  <c r="K25" i="19"/>
  <c r="K46" i="19"/>
  <c r="N25" i="19"/>
  <c r="N18" i="19"/>
  <c r="N16" i="19"/>
  <c r="N21" i="19"/>
  <c r="N39" i="19"/>
  <c r="N37" i="19"/>
  <c r="N46" i="19"/>
  <c r="K37" i="19"/>
  <c r="N41" i="19" l="1"/>
  <c r="N50" i="19"/>
  <c r="N49" i="19"/>
  <c r="N52" i="19"/>
  <c r="N53" i="19"/>
  <c r="N54" i="19"/>
  <c r="N17" i="19"/>
  <c r="N20" i="19"/>
  <c r="N30" i="19"/>
  <c r="N28" i="19"/>
  <c r="N31" i="19"/>
  <c r="N32" i="19"/>
  <c r="N33" i="19"/>
  <c r="N35" i="19"/>
  <c r="N40" i="19"/>
  <c r="N45" i="19"/>
  <c r="N48" i="19"/>
  <c r="N51" i="19"/>
  <c r="N14" i="19"/>
  <c r="N24" i="19"/>
  <c r="N26" i="19"/>
  <c r="N27" i="19"/>
  <c r="N29" i="19"/>
  <c r="N36" i="19"/>
  <c r="K36" i="19"/>
  <c r="N19" i="19"/>
  <c r="K19" i="19"/>
  <c r="N15" i="19"/>
  <c r="K15" i="19"/>
  <c r="N24" i="17"/>
  <c r="M24" i="17"/>
  <c r="L24" i="17"/>
  <c r="N23" i="17"/>
  <c r="M23" i="17"/>
  <c r="L23" i="17"/>
  <c r="M18" i="17"/>
  <c r="M15" i="17"/>
  <c r="M20" i="17"/>
  <c r="M19" i="17"/>
  <c r="M17" i="17"/>
  <c r="M14" i="17"/>
  <c r="N29" i="16"/>
  <c r="M29" i="16"/>
  <c r="L29" i="16"/>
  <c r="N28" i="16"/>
  <c r="L28" i="16"/>
  <c r="M28" i="16"/>
  <c r="M21" i="16"/>
  <c r="M25" i="16"/>
  <c r="M24" i="16"/>
  <c r="M23" i="16"/>
  <c r="M20" i="16"/>
  <c r="M18" i="16"/>
  <c r="M17" i="16"/>
  <c r="M16" i="16"/>
  <c r="M15" i="16"/>
  <c r="M19" i="16"/>
  <c r="M14" i="16"/>
  <c r="J14" i="16"/>
  <c r="N30" i="15" l="1"/>
  <c r="M30" i="15"/>
  <c r="L30" i="15"/>
  <c r="M21" i="15"/>
  <c r="M26" i="15"/>
  <c r="M27" i="15"/>
  <c r="M25" i="15"/>
  <c r="J25" i="15"/>
  <c r="M24" i="15"/>
  <c r="J24" i="15"/>
  <c r="M23" i="15"/>
  <c r="J23" i="15"/>
  <c r="M22" i="15"/>
  <c r="J22" i="15"/>
  <c r="M20" i="15"/>
  <c r="J20" i="15"/>
  <c r="M19" i="15"/>
  <c r="J19" i="15"/>
  <c r="M18" i="15"/>
  <c r="J18" i="15"/>
  <c r="M17" i="15"/>
  <c r="J17" i="15"/>
  <c r="M16" i="15"/>
  <c r="J16" i="15"/>
  <c r="M15" i="15"/>
  <c r="J15" i="15"/>
  <c r="M14" i="15"/>
  <c r="J14" i="15"/>
  <c r="M44" i="14"/>
  <c r="J28" i="14"/>
  <c r="M28" i="14"/>
  <c r="J22" i="14"/>
  <c r="M22" i="14"/>
  <c r="J20" i="14"/>
  <c r="M20" i="14"/>
  <c r="J32" i="14"/>
  <c r="M32" i="14"/>
  <c r="J15" i="14"/>
  <c r="M15" i="14"/>
  <c r="J21" i="14"/>
  <c r="M21" i="14"/>
  <c r="J36" i="14"/>
  <c r="M36" i="14"/>
  <c r="M39" i="14" l="1"/>
  <c r="M37" i="14"/>
  <c r="M35" i="14"/>
  <c r="M26" i="14"/>
  <c r="M25" i="14"/>
  <c r="M23" i="14"/>
  <c r="M19" i="14"/>
  <c r="M18" i="14"/>
  <c r="M41" i="14"/>
  <c r="M40" i="14"/>
  <c r="M38" i="14"/>
  <c r="M33" i="14"/>
  <c r="M31" i="14"/>
  <c r="M29" i="14"/>
  <c r="M27" i="14"/>
  <c r="M24" i="14"/>
  <c r="M34" i="14"/>
  <c r="M17" i="14"/>
  <c r="M16" i="14"/>
  <c r="M14" i="14"/>
  <c r="M13" i="14"/>
  <c r="N45" i="14" l="1"/>
  <c r="L44" i="14"/>
  <c r="L45" i="14"/>
  <c r="M45" i="14"/>
  <c r="N44" i="14"/>
  <c r="N59" i="12"/>
  <c r="N58" i="12"/>
  <c r="L59" i="12"/>
  <c r="L58" i="12"/>
  <c r="M59" i="12"/>
  <c r="M58" i="12"/>
  <c r="J17" i="13"/>
  <c r="K17" i="13"/>
  <c r="M17" i="13"/>
  <c r="J26" i="13"/>
  <c r="M26" i="13"/>
  <c r="M52" i="13"/>
  <c r="M45" i="13"/>
  <c r="M42" i="13"/>
  <c r="M41" i="13"/>
  <c r="M40" i="13"/>
  <c r="M30" i="13"/>
  <c r="M20" i="13"/>
  <c r="M18" i="13"/>
  <c r="M16" i="13"/>
  <c r="M15" i="13"/>
  <c r="L60" i="13" s="1"/>
  <c r="H55" i="13"/>
  <c r="G55" i="13"/>
  <c r="M51" i="13"/>
  <c r="M48" i="13"/>
  <c r="M46" i="13"/>
  <c r="M35" i="13"/>
  <c r="M31" i="13"/>
  <c r="M24" i="13"/>
  <c r="M22" i="13"/>
  <c r="M57" i="13"/>
  <c r="J57" i="13"/>
  <c r="M56" i="13"/>
  <c r="J56" i="13"/>
  <c r="M54" i="13"/>
  <c r="K54" i="13"/>
  <c r="J54" i="13"/>
  <c r="M53" i="13"/>
  <c r="J53" i="13"/>
  <c r="M50" i="13"/>
  <c r="K50" i="13"/>
  <c r="J50" i="13"/>
  <c r="M49" i="13"/>
  <c r="K49" i="13"/>
  <c r="J49" i="13"/>
  <c r="M47" i="13"/>
  <c r="J47" i="13"/>
  <c r="M43" i="13"/>
  <c r="J43" i="13"/>
  <c r="M39" i="13"/>
  <c r="K39" i="13"/>
  <c r="J39" i="13"/>
  <c r="M37" i="13"/>
  <c r="J37" i="13"/>
  <c r="M36" i="13"/>
  <c r="J36" i="13"/>
  <c r="M34" i="13"/>
  <c r="J34" i="13"/>
  <c r="M33" i="13"/>
  <c r="J33" i="13"/>
  <c r="M32" i="13"/>
  <c r="J32" i="13"/>
  <c r="M29" i="13"/>
  <c r="K29" i="13"/>
  <c r="J29" i="13"/>
  <c r="M27" i="13"/>
  <c r="K27" i="13"/>
  <c r="J27" i="13"/>
  <c r="M25" i="13"/>
  <c r="K25" i="13"/>
  <c r="J25" i="13"/>
  <c r="M23" i="13"/>
  <c r="J23" i="13"/>
  <c r="M21" i="13"/>
  <c r="J21" i="13"/>
  <c r="M19" i="13"/>
  <c r="J19" i="13"/>
  <c r="M14" i="13"/>
  <c r="M60" i="13" s="1"/>
  <c r="J14" i="13"/>
  <c r="M46" i="12"/>
  <c r="M61" i="13" l="1"/>
  <c r="N60" i="13"/>
  <c r="M55" i="13"/>
  <c r="L61" i="13" s="1"/>
  <c r="M23" i="12"/>
  <c r="M37" i="12"/>
  <c r="M41" i="12"/>
  <c r="M42" i="12"/>
  <c r="M44" i="12"/>
  <c r="M48" i="12"/>
  <c r="M51" i="12"/>
  <c r="M14" i="12"/>
  <c r="M21" i="12"/>
  <c r="M20" i="12"/>
  <c r="M27" i="12"/>
  <c r="M36" i="12"/>
  <c r="M39" i="12"/>
  <c r="M55" i="12"/>
  <c r="K55" i="12"/>
  <c r="J55" i="12"/>
  <c r="M54" i="12"/>
  <c r="J54" i="12"/>
  <c r="M53" i="12"/>
  <c r="J53" i="12"/>
  <c r="M52" i="12"/>
  <c r="J52" i="12"/>
  <c r="M50" i="12"/>
  <c r="J50" i="12"/>
  <c r="K49" i="12"/>
  <c r="J49" i="12"/>
  <c r="M47" i="12"/>
  <c r="K47" i="12"/>
  <c r="J47" i="12"/>
  <c r="M43" i="12"/>
  <c r="J43" i="12"/>
  <c r="M40" i="12"/>
  <c r="K40" i="12"/>
  <c r="J40" i="12"/>
  <c r="M38" i="12"/>
  <c r="K38" i="12"/>
  <c r="J38" i="12"/>
  <c r="J35" i="12"/>
  <c r="M34" i="12"/>
  <c r="J34" i="12"/>
  <c r="M33" i="12"/>
  <c r="J33" i="12"/>
  <c r="K32" i="12"/>
  <c r="J32" i="12"/>
  <c r="K31" i="12"/>
  <c r="J31" i="12"/>
  <c r="K30" i="12"/>
  <c r="J30" i="12"/>
  <c r="M29" i="12"/>
  <c r="K29" i="12"/>
  <c r="J29" i="12"/>
  <c r="M28" i="12"/>
  <c r="K28" i="12"/>
  <c r="J28" i="12"/>
  <c r="M26" i="12"/>
  <c r="J26" i="12"/>
  <c r="K25" i="12"/>
  <c r="J25" i="12"/>
  <c r="K24" i="12"/>
  <c r="J24" i="12"/>
  <c r="M22" i="12"/>
  <c r="K22" i="12"/>
  <c r="J22" i="12"/>
  <c r="M19" i="12"/>
  <c r="J19" i="12"/>
  <c r="M17" i="12"/>
  <c r="J17" i="12"/>
  <c r="M16" i="12"/>
  <c r="K16" i="12"/>
  <c r="J16" i="12"/>
  <c r="M15" i="12"/>
  <c r="J15" i="12"/>
  <c r="N61" i="13" l="1"/>
</calcChain>
</file>

<file path=xl/sharedStrings.xml><?xml version="1.0" encoding="utf-8"?>
<sst xmlns="http://schemas.openxmlformats.org/spreadsheetml/2006/main" count="865" uniqueCount="148">
  <si>
    <t xml:space="preserve">Type </t>
  </si>
  <si>
    <t>LPP (M)</t>
  </si>
  <si>
    <t>(m)</t>
  </si>
  <si>
    <t>m3</t>
  </si>
  <si>
    <t>Ballast</t>
  </si>
  <si>
    <t>m</t>
  </si>
  <si>
    <t xml:space="preserve"> </t>
  </si>
  <si>
    <t>KG (m)</t>
  </si>
  <si>
    <t>LCG (m)</t>
  </si>
  <si>
    <t>-</t>
  </si>
  <si>
    <t>25000 DWT</t>
  </si>
  <si>
    <t>ballast</t>
  </si>
  <si>
    <t>Coefficient</t>
  </si>
  <si>
    <t>6600 DWT</t>
  </si>
  <si>
    <t>6400 DWT</t>
  </si>
  <si>
    <t>56 000 DWT</t>
  </si>
  <si>
    <t>70 000 DWT</t>
  </si>
  <si>
    <t>160 000 DWT</t>
  </si>
  <si>
    <t>200 000 DWT</t>
  </si>
  <si>
    <t>400 000 DWT</t>
  </si>
  <si>
    <t>75 000 DWT</t>
  </si>
  <si>
    <t>100 000 DWT</t>
  </si>
  <si>
    <t>150 000 DWT</t>
  </si>
  <si>
    <t>315 000 DWT</t>
  </si>
  <si>
    <t>C1is in the range of 0.5 to 2 depending on ship condition. C1=1 is a good mean value.</t>
  </si>
  <si>
    <t xml:space="preserve">with </t>
  </si>
  <si>
    <t>or</t>
  </si>
  <si>
    <t>Breadth (m) B:</t>
  </si>
  <si>
    <t>Full load draft (m):</t>
  </si>
  <si>
    <t>125000 DWT</t>
  </si>
  <si>
    <t>220000 DWT</t>
  </si>
  <si>
    <t>165000 DWT</t>
  </si>
  <si>
    <t>200000 DWT</t>
  </si>
  <si>
    <t>Panamax</t>
  </si>
  <si>
    <t>40000 DWT</t>
  </si>
  <si>
    <t>80000 m3</t>
  </si>
  <si>
    <t>58 000 DWT</t>
  </si>
  <si>
    <t>14 000 DWT</t>
  </si>
  <si>
    <t>27 000 DWT</t>
  </si>
  <si>
    <t>110 000 DWT</t>
  </si>
  <si>
    <t>Windage area</t>
  </si>
  <si>
    <t>Lateral</t>
  </si>
  <si>
    <t>m2</t>
  </si>
  <si>
    <t>Frontal</t>
  </si>
  <si>
    <t>4000 DWT</t>
  </si>
  <si>
    <t>40 000 DWT</t>
  </si>
  <si>
    <t>156 000 DWT</t>
  </si>
  <si>
    <t>250 000 DWT</t>
  </si>
  <si>
    <t>300 000 DWT</t>
  </si>
  <si>
    <t>85 000 DWT</t>
  </si>
  <si>
    <t>35 000 DWT</t>
  </si>
  <si>
    <t>340 000 DWT</t>
  </si>
  <si>
    <t>88 000 DWT</t>
  </si>
  <si>
    <t>Load Cond.</t>
  </si>
  <si>
    <t>LOA (m)</t>
  </si>
  <si>
    <t>Breadth (m)</t>
  </si>
  <si>
    <t>Aft</t>
  </si>
  <si>
    <t>Displacement</t>
  </si>
  <si>
    <t>Loaded</t>
  </si>
  <si>
    <t>Partly loaded</t>
  </si>
  <si>
    <t>Half loaded</t>
  </si>
  <si>
    <t>Draught (m)</t>
  </si>
  <si>
    <t>Fore</t>
  </si>
  <si>
    <t>Metacentric height GM</t>
  </si>
  <si>
    <t>GM / Mean draught</t>
  </si>
  <si>
    <t>12 500 TEU</t>
  </si>
  <si>
    <t>12 000 TEU</t>
  </si>
  <si>
    <t xml:space="preserve"> ? TEU</t>
  </si>
  <si>
    <t>? TEU</t>
  </si>
  <si>
    <t>8500 TEU</t>
  </si>
  <si>
    <t>6350 TEU</t>
  </si>
  <si>
    <t>4400 TEU</t>
  </si>
  <si>
    <t>4300 TEU</t>
  </si>
  <si>
    <t>4100 TEU</t>
  </si>
  <si>
    <t>3860 TEU</t>
  </si>
  <si>
    <t>2500 TEU</t>
  </si>
  <si>
    <t>2800 TEU</t>
  </si>
  <si>
    <t>2680 TEU</t>
  </si>
  <si>
    <t>1100 TEU</t>
  </si>
  <si>
    <t>11 000 TEU</t>
  </si>
  <si>
    <t>8000 TEU</t>
  </si>
  <si>
    <t>3600 TEU</t>
  </si>
  <si>
    <t>GM / M.Draught (Loaded ship):</t>
  </si>
  <si>
    <t>GM / M.Draught (Ballast or partly loaded):</t>
  </si>
  <si>
    <t>1200 TEU</t>
  </si>
  <si>
    <t>1450 TEU</t>
  </si>
  <si>
    <t>2200 TEU</t>
  </si>
  <si>
    <t>12000 TEU</t>
  </si>
  <si>
    <t>Longitudinal and vertical COG (vs. LPP/2 and base keel)</t>
  </si>
  <si>
    <t>Tanker</t>
  </si>
  <si>
    <t>Container Ship</t>
  </si>
  <si>
    <t>Min</t>
  </si>
  <si>
    <t>Mean</t>
  </si>
  <si>
    <t>Max</t>
  </si>
  <si>
    <t>Bulk Carrier</t>
  </si>
  <si>
    <t>84 000 DWT</t>
  </si>
  <si>
    <t>80 000 DWT</t>
  </si>
  <si>
    <t>50 900 DWT</t>
  </si>
  <si>
    <t>18 000 TEU</t>
  </si>
  <si>
    <t>18 800 TEU</t>
  </si>
  <si>
    <t>Cruise ship</t>
  </si>
  <si>
    <t>Coaster</t>
  </si>
  <si>
    <t>80 000 m3</t>
  </si>
  <si>
    <t>40 000 m3</t>
  </si>
  <si>
    <t>LPG Carrier</t>
  </si>
  <si>
    <t>Spherical</t>
  </si>
  <si>
    <t>Prismatic</t>
  </si>
  <si>
    <t>145 000 m3</t>
  </si>
  <si>
    <t>173 400 m3</t>
  </si>
  <si>
    <t>216 000 m3</t>
  </si>
  <si>
    <t>253 000 m3</t>
  </si>
  <si>
    <t>202 000 m3</t>
  </si>
  <si>
    <t>266 000 m3</t>
  </si>
  <si>
    <t>253000 m3</t>
  </si>
  <si>
    <t>135 000 m3</t>
  </si>
  <si>
    <t>138 000 m3</t>
  </si>
  <si>
    <t>165 000 m3</t>
  </si>
  <si>
    <t>267 000 m3</t>
  </si>
  <si>
    <t>205 000 m3</t>
  </si>
  <si>
    <t>170 200 m3</t>
  </si>
  <si>
    <t>3 556 m3</t>
  </si>
  <si>
    <t>18 928 m3</t>
  </si>
  <si>
    <t>250 000 m3</t>
  </si>
  <si>
    <t>LNG Carrier</t>
  </si>
  <si>
    <t>Ro-Ro</t>
  </si>
  <si>
    <t>Car carrier</t>
  </si>
  <si>
    <t>Ferry</t>
  </si>
  <si>
    <t>Tug+2x2 barges</t>
  </si>
  <si>
    <t>Tug+1barge</t>
  </si>
  <si>
    <t>Tug+2barges</t>
  </si>
  <si>
    <t>River boat</t>
  </si>
  <si>
    <t>Loaded (Containers)</t>
  </si>
  <si>
    <t>Peniche</t>
  </si>
  <si>
    <t>River cruise</t>
  </si>
  <si>
    <t>Ferry - RoRo</t>
  </si>
  <si>
    <t>Estimation of GM</t>
  </si>
  <si>
    <t>Initial data</t>
  </si>
  <si>
    <t>Lpp (m)</t>
  </si>
  <si>
    <t>Estimation of GM and KG for loaded ships</t>
  </si>
  <si>
    <t>Displacement (m3):</t>
  </si>
  <si>
    <t>CB:</t>
  </si>
  <si>
    <t>C1=</t>
  </si>
  <si>
    <t>Type of ship:</t>
  </si>
  <si>
    <t>Other estimation of GM according to this table:</t>
  </si>
  <si>
    <t>Estimation of KG</t>
  </si>
  <si>
    <t>This estimation is based on the following publication:</t>
  </si>
  <si>
    <t>a) PIANC, 2014, " Harbour approach channels design guidelines", Report n°121, Maritime Navigation Commission</t>
  </si>
  <si>
    <t>115 000 DWT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</si>
</sst>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0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1" fillId="0" borderId="0"/>
    <xf numFmtId="0" fontId="3" fillId="0" borderId="0"/>
  </cellStyleXfs>
  <cellXfs count="23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/>
    <xf numFmtId="164" fontId="0" fillId="0" borderId="6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0" fontId="2" fillId="0" borderId="0" xfId="0" applyFont="1" applyBorder="1" applyAlignment="1"/>
    <xf numFmtId="2" fontId="0" fillId="0" borderId="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7" xfId="0" applyNumberFormat="1" applyBorder="1" applyAlignment="1">
      <alignment horizontal="center" wrapText="1"/>
    </xf>
    <xf numFmtId="0" fontId="0" fillId="0" borderId="19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wrapText="1"/>
    </xf>
    <xf numFmtId="0" fontId="0" fillId="0" borderId="2" xfId="0" applyFont="1" applyFill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5" fontId="0" fillId="0" borderId="27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Fill="1" applyAlignment="1"/>
    <xf numFmtId="0" fontId="6" fillId="0" borderId="0" xfId="0" applyFont="1"/>
    <xf numFmtId="0" fontId="0" fillId="0" borderId="32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5" fontId="0" fillId="2" borderId="15" xfId="0" applyNumberFormat="1" applyFill="1" applyBorder="1" applyAlignment="1">
      <alignment horizontal="center"/>
    </xf>
    <xf numFmtId="165" fontId="0" fillId="0" borderId="36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34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3" xfId="0" applyFont="1" applyBorder="1" applyAlignment="1">
      <alignment horizontal="center" wrapText="1"/>
    </xf>
    <xf numFmtId="0" fontId="0" fillId="0" borderId="13" xfId="0" applyFont="1" applyFill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34" xfId="0" applyBorder="1" applyAlignment="1">
      <alignment horizontal="center"/>
    </xf>
    <xf numFmtId="164" fontId="0" fillId="0" borderId="0" xfId="0" applyNumberFormat="1" applyBorder="1" applyAlignment="1">
      <alignment horizontal="center" wrapText="1"/>
    </xf>
    <xf numFmtId="0" fontId="0" fillId="0" borderId="16" xfId="0" applyFill="1" applyBorder="1" applyAlignment="1">
      <alignment horizontal="center"/>
    </xf>
    <xf numFmtId="165" fontId="0" fillId="0" borderId="7" xfId="0" applyNumberFormat="1" applyFon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165" fontId="0" fillId="0" borderId="33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164" fontId="0" fillId="0" borderId="36" xfId="0" applyNumberFormat="1" applyBorder="1" applyAlignment="1">
      <alignment horizontal="center"/>
    </xf>
    <xf numFmtId="2" fontId="0" fillId="0" borderId="2" xfId="0" applyNumberFormat="1" applyFont="1" applyFill="1" applyBorder="1" applyAlignment="1">
      <alignment horizontal="center"/>
    </xf>
    <xf numFmtId="2" fontId="0" fillId="0" borderId="13" xfId="0" applyNumberFormat="1" applyFont="1" applyFill="1" applyBorder="1" applyAlignment="1">
      <alignment horizontal="center"/>
    </xf>
    <xf numFmtId="165" fontId="0" fillId="0" borderId="29" xfId="0" applyNumberFormat="1" applyBorder="1" applyAlignment="1">
      <alignment horizontal="center"/>
    </xf>
    <xf numFmtId="0" fontId="0" fillId="0" borderId="0" xfId="0" applyBorder="1"/>
    <xf numFmtId="165" fontId="0" fillId="0" borderId="18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15" xfId="0" applyNumberFormat="1" applyFill="1" applyBorder="1" applyAlignment="1">
      <alignment horizontal="center"/>
    </xf>
    <xf numFmtId="164" fontId="0" fillId="0" borderId="27" xfId="0" applyNumberFormat="1" applyBorder="1" applyAlignment="1">
      <alignment horizontal="center" wrapText="1"/>
    </xf>
    <xf numFmtId="0" fontId="0" fillId="0" borderId="14" xfId="0" applyFont="1" applyBorder="1" applyAlignment="1">
      <alignment horizontal="center"/>
    </xf>
    <xf numFmtId="164" fontId="0" fillId="0" borderId="36" xfId="0" applyNumberFormat="1" applyBorder="1" applyAlignment="1">
      <alignment horizontal="center" wrapText="1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7" xfId="0" applyNumberFormat="1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164" fontId="0" fillId="0" borderId="17" xfId="0" applyNumberFormat="1" applyFont="1" applyFill="1" applyBorder="1" applyAlignment="1">
      <alignment horizontal="center"/>
    </xf>
    <xf numFmtId="0" fontId="0" fillId="0" borderId="35" xfId="0" applyBorder="1" applyAlignment="1">
      <alignment horizontal="center" wrapText="1"/>
    </xf>
    <xf numFmtId="0" fontId="0" fillId="2" borderId="9" xfId="0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65" fontId="0" fillId="2" borderId="10" xfId="0" applyNumberFormat="1" applyFill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165" fontId="10" fillId="5" borderId="24" xfId="0" applyNumberFormat="1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0" fillId="0" borderId="12" xfId="0" applyBorder="1" applyAlignment="1">
      <alignment horizontal="center" wrapText="1"/>
    </xf>
    <xf numFmtId="0" fontId="2" fillId="5" borderId="35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0" fillId="0" borderId="16" xfId="0" applyBorder="1" applyAlignment="1">
      <alignment horizontal="center" wrapText="1"/>
    </xf>
    <xf numFmtId="165" fontId="0" fillId="0" borderId="25" xfId="0" applyNumberFormat="1" applyBorder="1" applyAlignment="1">
      <alignment horizontal="center"/>
    </xf>
    <xf numFmtId="165" fontId="10" fillId="5" borderId="20" xfId="0" applyNumberFormat="1" applyFont="1" applyFill="1" applyBorder="1" applyAlignment="1">
      <alignment horizontal="center"/>
    </xf>
    <xf numFmtId="165" fontId="10" fillId="5" borderId="9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 wrapText="1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1" fontId="0" fillId="0" borderId="42" xfId="0" applyNumberFormat="1" applyFill="1" applyBorder="1" applyAlignment="1">
      <alignment horizontal="center"/>
    </xf>
    <xf numFmtId="1" fontId="0" fillId="0" borderId="43" xfId="0" applyNumberFormat="1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1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7" xfId="0" applyFont="1" applyBorder="1" applyAlignment="1">
      <alignment horizontal="center" wrapText="1"/>
    </xf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0" fillId="0" borderId="1" xfId="0" applyBorder="1"/>
    <xf numFmtId="0" fontId="0" fillId="0" borderId="15" xfId="0" applyBorder="1"/>
    <xf numFmtId="0" fontId="0" fillId="0" borderId="12" xfId="0" applyBorder="1"/>
    <xf numFmtId="0" fontId="0" fillId="0" borderId="14" xfId="0" applyBorder="1"/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0" fillId="2" borderId="2" xfId="0" applyFill="1" applyBorder="1" applyAlignment="1"/>
    <xf numFmtId="3" fontId="0" fillId="0" borderId="1" xfId="0" applyNumberFormat="1" applyBorder="1" applyAlignment="1">
      <alignment horizontal="center"/>
    </xf>
    <xf numFmtId="0" fontId="0" fillId="2" borderId="1" xfId="0" applyFill="1" applyBorder="1" applyAlignment="1"/>
    <xf numFmtId="0" fontId="0" fillId="2" borderId="15" xfId="0" applyFill="1" applyBorder="1" applyAlignment="1"/>
    <xf numFmtId="0" fontId="0" fillId="4" borderId="12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4" borderId="32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 wrapText="1"/>
    </xf>
    <xf numFmtId="165" fontId="0" fillId="0" borderId="34" xfId="0" applyNumberFormat="1" applyFont="1" applyBorder="1" applyAlignment="1">
      <alignment horizontal="center"/>
    </xf>
    <xf numFmtId="1" fontId="0" fillId="0" borderId="32" xfId="0" applyNumberFormat="1" applyFont="1" applyFill="1" applyBorder="1" applyAlignment="1">
      <alignment horizontal="center"/>
    </xf>
    <xf numFmtId="1" fontId="0" fillId="0" borderId="34" xfId="0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3" borderId="47" xfId="0" applyFont="1" applyFill="1" applyBorder="1" applyAlignment="1">
      <alignment horizontal="center"/>
    </xf>
    <xf numFmtId="0" fontId="0" fillId="3" borderId="37" xfId="0" applyFont="1" applyFill="1" applyBorder="1" applyAlignment="1">
      <alignment horizontal="center"/>
    </xf>
    <xf numFmtId="0" fontId="0" fillId="3" borderId="4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2" fontId="4" fillId="3" borderId="24" xfId="0" applyNumberFormat="1" applyFont="1" applyFill="1" applyBorder="1" applyAlignment="1">
      <alignment horizontal="center"/>
    </xf>
    <xf numFmtId="164" fontId="0" fillId="2" borderId="2" xfId="0" applyNumberFormat="1" applyFill="1" applyBorder="1" applyAlignment="1" applyProtection="1">
      <alignment horizontal="center"/>
      <protection locked="0"/>
    </xf>
    <xf numFmtId="0" fontId="0" fillId="2" borderId="49" xfId="0" applyFont="1" applyFill="1" applyBorder="1" applyAlignment="1" applyProtection="1">
      <alignment horizontal="center"/>
      <protection locked="0"/>
    </xf>
    <xf numFmtId="0" fontId="0" fillId="2" borderId="50" xfId="0" applyFont="1" applyFill="1" applyBorder="1" applyAlignment="1" applyProtection="1">
      <alignment horizontal="center"/>
      <protection locked="0"/>
    </xf>
    <xf numFmtId="2" fontId="0" fillId="2" borderId="51" xfId="0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4" fillId="0" borderId="0" xfId="0" applyFont="1" applyAlignment="1">
      <alignment horizontal="left"/>
    </xf>
    <xf numFmtId="0" fontId="13" fillId="0" borderId="0" xfId="1" applyFont="1"/>
    <xf numFmtId="0" fontId="11" fillId="0" borderId="0" xfId="1"/>
    <xf numFmtId="0" fontId="14" fillId="0" borderId="0" xfId="1" quotePrefix="1" applyFont="1"/>
    <xf numFmtId="0" fontId="3" fillId="0" borderId="0" xfId="2"/>
    <xf numFmtId="0" fontId="3" fillId="0" borderId="0" xfId="0" applyFont="1" applyBorder="1" applyAlignment="1">
      <alignment horizontal="left" wrapText="1"/>
    </xf>
    <xf numFmtId="0" fontId="12" fillId="6" borderId="3" xfId="0" applyFont="1" applyFill="1" applyBorder="1" applyAlignment="1">
      <alignment horizontal="center"/>
    </xf>
    <xf numFmtId="0" fontId="12" fillId="6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26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wrapText="1"/>
    </xf>
    <xf numFmtId="0" fontId="2" fillId="5" borderId="17" xfId="0" applyFont="1" applyFill="1" applyBorder="1" applyAlignment="1">
      <alignment horizontal="center" wrapText="1"/>
    </xf>
    <xf numFmtId="0" fontId="2" fillId="5" borderId="13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165" fontId="0" fillId="2" borderId="4" xfId="0" applyNumberFormat="1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165" fontId="0" fillId="2" borderId="37" xfId="0" applyNumberFormat="1" applyFill="1" applyBorder="1" applyAlignment="1">
      <alignment horizontal="center"/>
    </xf>
    <xf numFmtId="165" fontId="0" fillId="2" borderId="38" xfId="0" applyNumberForma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45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2" fillId="5" borderId="46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colors>
    <mruColors>
      <color rgb="FFFF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180975</xdr:colOff>
      <xdr:row>31</xdr:row>
      <xdr:rowOff>41275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898255" cy="4529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15</xdr:row>
      <xdr:rowOff>120015</xdr:rowOff>
    </xdr:from>
    <xdr:to>
      <xdr:col>2</xdr:col>
      <xdr:colOff>266700</xdr:colOff>
      <xdr:row>20</xdr:row>
      <xdr:rowOff>106680</xdr:rowOff>
    </xdr:to>
    <xdr:pic>
      <xdr:nvPicPr>
        <xdr:cNvPr id="6" name="Image 2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642235"/>
          <a:ext cx="1432560" cy="9544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365760</xdr:colOff>
      <xdr:row>23</xdr:row>
      <xdr:rowOff>19754</xdr:rowOff>
    </xdr:from>
    <xdr:to>
      <xdr:col>3</xdr:col>
      <xdr:colOff>708660</xdr:colOff>
      <xdr:row>35</xdr:row>
      <xdr:rowOff>125729</xdr:rowOff>
    </xdr:to>
    <xdr:pic>
      <xdr:nvPicPr>
        <xdr:cNvPr id="8" name="Image 2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" y="4248854"/>
          <a:ext cx="3268980" cy="231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161925</xdr:colOff>
      <xdr:row>23</xdr:row>
      <xdr:rowOff>179070</xdr:rowOff>
    </xdr:from>
    <xdr:to>
      <xdr:col>4</xdr:col>
      <xdr:colOff>695325</xdr:colOff>
      <xdr:row>25</xdr:row>
      <xdr:rowOff>171450</xdr:rowOff>
    </xdr:to>
    <xdr:pic>
      <xdr:nvPicPr>
        <xdr:cNvPr id="9" name="Image 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0485" y="4408170"/>
          <a:ext cx="53340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114300</xdr:colOff>
      <xdr:row>19</xdr:row>
      <xdr:rowOff>0</xdr:rowOff>
    </xdr:from>
    <xdr:to>
      <xdr:col>4</xdr:col>
      <xdr:colOff>647700</xdr:colOff>
      <xdr:row>20</xdr:row>
      <xdr:rowOff>175260</xdr:rowOff>
    </xdr:to>
    <xdr:pic>
      <xdr:nvPicPr>
        <xdr:cNvPr id="10" name="Image 3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2860" y="3497580"/>
          <a:ext cx="533400" cy="36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</xdr:colOff>
      <xdr:row>39</xdr:row>
      <xdr:rowOff>30480</xdr:rowOff>
    </xdr:from>
    <xdr:to>
      <xdr:col>3</xdr:col>
      <xdr:colOff>483870</xdr:colOff>
      <xdr:row>43</xdr:row>
      <xdr:rowOff>7620</xdr:rowOff>
    </xdr:to>
    <xdr:pic>
      <xdr:nvPicPr>
        <xdr:cNvPr id="12" name="Image 37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7231380"/>
          <a:ext cx="260985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12</xdr:col>
      <xdr:colOff>321945</xdr:colOff>
      <xdr:row>42</xdr:row>
      <xdr:rowOff>19050</xdr:rowOff>
    </xdr:to>
    <xdr:pic>
      <xdr:nvPicPr>
        <xdr:cNvPr id="13" name="Image 42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7566660"/>
          <a:ext cx="50768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5</xdr:col>
      <xdr:colOff>310515</xdr:colOff>
      <xdr:row>49</xdr:row>
      <xdr:rowOff>24765</xdr:rowOff>
    </xdr:to>
    <xdr:pic>
      <xdr:nvPicPr>
        <xdr:cNvPr id="15" name="Image 3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8298180"/>
          <a:ext cx="4029075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0</xdr:colOff>
      <xdr:row>47</xdr:row>
      <xdr:rowOff>0</xdr:rowOff>
    </xdr:from>
    <xdr:to>
      <xdr:col>14</xdr:col>
      <xdr:colOff>531495</xdr:colOff>
      <xdr:row>48</xdr:row>
      <xdr:rowOff>28575</xdr:rowOff>
    </xdr:to>
    <xdr:pic>
      <xdr:nvPicPr>
        <xdr:cNvPr id="17" name="Image 4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8480" y="8663940"/>
          <a:ext cx="52863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15240</xdr:colOff>
      <xdr:row>51</xdr:row>
      <xdr:rowOff>68580</xdr:rowOff>
    </xdr:from>
    <xdr:to>
      <xdr:col>2</xdr:col>
      <xdr:colOff>815340</xdr:colOff>
      <xdr:row>53</xdr:row>
      <xdr:rowOff>59055</xdr:rowOff>
    </xdr:to>
    <xdr:pic>
      <xdr:nvPicPr>
        <xdr:cNvPr id="19" name="Image 39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7720" y="9464040"/>
          <a:ext cx="200406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362116</xdr:colOff>
      <xdr:row>52</xdr:row>
      <xdr:rowOff>137160</xdr:rowOff>
    </xdr:from>
    <xdr:to>
      <xdr:col>10</xdr:col>
      <xdr:colOff>645795</xdr:colOff>
      <xdr:row>53</xdr:row>
      <xdr:rowOff>188595</xdr:rowOff>
    </xdr:to>
    <xdr:pic>
      <xdr:nvPicPr>
        <xdr:cNvPr id="20" name="Image 41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80676" y="9753600"/>
          <a:ext cx="5038559" cy="24193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0" zoomScaleNormal="80" workbookViewId="0">
      <selection activeCell="P31" sqref="P31"/>
    </sheetView>
  </sheetViews>
  <sheetFormatPr baseColWidth="10" defaultRowHeight="11.4" x14ac:dyDescent="0.2"/>
  <cols>
    <col min="1" max="16384" width="11.5546875" style="196"/>
  </cols>
  <sheetData/>
  <sheetProtection sheet="1" objects="1" scenarios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39"/>
  <sheetViews>
    <sheetView topLeftCell="A7" zoomScale="80" zoomScaleNormal="80" workbookViewId="0">
      <selection activeCell="I9" sqref="I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33203125" customWidth="1"/>
    <col min="13" max="13" width="11.1093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208" t="s">
        <v>134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57.9" customHeight="1" x14ac:dyDescent="0.3">
      <c r="B12" s="213" t="s">
        <v>0</v>
      </c>
      <c r="C12" s="215" t="s">
        <v>53</v>
      </c>
      <c r="D12" s="159" t="s">
        <v>54</v>
      </c>
      <c r="E12" s="159" t="s">
        <v>1</v>
      </c>
      <c r="F12" s="159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58" t="s">
        <v>63</v>
      </c>
      <c r="M12" s="117" t="s">
        <v>64</v>
      </c>
      <c r="N12" s="116" t="s">
        <v>41</v>
      </c>
      <c r="O12" s="117" t="s">
        <v>43</v>
      </c>
    </row>
    <row r="13" spans="2:15" ht="33.9" customHeight="1" thickBot="1" x14ac:dyDescent="0.35">
      <c r="B13" s="214"/>
      <c r="C13" s="216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21" t="s">
        <v>12</v>
      </c>
      <c r="N13" s="157" t="s">
        <v>42</v>
      </c>
      <c r="O13" s="121" t="s">
        <v>42</v>
      </c>
    </row>
    <row r="14" spans="2:15" ht="15.9" customHeight="1" x14ac:dyDescent="0.3">
      <c r="B14" s="170" t="s">
        <v>126</v>
      </c>
      <c r="C14" s="171" t="s">
        <v>58</v>
      </c>
      <c r="D14" s="67">
        <v>40.1</v>
      </c>
      <c r="E14" s="67">
        <v>37.700000000000003</v>
      </c>
      <c r="F14" s="67">
        <v>9.1</v>
      </c>
      <c r="G14" s="67">
        <v>2.92</v>
      </c>
      <c r="H14" s="67">
        <v>3.51</v>
      </c>
      <c r="I14" s="67">
        <v>476.3</v>
      </c>
      <c r="J14" s="72">
        <f>0.0104*E14</f>
        <v>0.39207999999999998</v>
      </c>
      <c r="K14" s="68"/>
      <c r="L14" s="68">
        <v>-0.88</v>
      </c>
      <c r="M14" s="172">
        <f t="shared" ref="M14:M31" si="0">L14/((G14+H14)/2)</f>
        <v>-0.27371695178849148</v>
      </c>
      <c r="N14" s="173">
        <v>241</v>
      </c>
      <c r="O14" s="174">
        <v>65</v>
      </c>
    </row>
    <row r="15" spans="2:15" x14ac:dyDescent="0.3">
      <c r="B15" s="167" t="s">
        <v>126</v>
      </c>
      <c r="C15" s="166" t="s">
        <v>58</v>
      </c>
      <c r="D15" s="3">
        <v>48.7</v>
      </c>
      <c r="E15" s="3">
        <v>42.9</v>
      </c>
      <c r="F15" s="3">
        <v>12.1</v>
      </c>
      <c r="G15" s="3">
        <v>2.63</v>
      </c>
      <c r="H15" s="3">
        <v>2.63</v>
      </c>
      <c r="I15" s="3">
        <v>901.3</v>
      </c>
      <c r="J15" s="6">
        <f>-0.027*E15</f>
        <v>-1.1582999999999999</v>
      </c>
      <c r="K15" s="6"/>
      <c r="L15" s="3">
        <v>1.28</v>
      </c>
      <c r="M15" s="10">
        <f t="shared" si="0"/>
        <v>0.48669201520912553</v>
      </c>
      <c r="N15" s="168">
        <v>637</v>
      </c>
      <c r="O15" s="169">
        <v>199</v>
      </c>
    </row>
    <row r="16" spans="2:15" x14ac:dyDescent="0.3">
      <c r="B16" s="167" t="s">
        <v>126</v>
      </c>
      <c r="C16" s="166" t="s">
        <v>58</v>
      </c>
      <c r="D16" s="3">
        <v>49.5</v>
      </c>
      <c r="E16" s="3">
        <v>47.3</v>
      </c>
      <c r="F16" s="3">
        <v>12</v>
      </c>
      <c r="G16" s="3">
        <v>2.85</v>
      </c>
      <c r="H16" s="3">
        <v>2.85</v>
      </c>
      <c r="I16" s="3">
        <v>855</v>
      </c>
      <c r="J16" s="6">
        <v>0</v>
      </c>
      <c r="K16" s="6"/>
      <c r="L16" s="3">
        <v>1.1000000000000001</v>
      </c>
      <c r="M16" s="10">
        <f t="shared" si="0"/>
        <v>0.38596491228070179</v>
      </c>
      <c r="N16" s="168">
        <v>420</v>
      </c>
      <c r="O16" s="169">
        <v>185</v>
      </c>
    </row>
    <row r="17" spans="2:15" x14ac:dyDescent="0.3">
      <c r="B17" s="1" t="s">
        <v>124</v>
      </c>
      <c r="C17" s="3" t="s">
        <v>58</v>
      </c>
      <c r="D17" s="3">
        <v>126.5</v>
      </c>
      <c r="E17" s="3">
        <v>117</v>
      </c>
      <c r="F17" s="3">
        <v>20.6</v>
      </c>
      <c r="G17" s="3">
        <v>5.5</v>
      </c>
      <c r="H17" s="3">
        <v>5.5</v>
      </c>
      <c r="I17" s="3">
        <v>9300</v>
      </c>
      <c r="J17" s="6">
        <v>-7.3</v>
      </c>
      <c r="K17" s="6">
        <v>8.4</v>
      </c>
      <c r="L17" s="3">
        <v>2.4</v>
      </c>
      <c r="M17" s="10">
        <f t="shared" si="0"/>
        <v>0.43636363636363634</v>
      </c>
      <c r="N17" s="142">
        <v>2480</v>
      </c>
      <c r="O17" s="143">
        <v>420</v>
      </c>
    </row>
    <row r="18" spans="2:15" x14ac:dyDescent="0.3">
      <c r="B18" s="24" t="s">
        <v>126</v>
      </c>
      <c r="C18" s="26" t="s">
        <v>58</v>
      </c>
      <c r="D18" s="25">
        <v>145</v>
      </c>
      <c r="E18" s="25">
        <v>131</v>
      </c>
      <c r="F18" s="25">
        <v>26</v>
      </c>
      <c r="G18" s="25">
        <v>6</v>
      </c>
      <c r="H18" s="25">
        <v>6</v>
      </c>
      <c r="I18" s="98">
        <v>11000</v>
      </c>
      <c r="J18" s="27">
        <v>-3.9</v>
      </c>
      <c r="K18" s="27">
        <v>8.74</v>
      </c>
      <c r="L18" s="27">
        <v>2.4</v>
      </c>
      <c r="M18" s="10">
        <f t="shared" si="0"/>
        <v>0.39999999999999997</v>
      </c>
      <c r="N18" s="1">
        <v>3450</v>
      </c>
      <c r="O18" s="16">
        <v>670</v>
      </c>
    </row>
    <row r="19" spans="2:15" x14ac:dyDescent="0.3">
      <c r="B19" s="167" t="s">
        <v>126</v>
      </c>
      <c r="C19" s="166" t="s">
        <v>58</v>
      </c>
      <c r="D19" s="3">
        <v>152</v>
      </c>
      <c r="E19" s="3">
        <v>143.19999999999999</v>
      </c>
      <c r="F19" s="3">
        <v>23.1</v>
      </c>
      <c r="G19" s="3">
        <v>5.0999999999999996</v>
      </c>
      <c r="H19" s="3">
        <v>5.0999999999999996</v>
      </c>
      <c r="I19" s="3">
        <v>10015</v>
      </c>
      <c r="J19" s="6">
        <f>-0.039*E19</f>
        <v>-5.5847999999999995</v>
      </c>
      <c r="K19" s="6">
        <f>(G19+H19)/2-(-0.63137*(G19+H19)/2)</f>
        <v>8.3199869999999994</v>
      </c>
      <c r="L19" s="6">
        <v>4.9000000000000004</v>
      </c>
      <c r="M19" s="10">
        <f t="shared" si="0"/>
        <v>0.96078431372549034</v>
      </c>
      <c r="N19" s="168">
        <v>2400</v>
      </c>
      <c r="O19" s="169">
        <v>476</v>
      </c>
    </row>
    <row r="20" spans="2:15" x14ac:dyDescent="0.3">
      <c r="B20" s="24" t="s">
        <v>126</v>
      </c>
      <c r="C20" s="26" t="s">
        <v>58</v>
      </c>
      <c r="D20" s="25">
        <v>154.9</v>
      </c>
      <c r="E20" s="25">
        <v>133.5</v>
      </c>
      <c r="F20" s="25">
        <v>28</v>
      </c>
      <c r="G20" s="25">
        <v>6.32</v>
      </c>
      <c r="H20" s="25">
        <v>6.32</v>
      </c>
      <c r="I20" s="98">
        <v>15643</v>
      </c>
      <c r="J20" s="147">
        <v>-6</v>
      </c>
      <c r="K20" s="27">
        <v>10</v>
      </c>
      <c r="L20" s="27">
        <v>2</v>
      </c>
      <c r="M20" s="10">
        <f t="shared" si="0"/>
        <v>0.31645569620253161</v>
      </c>
      <c r="N20" s="1">
        <v>3409</v>
      </c>
      <c r="O20" s="16">
        <v>731</v>
      </c>
    </row>
    <row r="21" spans="2:15" x14ac:dyDescent="0.3">
      <c r="B21" s="24" t="s">
        <v>126</v>
      </c>
      <c r="C21" s="26" t="s">
        <v>58</v>
      </c>
      <c r="D21" s="25">
        <v>169.6</v>
      </c>
      <c r="E21" s="25">
        <v>161</v>
      </c>
      <c r="F21" s="25">
        <v>27.8</v>
      </c>
      <c r="G21" s="25">
        <v>5.99</v>
      </c>
      <c r="H21" s="25">
        <v>5.99</v>
      </c>
      <c r="I21" s="98">
        <v>14416</v>
      </c>
      <c r="J21" s="27">
        <v>-3.5</v>
      </c>
      <c r="K21" s="27">
        <v>12.13</v>
      </c>
      <c r="L21" s="27">
        <v>2.96</v>
      </c>
      <c r="M21" s="10">
        <f t="shared" si="0"/>
        <v>0.49415692821368945</v>
      </c>
      <c r="N21" s="1">
        <v>3486</v>
      </c>
      <c r="O21" s="16">
        <v>730</v>
      </c>
    </row>
    <row r="22" spans="2:15" x14ac:dyDescent="0.3">
      <c r="B22" s="24" t="s">
        <v>126</v>
      </c>
      <c r="C22" s="26" t="s">
        <v>58</v>
      </c>
      <c r="D22" s="25">
        <v>175</v>
      </c>
      <c r="E22" s="25">
        <v>165</v>
      </c>
      <c r="F22" s="25">
        <v>26</v>
      </c>
      <c r="G22" s="25">
        <v>5.75</v>
      </c>
      <c r="H22" s="25">
        <v>5.75</v>
      </c>
      <c r="I22" s="98">
        <v>17500</v>
      </c>
      <c r="J22" s="27">
        <v>-5.8</v>
      </c>
      <c r="K22" s="27">
        <v>11.36</v>
      </c>
      <c r="L22" s="27">
        <v>2.84</v>
      </c>
      <c r="M22" s="10">
        <f t="shared" si="0"/>
        <v>0.49391304347826087</v>
      </c>
      <c r="N22" s="1">
        <v>3800</v>
      </c>
      <c r="O22" s="16">
        <v>720</v>
      </c>
    </row>
    <row r="23" spans="2:15" x14ac:dyDescent="0.3">
      <c r="B23" s="24" t="s">
        <v>126</v>
      </c>
      <c r="C23" s="26" t="s">
        <v>58</v>
      </c>
      <c r="D23" s="25">
        <v>185</v>
      </c>
      <c r="E23" s="25">
        <v>170</v>
      </c>
      <c r="F23" s="25">
        <v>27.7</v>
      </c>
      <c r="G23" s="25">
        <v>6.38</v>
      </c>
      <c r="H23" s="25">
        <v>6.61</v>
      </c>
      <c r="I23" s="98">
        <v>19243</v>
      </c>
      <c r="J23" s="27">
        <v>-5.52</v>
      </c>
      <c r="K23" s="27">
        <v>12.92</v>
      </c>
      <c r="L23" s="3">
        <v>2.36</v>
      </c>
      <c r="M23" s="10">
        <f t="shared" si="0"/>
        <v>0.36335642802155504</v>
      </c>
      <c r="N23" s="1">
        <v>4350</v>
      </c>
      <c r="O23" s="16">
        <v>734</v>
      </c>
    </row>
    <row r="24" spans="2:15" x14ac:dyDescent="0.3">
      <c r="B24" s="24" t="s">
        <v>126</v>
      </c>
      <c r="C24" s="26" t="s">
        <v>58</v>
      </c>
      <c r="D24" s="25">
        <v>192.9</v>
      </c>
      <c r="E24" s="25">
        <v>175.2</v>
      </c>
      <c r="F24" s="25">
        <v>29</v>
      </c>
      <c r="G24" s="25">
        <v>6.6</v>
      </c>
      <c r="H24" s="25">
        <v>6.6</v>
      </c>
      <c r="I24" s="98">
        <v>21126</v>
      </c>
      <c r="J24" s="27">
        <v>-5.5</v>
      </c>
      <c r="K24" s="27">
        <v>12.5</v>
      </c>
      <c r="L24" s="3">
        <v>2.4</v>
      </c>
      <c r="M24" s="10">
        <f t="shared" si="0"/>
        <v>0.36363636363636365</v>
      </c>
      <c r="N24" s="1">
        <v>4260</v>
      </c>
      <c r="O24" s="16">
        <v>790</v>
      </c>
    </row>
    <row r="25" spans="2:15" x14ac:dyDescent="0.3">
      <c r="B25" s="24" t="s">
        <v>126</v>
      </c>
      <c r="C25" s="26" t="s">
        <v>58</v>
      </c>
      <c r="D25" s="25">
        <v>203.9</v>
      </c>
      <c r="E25" s="25">
        <v>185.6</v>
      </c>
      <c r="F25" s="25">
        <v>25.4</v>
      </c>
      <c r="G25" s="25">
        <v>6.6</v>
      </c>
      <c r="H25" s="25">
        <v>6.6</v>
      </c>
      <c r="I25" s="98">
        <v>19008</v>
      </c>
      <c r="J25" s="27">
        <v>-6.32</v>
      </c>
      <c r="K25" s="83">
        <v>11</v>
      </c>
      <c r="L25" s="3">
        <v>2.5</v>
      </c>
      <c r="M25" s="10">
        <f t="shared" si="0"/>
        <v>0.37878787878787878</v>
      </c>
      <c r="N25" s="1">
        <v>4500</v>
      </c>
      <c r="O25" s="16">
        <v>690</v>
      </c>
    </row>
    <row r="26" spans="2:15" x14ac:dyDescent="0.3">
      <c r="B26" s="24" t="s">
        <v>126</v>
      </c>
      <c r="C26" s="26" t="s">
        <v>58</v>
      </c>
      <c r="D26" s="98">
        <v>212</v>
      </c>
      <c r="E26" s="98">
        <v>189.6</v>
      </c>
      <c r="F26" s="98">
        <v>30</v>
      </c>
      <c r="G26" s="98">
        <v>7.2</v>
      </c>
      <c r="H26" s="98">
        <v>7.2</v>
      </c>
      <c r="I26" s="98">
        <v>25019</v>
      </c>
      <c r="J26" s="27">
        <v>-6.45</v>
      </c>
      <c r="K26" s="83">
        <v>12</v>
      </c>
      <c r="L26" s="3">
        <v>2.5</v>
      </c>
      <c r="M26" s="10">
        <f t="shared" si="0"/>
        <v>0.34722222222222221</v>
      </c>
      <c r="N26" s="1">
        <v>4600</v>
      </c>
      <c r="O26" s="16">
        <v>815</v>
      </c>
    </row>
    <row r="27" spans="2:15" x14ac:dyDescent="0.3">
      <c r="B27" s="58" t="s">
        <v>124</v>
      </c>
      <c r="C27" s="26" t="s">
        <v>58</v>
      </c>
      <c r="D27" s="3">
        <v>215</v>
      </c>
      <c r="E27" s="3">
        <v>196</v>
      </c>
      <c r="F27" s="3">
        <v>31.5</v>
      </c>
      <c r="G27" s="3">
        <v>7.2</v>
      </c>
      <c r="H27" s="3">
        <v>7.2</v>
      </c>
      <c r="I27" s="3">
        <v>29161</v>
      </c>
      <c r="J27" s="9">
        <v>-6.45</v>
      </c>
      <c r="K27" s="9">
        <v>12</v>
      </c>
      <c r="L27" s="3">
        <v>2.5</v>
      </c>
      <c r="M27" s="10">
        <f t="shared" si="0"/>
        <v>0.34722222222222221</v>
      </c>
      <c r="N27" s="1">
        <v>4670</v>
      </c>
      <c r="O27" s="16">
        <v>868</v>
      </c>
    </row>
    <row r="28" spans="2:15" x14ac:dyDescent="0.3">
      <c r="B28" s="167" t="s">
        <v>126</v>
      </c>
      <c r="C28" s="166" t="s">
        <v>58</v>
      </c>
      <c r="D28" s="3">
        <v>223.7</v>
      </c>
      <c r="E28" s="3">
        <v>202.66</v>
      </c>
      <c r="F28" s="3">
        <v>35</v>
      </c>
      <c r="G28" s="3">
        <v>6.8</v>
      </c>
      <c r="H28" s="3">
        <v>6.8</v>
      </c>
      <c r="I28" s="3">
        <v>31200</v>
      </c>
      <c r="J28" s="6">
        <f>0.03*E28</f>
        <v>6.0797999999999996</v>
      </c>
      <c r="K28" s="6">
        <f>(G28+H28)/2-(-1.42647*(G28+H28)/2)</f>
        <v>16.499995999999999</v>
      </c>
      <c r="L28" s="6">
        <v>3.4</v>
      </c>
      <c r="M28" s="10">
        <f t="shared" si="0"/>
        <v>0.5</v>
      </c>
      <c r="N28" s="168">
        <v>7450</v>
      </c>
      <c r="O28" s="169">
        <v>1390</v>
      </c>
    </row>
    <row r="29" spans="2:15" x14ac:dyDescent="0.3">
      <c r="B29" s="58" t="s">
        <v>124</v>
      </c>
      <c r="C29" s="26" t="s">
        <v>58</v>
      </c>
      <c r="D29" s="3">
        <v>230</v>
      </c>
      <c r="E29" s="3">
        <v>214</v>
      </c>
      <c r="F29" s="3">
        <v>33</v>
      </c>
      <c r="G29" s="3">
        <v>8</v>
      </c>
      <c r="H29" s="3">
        <v>8</v>
      </c>
      <c r="I29" s="3">
        <v>37000</v>
      </c>
      <c r="J29" s="9">
        <v>-1.75</v>
      </c>
      <c r="K29" s="9">
        <v>14.8</v>
      </c>
      <c r="L29" s="3">
        <v>1.73</v>
      </c>
      <c r="M29" s="10">
        <f t="shared" si="0"/>
        <v>0.21625</v>
      </c>
      <c r="N29" s="1">
        <v>6700</v>
      </c>
      <c r="O29" s="16">
        <v>1194</v>
      </c>
    </row>
    <row r="30" spans="2:15" x14ac:dyDescent="0.3">
      <c r="B30" s="58" t="s">
        <v>124</v>
      </c>
      <c r="C30" s="26" t="s">
        <v>58</v>
      </c>
      <c r="D30" s="3">
        <v>236</v>
      </c>
      <c r="E30" s="3">
        <v>224</v>
      </c>
      <c r="F30" s="3">
        <v>45</v>
      </c>
      <c r="G30" s="3">
        <v>8.1999999999999993</v>
      </c>
      <c r="H30" s="3">
        <v>8.1999999999999993</v>
      </c>
      <c r="I30" s="3">
        <v>36825</v>
      </c>
      <c r="J30" s="9">
        <v>-1.79</v>
      </c>
      <c r="K30" s="9">
        <v>15.22</v>
      </c>
      <c r="L30" s="3">
        <v>1.73</v>
      </c>
      <c r="M30" s="10">
        <f t="shared" si="0"/>
        <v>0.21097560975609758</v>
      </c>
      <c r="N30" s="1">
        <v>7050</v>
      </c>
      <c r="O30" s="16">
        <v>1195</v>
      </c>
    </row>
    <row r="31" spans="2:15" x14ac:dyDescent="0.3">
      <c r="B31" s="58" t="s">
        <v>124</v>
      </c>
      <c r="C31" s="26" t="s">
        <v>58</v>
      </c>
      <c r="D31" s="3">
        <v>240.6</v>
      </c>
      <c r="E31" s="3">
        <v>226</v>
      </c>
      <c r="F31" s="3">
        <v>32.299999999999997</v>
      </c>
      <c r="G31" s="3">
        <v>11.75</v>
      </c>
      <c r="H31" s="3">
        <v>11.75</v>
      </c>
      <c r="I31" s="3">
        <v>64500</v>
      </c>
      <c r="J31" s="9">
        <v>-2</v>
      </c>
      <c r="K31" s="9">
        <v>12</v>
      </c>
      <c r="L31" s="3">
        <v>1.8</v>
      </c>
      <c r="M31" s="10">
        <f t="shared" si="0"/>
        <v>0.15319148936170213</v>
      </c>
      <c r="N31" s="1">
        <v>5930</v>
      </c>
      <c r="O31" s="16">
        <v>917</v>
      </c>
    </row>
    <row r="32" spans="2:15" x14ac:dyDescent="0.3">
      <c r="B32" s="1" t="s">
        <v>124</v>
      </c>
      <c r="C32" s="166" t="s">
        <v>58</v>
      </c>
      <c r="D32" s="3">
        <v>245</v>
      </c>
      <c r="E32" s="3">
        <v>235</v>
      </c>
      <c r="F32" s="3">
        <v>35</v>
      </c>
      <c r="G32" s="3">
        <v>7.8</v>
      </c>
      <c r="H32" s="3">
        <v>7.8</v>
      </c>
      <c r="I32" s="3">
        <v>42188</v>
      </c>
      <c r="J32" s="6">
        <f>-3.4*E32/100</f>
        <v>-7.99</v>
      </c>
      <c r="K32" s="6"/>
      <c r="L32" s="6">
        <v>1.86</v>
      </c>
      <c r="M32" s="10">
        <f t="shared" ref="M32:M34" si="1">L32/((G32+H32)/2)</f>
        <v>0.23846153846153847</v>
      </c>
      <c r="N32" s="168">
        <v>5873</v>
      </c>
      <c r="O32" s="169">
        <v>1160</v>
      </c>
    </row>
    <row r="33" spans="2:15" x14ac:dyDescent="0.3">
      <c r="B33" s="46"/>
      <c r="C33" s="48"/>
      <c r="D33" s="48"/>
      <c r="E33" s="48"/>
      <c r="F33" s="48"/>
      <c r="G33" s="48"/>
      <c r="H33" s="48"/>
      <c r="I33" s="48"/>
      <c r="J33" s="49"/>
      <c r="K33" s="49"/>
      <c r="L33" s="49"/>
      <c r="M33" s="54"/>
      <c r="N33" s="88"/>
      <c r="O33" s="54"/>
    </row>
    <row r="34" spans="2:15" x14ac:dyDescent="0.3">
      <c r="B34" s="1" t="s">
        <v>125</v>
      </c>
      <c r="C34" s="3" t="s">
        <v>60</v>
      </c>
      <c r="D34" s="3">
        <v>198</v>
      </c>
      <c r="E34" s="3">
        <v>190</v>
      </c>
      <c r="F34" s="3">
        <v>32.25</v>
      </c>
      <c r="G34" s="3">
        <v>9.5</v>
      </c>
      <c r="H34" s="3">
        <v>9.5</v>
      </c>
      <c r="I34" s="3">
        <v>33551</v>
      </c>
      <c r="J34" s="6">
        <f>2.13*E34/100</f>
        <v>4.0469999999999997</v>
      </c>
      <c r="K34" s="6" t="s">
        <v>9</v>
      </c>
      <c r="L34" s="6">
        <v>1</v>
      </c>
      <c r="M34" s="10">
        <f t="shared" si="1"/>
        <v>0.10526315789473684</v>
      </c>
      <c r="N34" s="168">
        <v>4410</v>
      </c>
      <c r="O34" s="169">
        <v>1185</v>
      </c>
    </row>
    <row r="35" spans="2:15" ht="15" thickBot="1" x14ac:dyDescent="0.35">
      <c r="B35" s="71" t="s">
        <v>124</v>
      </c>
      <c r="C35" s="12" t="s">
        <v>4</v>
      </c>
      <c r="D35" s="12">
        <v>240.6</v>
      </c>
      <c r="E35" s="12">
        <v>226</v>
      </c>
      <c r="F35" s="12">
        <v>32.299999999999997</v>
      </c>
      <c r="G35" s="12">
        <v>7.5</v>
      </c>
      <c r="H35" s="12">
        <v>7.5</v>
      </c>
      <c r="I35" s="12">
        <v>36200</v>
      </c>
      <c r="J35" s="19">
        <v>-2</v>
      </c>
      <c r="K35" s="19">
        <v>12</v>
      </c>
      <c r="L35" s="12">
        <v>1.8</v>
      </c>
      <c r="M35" s="15">
        <f>L35/((G35+H35)/2)</f>
        <v>0.24000000000000002</v>
      </c>
      <c r="N35" s="11">
        <v>6890</v>
      </c>
      <c r="O35" s="18">
        <v>1054</v>
      </c>
    </row>
    <row r="36" spans="2:15" ht="15" thickBot="1" x14ac:dyDescent="0.35"/>
    <row r="37" spans="2:15" ht="15" thickBot="1" x14ac:dyDescent="0.35">
      <c r="J37" s="129"/>
      <c r="K37" s="129"/>
      <c r="L37" s="131" t="s">
        <v>91</v>
      </c>
      <c r="M37" s="131" t="s">
        <v>92</v>
      </c>
      <c r="N37" s="122" t="s">
        <v>93</v>
      </c>
    </row>
    <row r="38" spans="2:15" ht="16.2" thickBot="1" x14ac:dyDescent="0.35">
      <c r="J38" s="206" t="s">
        <v>82</v>
      </c>
      <c r="K38" s="207"/>
      <c r="L38" s="131">
        <f>MIN(M14:M32)</f>
        <v>-0.27371695178849148</v>
      </c>
      <c r="M38" s="131">
        <f>AVERAGE(M14:M32)</f>
        <v>0.35893249190286963</v>
      </c>
      <c r="N38" s="122">
        <f>MAX(M14:M32)</f>
        <v>0.96078431372549034</v>
      </c>
    </row>
    <row r="39" spans="2:15" ht="16.2" thickBot="1" x14ac:dyDescent="0.35">
      <c r="J39" s="206" t="s">
        <v>83</v>
      </c>
      <c r="K39" s="207"/>
      <c r="L39" s="131">
        <f>MIN(M34:M35)</f>
        <v>0.10526315789473684</v>
      </c>
      <c r="M39" s="131">
        <f>AVERAGE(M34:M35)</f>
        <v>0.17263157894736841</v>
      </c>
      <c r="N39" s="122">
        <f>MAX(M34:M35)</f>
        <v>0.24000000000000002</v>
      </c>
    </row>
  </sheetData>
  <sheetProtection sheet="1" objects="1" scenarios="1"/>
  <mergeCells count="8">
    <mergeCell ref="J38:K38"/>
    <mergeCell ref="J39:K39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32"/>
  <sheetViews>
    <sheetView tabSelected="1" topLeftCell="F13" zoomScale="80" zoomScaleNormal="80" workbookViewId="0">
      <selection activeCell="M19" sqref="M1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33203125" customWidth="1"/>
    <col min="13" max="13" width="11.1093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208" t="s">
        <v>130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57.9" customHeight="1" x14ac:dyDescent="0.3">
      <c r="B12" s="213" t="s">
        <v>0</v>
      </c>
      <c r="C12" s="215" t="s">
        <v>53</v>
      </c>
      <c r="D12" s="159" t="s">
        <v>54</v>
      </c>
      <c r="E12" s="159" t="s">
        <v>1</v>
      </c>
      <c r="F12" s="159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58" t="s">
        <v>63</v>
      </c>
      <c r="M12" s="117" t="s">
        <v>64</v>
      </c>
      <c r="N12" s="116" t="s">
        <v>41</v>
      </c>
      <c r="O12" s="117" t="s">
        <v>43</v>
      </c>
    </row>
    <row r="13" spans="2:15" ht="33.9" customHeight="1" thickBot="1" x14ac:dyDescent="0.35">
      <c r="B13" s="214"/>
      <c r="C13" s="216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21" t="s">
        <v>12</v>
      </c>
      <c r="N13" s="157" t="s">
        <v>42</v>
      </c>
      <c r="O13" s="121" t="s">
        <v>42</v>
      </c>
    </row>
    <row r="14" spans="2:15" x14ac:dyDescent="0.3">
      <c r="B14" s="164" t="s">
        <v>133</v>
      </c>
      <c r="C14" s="165" t="s">
        <v>58</v>
      </c>
      <c r="D14" s="34">
        <v>37.5</v>
      </c>
      <c r="E14" s="34">
        <v>35.5</v>
      </c>
      <c r="F14" s="34">
        <v>7.7</v>
      </c>
      <c r="G14" s="76">
        <v>0.78</v>
      </c>
      <c r="H14" s="76">
        <v>0.78</v>
      </c>
      <c r="I14" s="34">
        <v>135</v>
      </c>
      <c r="J14" s="76">
        <f>0*E14/100</f>
        <v>0</v>
      </c>
      <c r="K14" s="76" t="s">
        <v>9</v>
      </c>
      <c r="L14" s="36">
        <v>4.5999999999999996</v>
      </c>
      <c r="M14" s="56">
        <f t="shared" ref="M14" si="0">L14/((G14+H14)/2)</f>
        <v>5.8974358974358969</v>
      </c>
      <c r="N14" s="175">
        <v>158</v>
      </c>
      <c r="O14" s="176">
        <v>40</v>
      </c>
    </row>
    <row r="15" spans="2:15" x14ac:dyDescent="0.3">
      <c r="B15" s="167" t="s">
        <v>132</v>
      </c>
      <c r="C15" s="166" t="s">
        <v>58</v>
      </c>
      <c r="D15" s="3">
        <v>38.5</v>
      </c>
      <c r="E15" s="3">
        <v>37.5</v>
      </c>
      <c r="F15" s="3">
        <v>5.05</v>
      </c>
      <c r="G15" s="3">
        <v>2</v>
      </c>
      <c r="H15" s="3">
        <v>2</v>
      </c>
      <c r="I15" s="3">
        <v>340</v>
      </c>
      <c r="J15" s="9">
        <f>0*E15/100</f>
        <v>0</v>
      </c>
      <c r="K15" s="9" t="s">
        <v>9</v>
      </c>
      <c r="L15" s="6">
        <v>0.53</v>
      </c>
      <c r="M15" s="10">
        <f t="shared" ref="M15:M23" si="1">L15/((G15+H15)/2)</f>
        <v>0.26500000000000001</v>
      </c>
      <c r="N15" s="168">
        <v>77.5</v>
      </c>
      <c r="O15" s="169">
        <v>16.7</v>
      </c>
    </row>
    <row r="16" spans="2:15" x14ac:dyDescent="0.3">
      <c r="B16" s="167" t="s">
        <v>133</v>
      </c>
      <c r="C16" s="166" t="s">
        <v>58</v>
      </c>
      <c r="D16" s="3">
        <v>50</v>
      </c>
      <c r="E16" s="3">
        <v>49</v>
      </c>
      <c r="F16" s="3">
        <v>9</v>
      </c>
      <c r="G16" s="3">
        <v>1.2</v>
      </c>
      <c r="H16" s="3">
        <v>1.2</v>
      </c>
      <c r="I16" s="3">
        <v>426</v>
      </c>
      <c r="J16" s="9">
        <f>-2.8*E16/100</f>
        <v>-1.3719999999999999</v>
      </c>
      <c r="K16" s="9" t="s">
        <v>9</v>
      </c>
      <c r="L16" s="6">
        <v>3.63</v>
      </c>
      <c r="M16" s="10">
        <f t="shared" si="1"/>
        <v>3.0249999999999999</v>
      </c>
      <c r="N16" s="168">
        <v>241</v>
      </c>
      <c r="O16" s="169">
        <v>52</v>
      </c>
    </row>
    <row r="17" spans="2:15" x14ac:dyDescent="0.3">
      <c r="B17" s="167" t="s">
        <v>133</v>
      </c>
      <c r="C17" s="166" t="s">
        <v>58</v>
      </c>
      <c r="D17" s="3">
        <v>80</v>
      </c>
      <c r="E17" s="3">
        <v>77</v>
      </c>
      <c r="F17" s="3">
        <v>10.6</v>
      </c>
      <c r="G17" s="3">
        <v>1.45</v>
      </c>
      <c r="H17" s="3">
        <v>1.45</v>
      </c>
      <c r="I17" s="3">
        <v>991</v>
      </c>
      <c r="J17" s="9">
        <f>0.52*E17/100</f>
        <v>0.40039999999999998</v>
      </c>
      <c r="K17" s="9" t="s">
        <v>9</v>
      </c>
      <c r="L17" s="6">
        <v>5.49</v>
      </c>
      <c r="M17" s="10">
        <f t="shared" ref="M17:M19" si="2">L17/((G17+H17)/2)</f>
        <v>3.7862068965517244</v>
      </c>
      <c r="N17" s="168">
        <v>301</v>
      </c>
      <c r="O17" s="169">
        <v>38</v>
      </c>
    </row>
    <row r="18" spans="2:15" x14ac:dyDescent="0.3">
      <c r="B18" s="167" t="s">
        <v>130</v>
      </c>
      <c r="C18" s="166" t="s">
        <v>58</v>
      </c>
      <c r="D18" s="3">
        <v>109.4</v>
      </c>
      <c r="E18" s="3">
        <v>108.4</v>
      </c>
      <c r="F18" s="3">
        <v>17.100000000000001</v>
      </c>
      <c r="G18" s="3">
        <v>3.5</v>
      </c>
      <c r="H18" s="3">
        <v>3.5</v>
      </c>
      <c r="I18" s="3">
        <v>5350</v>
      </c>
      <c r="J18" s="9">
        <v>1.5</v>
      </c>
      <c r="K18" s="9">
        <f>H18+0.1</f>
        <v>3.6</v>
      </c>
      <c r="L18" s="6">
        <v>5.5</v>
      </c>
      <c r="M18" s="10">
        <f t="shared" si="2"/>
        <v>1.5714285714285714</v>
      </c>
      <c r="N18" s="168"/>
      <c r="O18" s="169"/>
    </row>
    <row r="19" spans="2:15" x14ac:dyDescent="0.3">
      <c r="B19" s="167" t="s">
        <v>130</v>
      </c>
      <c r="C19" s="166" t="s">
        <v>58</v>
      </c>
      <c r="D19" s="3">
        <v>109.95</v>
      </c>
      <c r="E19" s="3">
        <v>109.8</v>
      </c>
      <c r="F19" s="3">
        <v>11.5</v>
      </c>
      <c r="G19" s="3">
        <v>3.5</v>
      </c>
      <c r="H19" s="3">
        <v>3.5</v>
      </c>
      <c r="I19" s="3">
        <v>3900</v>
      </c>
      <c r="J19" s="9">
        <v>1.3</v>
      </c>
      <c r="K19" s="9">
        <f>H19-0.3</f>
        <v>3.2</v>
      </c>
      <c r="L19" s="6">
        <v>1.8</v>
      </c>
      <c r="M19" s="10">
        <f t="shared" si="2"/>
        <v>0.51428571428571435</v>
      </c>
      <c r="N19" s="168"/>
      <c r="O19" s="169"/>
    </row>
    <row r="20" spans="2:15" ht="28.8" x14ac:dyDescent="0.3">
      <c r="B20" s="58" t="s">
        <v>130</v>
      </c>
      <c r="C20" s="26" t="s">
        <v>131</v>
      </c>
      <c r="D20" s="3">
        <v>135</v>
      </c>
      <c r="E20" s="3">
        <v>135</v>
      </c>
      <c r="F20" s="3">
        <v>11.4</v>
      </c>
      <c r="G20" s="3">
        <v>3</v>
      </c>
      <c r="H20" s="3">
        <v>3</v>
      </c>
      <c r="I20" s="3">
        <v>4001</v>
      </c>
      <c r="J20" s="9">
        <f>-0.4*E20/100</f>
        <v>-0.54</v>
      </c>
      <c r="K20" s="9" t="s">
        <v>9</v>
      </c>
      <c r="L20" s="3">
        <v>1.67</v>
      </c>
      <c r="M20" s="10">
        <f t="shared" si="1"/>
        <v>0.55666666666666664</v>
      </c>
      <c r="N20" s="1">
        <v>850</v>
      </c>
      <c r="O20" s="16">
        <v>64</v>
      </c>
    </row>
    <row r="21" spans="2:15" x14ac:dyDescent="0.3">
      <c r="B21" s="58" t="s">
        <v>128</v>
      </c>
      <c r="C21" s="26" t="s">
        <v>58</v>
      </c>
      <c r="D21" s="3">
        <v>146.6</v>
      </c>
      <c r="E21" s="3">
        <v>146</v>
      </c>
      <c r="F21" s="3">
        <v>26</v>
      </c>
      <c r="G21" s="3">
        <v>8.5</v>
      </c>
      <c r="H21" s="3">
        <v>8.5</v>
      </c>
      <c r="I21" s="3">
        <v>23230</v>
      </c>
      <c r="J21" s="9">
        <f>4.57*E21/100</f>
        <v>6.6722000000000001</v>
      </c>
      <c r="K21" s="9" t="s">
        <v>9</v>
      </c>
      <c r="L21" s="9">
        <v>3.62</v>
      </c>
      <c r="M21" s="10">
        <f>L21/((G21+H21)/2)</f>
        <v>0.42588235294117649</v>
      </c>
      <c r="N21" s="1">
        <v>1305</v>
      </c>
      <c r="O21" s="16">
        <v>257</v>
      </c>
    </row>
    <row r="22" spans="2:15" x14ac:dyDescent="0.3">
      <c r="B22" s="58" t="s">
        <v>129</v>
      </c>
      <c r="C22" s="26" t="s">
        <v>58</v>
      </c>
      <c r="D22" s="3">
        <v>185</v>
      </c>
      <c r="E22" s="3">
        <v>183</v>
      </c>
      <c r="F22" s="3">
        <v>11.4</v>
      </c>
      <c r="G22" s="3">
        <v>3</v>
      </c>
      <c r="H22" s="3">
        <v>3</v>
      </c>
      <c r="I22" s="3">
        <v>5677</v>
      </c>
      <c r="J22" s="9">
        <f>4.3*E22/100</f>
        <v>7.8689999999999998</v>
      </c>
      <c r="K22" s="9" t="s">
        <v>9</v>
      </c>
      <c r="L22" s="9">
        <v>2.23</v>
      </c>
      <c r="M22" s="10">
        <f t="shared" ref="M22" si="3">L22/((G22+H22)/2)</f>
        <v>0.74333333333333329</v>
      </c>
      <c r="N22" s="1">
        <v>925</v>
      </c>
      <c r="O22" s="16">
        <v>65</v>
      </c>
    </row>
    <row r="23" spans="2:15" x14ac:dyDescent="0.3">
      <c r="B23" s="58" t="s">
        <v>129</v>
      </c>
      <c r="C23" s="26" t="s">
        <v>58</v>
      </c>
      <c r="D23" s="3">
        <v>185</v>
      </c>
      <c r="E23" s="3">
        <v>183</v>
      </c>
      <c r="F23" s="3">
        <v>11.4</v>
      </c>
      <c r="G23" s="3">
        <v>3.5</v>
      </c>
      <c r="H23" s="3">
        <v>3.5</v>
      </c>
      <c r="I23" s="3">
        <v>6700</v>
      </c>
      <c r="J23" s="9">
        <f>4.3*E23/100</f>
        <v>7.8689999999999998</v>
      </c>
      <c r="K23" s="9" t="s">
        <v>9</v>
      </c>
      <c r="L23" s="9">
        <v>1.48</v>
      </c>
      <c r="M23" s="10">
        <f t="shared" si="1"/>
        <v>0.42285714285714288</v>
      </c>
      <c r="N23" s="1">
        <v>850</v>
      </c>
      <c r="O23" s="16">
        <v>60</v>
      </c>
    </row>
    <row r="24" spans="2:15" x14ac:dyDescent="0.3">
      <c r="B24" s="1" t="s">
        <v>127</v>
      </c>
      <c r="C24" s="3" t="s">
        <v>58</v>
      </c>
      <c r="D24" s="3">
        <v>202</v>
      </c>
      <c r="E24" s="3">
        <v>200</v>
      </c>
      <c r="F24" s="3">
        <v>32</v>
      </c>
      <c r="G24" s="3">
        <v>3.5</v>
      </c>
      <c r="H24" s="3">
        <v>3.5</v>
      </c>
      <c r="I24" s="3">
        <v>19622</v>
      </c>
      <c r="J24" s="6">
        <v>9.1999999999999993</v>
      </c>
      <c r="K24" s="6">
        <v>2.4</v>
      </c>
      <c r="L24" s="6">
        <v>24.5</v>
      </c>
      <c r="M24" s="10">
        <f t="shared" ref="M24" si="4">L24/((G24+H24)/2)</f>
        <v>7</v>
      </c>
      <c r="N24" s="168">
        <v>830</v>
      </c>
      <c r="O24" s="169">
        <v>180</v>
      </c>
    </row>
    <row r="25" spans="2:15" x14ac:dyDescent="0.3">
      <c r="B25" s="46"/>
      <c r="C25" s="48"/>
      <c r="D25" s="48"/>
      <c r="E25" s="48"/>
      <c r="F25" s="48"/>
      <c r="G25" s="48"/>
      <c r="H25" s="48"/>
      <c r="I25" s="48"/>
      <c r="J25" s="49"/>
      <c r="K25" s="49"/>
      <c r="L25" s="49"/>
      <c r="M25" s="54"/>
      <c r="N25" s="88"/>
      <c r="O25" s="54"/>
    </row>
    <row r="26" spans="2:15" x14ac:dyDescent="0.3">
      <c r="B26" s="58" t="s">
        <v>130</v>
      </c>
      <c r="C26" s="26" t="s">
        <v>4</v>
      </c>
      <c r="D26" s="3">
        <v>135</v>
      </c>
      <c r="E26" s="3">
        <v>135</v>
      </c>
      <c r="F26" s="3">
        <v>11.4</v>
      </c>
      <c r="G26" s="3">
        <v>2</v>
      </c>
      <c r="H26" s="3">
        <v>2</v>
      </c>
      <c r="I26" s="3">
        <v>2683</v>
      </c>
      <c r="J26" s="9">
        <f>-0.4*E26/100</f>
        <v>-0.54</v>
      </c>
      <c r="K26" s="9" t="s">
        <v>9</v>
      </c>
      <c r="L26" s="9">
        <v>4.72</v>
      </c>
      <c r="M26" s="10">
        <f t="shared" ref="M26" si="5">L26/((G26+H26)/2)</f>
        <v>2.36</v>
      </c>
      <c r="N26" s="1">
        <v>985</v>
      </c>
      <c r="O26" s="16">
        <v>75</v>
      </c>
    </row>
    <row r="27" spans="2:15" x14ac:dyDescent="0.3">
      <c r="B27" s="58" t="s">
        <v>129</v>
      </c>
      <c r="C27" s="26" t="s">
        <v>58</v>
      </c>
      <c r="D27" s="3">
        <v>185</v>
      </c>
      <c r="E27" s="3">
        <v>183</v>
      </c>
      <c r="F27" s="3">
        <v>11.4</v>
      </c>
      <c r="G27" s="3">
        <v>2</v>
      </c>
      <c r="H27" s="3">
        <v>2</v>
      </c>
      <c r="I27" s="3">
        <v>3480</v>
      </c>
      <c r="J27" s="9">
        <f>4.3*E27/100</f>
        <v>7.8689999999999998</v>
      </c>
      <c r="K27" s="9" t="s">
        <v>9</v>
      </c>
      <c r="L27" s="9">
        <v>4.49</v>
      </c>
      <c r="M27" s="10">
        <f t="shared" ref="M27" si="6">L27/((G27+H27)/2)</f>
        <v>2.2450000000000001</v>
      </c>
      <c r="N27" s="1">
        <v>1150</v>
      </c>
      <c r="O27" s="16">
        <v>80</v>
      </c>
    </row>
    <row r="28" spans="2:15" ht="15" thickBot="1" x14ac:dyDescent="0.35">
      <c r="B28" s="11" t="s">
        <v>127</v>
      </c>
      <c r="C28" s="12" t="s">
        <v>4</v>
      </c>
      <c r="D28" s="12">
        <v>202</v>
      </c>
      <c r="E28" s="12">
        <v>200</v>
      </c>
      <c r="F28" s="12">
        <v>32</v>
      </c>
      <c r="G28" s="19">
        <v>0.75</v>
      </c>
      <c r="H28" s="19">
        <v>0.75</v>
      </c>
      <c r="I28" s="12">
        <v>4217</v>
      </c>
      <c r="J28" s="14">
        <v>2.7</v>
      </c>
      <c r="K28" s="14">
        <v>2.4</v>
      </c>
      <c r="L28" s="14" t="s">
        <v>9</v>
      </c>
      <c r="M28" s="15" t="s">
        <v>9</v>
      </c>
      <c r="N28" s="177">
        <v>1315</v>
      </c>
      <c r="O28" s="178">
        <v>250</v>
      </c>
    </row>
    <row r="29" spans="2:15" ht="15" thickBot="1" x14ac:dyDescent="0.35"/>
    <row r="30" spans="2:15" ht="15" thickBot="1" x14ac:dyDescent="0.35">
      <c r="J30" s="129"/>
      <c r="K30" s="129"/>
      <c r="L30" s="131" t="s">
        <v>91</v>
      </c>
      <c r="M30" s="131" t="s">
        <v>92</v>
      </c>
      <c r="N30" s="122" t="s">
        <v>93</v>
      </c>
    </row>
    <row r="31" spans="2:15" ht="16.2" thickBot="1" x14ac:dyDescent="0.35">
      <c r="J31" s="206" t="s">
        <v>82</v>
      </c>
      <c r="K31" s="207"/>
      <c r="L31" s="131">
        <f>MIN(M14:M24)</f>
        <v>0.26500000000000001</v>
      </c>
      <c r="M31" s="131">
        <f>AVERAGE(M14:M24)</f>
        <v>2.2007360523182027</v>
      </c>
      <c r="N31" s="122">
        <f>MAX(M14:M24)</f>
        <v>7</v>
      </c>
    </row>
    <row r="32" spans="2:15" ht="16.2" thickBot="1" x14ac:dyDescent="0.35">
      <c r="J32" s="206" t="s">
        <v>83</v>
      </c>
      <c r="K32" s="207"/>
      <c r="L32" s="131">
        <f>MIN(M26:M28)</f>
        <v>2.2450000000000001</v>
      </c>
      <c r="M32" s="131">
        <f>AVERAGE(M26:M28)</f>
        <v>2.3025000000000002</v>
      </c>
      <c r="N32" s="122">
        <f>MAX(M26:M28)</f>
        <v>2.36</v>
      </c>
    </row>
  </sheetData>
  <sheetProtection sheet="1" objects="1" scenarios="1"/>
  <mergeCells count="8">
    <mergeCell ref="J31:K31"/>
    <mergeCell ref="J32:K32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B38" sqref="B38:G38"/>
    </sheetView>
  </sheetViews>
  <sheetFormatPr baseColWidth="10" defaultRowHeight="14.4" x14ac:dyDescent="0.3"/>
  <cols>
    <col min="2" max="2" width="17.5546875" customWidth="1"/>
    <col min="3" max="3" width="13.5546875" bestFit="1" customWidth="1"/>
  </cols>
  <sheetData>
    <row r="1" spans="1:10" s="194" customFormat="1" x14ac:dyDescent="0.3">
      <c r="A1" s="193" t="s">
        <v>145</v>
      </c>
    </row>
    <row r="2" spans="1:10" s="194" customFormat="1" x14ac:dyDescent="0.3">
      <c r="A2" s="195" t="s">
        <v>146</v>
      </c>
    </row>
    <row r="3" spans="1:10" ht="15" thickBot="1" x14ac:dyDescent="0.35"/>
    <row r="4" spans="1:10" ht="23.4" thickBot="1" x14ac:dyDescent="0.45">
      <c r="B4" s="198" t="s">
        <v>138</v>
      </c>
      <c r="C4" s="199"/>
      <c r="D4" s="199"/>
      <c r="E4" s="199"/>
      <c r="F4" s="199"/>
      <c r="G4" s="199"/>
      <c r="H4" s="199"/>
      <c r="I4" s="199"/>
      <c r="J4" s="200"/>
    </row>
    <row r="5" spans="1:10" ht="15" thickBot="1" x14ac:dyDescent="0.35"/>
    <row r="6" spans="1:10" ht="15" thickBot="1" x14ac:dyDescent="0.35">
      <c r="B6" s="201" t="s">
        <v>136</v>
      </c>
      <c r="C6" s="202"/>
    </row>
    <row r="7" spans="1:10" x14ac:dyDescent="0.3">
      <c r="B7" s="182" t="s">
        <v>142</v>
      </c>
      <c r="C7" s="188" t="s">
        <v>89</v>
      </c>
    </row>
    <row r="8" spans="1:10" x14ac:dyDescent="0.3">
      <c r="B8" s="183" t="s">
        <v>137</v>
      </c>
      <c r="C8" s="189">
        <v>260</v>
      </c>
    </row>
    <row r="9" spans="1:10" x14ac:dyDescent="0.3">
      <c r="B9" s="183" t="s">
        <v>27</v>
      </c>
      <c r="C9" s="189">
        <v>48</v>
      </c>
    </row>
    <row r="10" spans="1:10" x14ac:dyDescent="0.3">
      <c r="B10" s="183" t="s">
        <v>28</v>
      </c>
      <c r="C10" s="189">
        <v>17</v>
      </c>
    </row>
    <row r="11" spans="1:10" x14ac:dyDescent="0.3">
      <c r="B11" s="183" t="s">
        <v>139</v>
      </c>
      <c r="C11" s="189">
        <v>173171</v>
      </c>
    </row>
    <row r="12" spans="1:10" ht="15" thickBot="1" x14ac:dyDescent="0.35">
      <c r="B12" s="184" t="s">
        <v>140</v>
      </c>
      <c r="C12" s="190">
        <f>C11/(C8*C9*C10)</f>
        <v>0.81622831825037712</v>
      </c>
    </row>
    <row r="13" spans="1:10" ht="15" thickBot="1" x14ac:dyDescent="0.35"/>
    <row r="14" spans="1:10" ht="18.600000000000001" thickBot="1" x14ac:dyDescent="0.4">
      <c r="B14" s="203" t="s">
        <v>135</v>
      </c>
      <c r="C14" s="204"/>
      <c r="D14" s="204"/>
      <c r="E14" s="204"/>
      <c r="F14" s="204"/>
      <c r="G14" s="205"/>
    </row>
    <row r="16" spans="1:10" x14ac:dyDescent="0.3">
      <c r="D16" s="197" t="s">
        <v>24</v>
      </c>
      <c r="E16" s="197"/>
      <c r="F16" s="197"/>
      <c r="G16" s="197"/>
    </row>
    <row r="17" spans="2:7" x14ac:dyDescent="0.3">
      <c r="D17" s="197"/>
      <c r="E17" s="197"/>
      <c r="F17" s="197"/>
      <c r="G17" s="197"/>
    </row>
    <row r="19" spans="2:7" ht="18" x14ac:dyDescent="0.35">
      <c r="D19" s="180" t="s">
        <v>25</v>
      </c>
      <c r="E19" s="181" t="s">
        <v>141</v>
      </c>
      <c r="F19" s="187">
        <v>1</v>
      </c>
    </row>
    <row r="20" spans="2:7" ht="15" thickBot="1" x14ac:dyDescent="0.35">
      <c r="D20" s="86"/>
      <c r="E20" s="86"/>
      <c r="F20" s="86"/>
    </row>
    <row r="21" spans="2:7" ht="15" thickBot="1" x14ac:dyDescent="0.35">
      <c r="D21" s="86"/>
      <c r="F21" s="186">
        <f>F19*C9/25</f>
        <v>1.92</v>
      </c>
    </row>
    <row r="23" spans="2:7" x14ac:dyDescent="0.3">
      <c r="B23" t="s">
        <v>143</v>
      </c>
      <c r="G23" s="40"/>
    </row>
    <row r="25" spans="2:7" ht="15" thickBot="1" x14ac:dyDescent="0.35"/>
    <row r="26" spans="2:7" ht="15" thickBot="1" x14ac:dyDescent="0.35">
      <c r="E26" s="39"/>
      <c r="F26" s="185">
        <f>0.3*C10</f>
        <v>5.0999999999999996</v>
      </c>
      <c r="G26" s="39" t="s">
        <v>5</v>
      </c>
    </row>
    <row r="28" spans="2:7" x14ac:dyDescent="0.3">
      <c r="D28" s="41"/>
      <c r="E28" s="41"/>
      <c r="F28" s="41"/>
    </row>
    <row r="29" spans="2:7" x14ac:dyDescent="0.3">
      <c r="D29" s="42"/>
      <c r="E29" s="42"/>
      <c r="F29" s="42"/>
    </row>
    <row r="37" spans="2:8" ht="15" thickBot="1" x14ac:dyDescent="0.35"/>
    <row r="38" spans="2:8" ht="18.600000000000001" thickBot="1" x14ac:dyDescent="0.4">
      <c r="B38" s="203" t="s">
        <v>144</v>
      </c>
      <c r="C38" s="204"/>
      <c r="D38" s="204"/>
      <c r="E38" s="204"/>
      <c r="F38" s="204"/>
      <c r="G38" s="205"/>
    </row>
    <row r="41" spans="2:8" ht="15" thickBot="1" x14ac:dyDescent="0.35"/>
    <row r="42" spans="2:8" ht="15" thickBot="1" x14ac:dyDescent="0.35">
      <c r="E42" s="186">
        <f>C10*(0.84-(0.33*C12/(0.18+0.87*C12)))</f>
        <v>9.1356959986300037</v>
      </c>
      <c r="F42" s="192" t="s">
        <v>5</v>
      </c>
    </row>
    <row r="47" spans="2:8" ht="15" thickBot="1" x14ac:dyDescent="0.35"/>
    <row r="48" spans="2:8" ht="15" thickBot="1" x14ac:dyDescent="0.35">
      <c r="G48" s="186">
        <f>C9^2/(20.4*C12*C10)</f>
        <v>8.1393875553813348</v>
      </c>
      <c r="H48" s="192" t="s">
        <v>5</v>
      </c>
    </row>
    <row r="52" spans="4:5" ht="15" thickBot="1" x14ac:dyDescent="0.35"/>
    <row r="53" spans="4:5" ht="15" thickBot="1" x14ac:dyDescent="0.35">
      <c r="D53" s="186">
        <f>E42-F21+G48</f>
        <v>15.355083554011339</v>
      </c>
      <c r="E53" s="191" t="s">
        <v>5</v>
      </c>
    </row>
    <row r="54" spans="4:5" ht="15" thickBot="1" x14ac:dyDescent="0.35">
      <c r="D54" s="179" t="s">
        <v>26</v>
      </c>
    </row>
    <row r="55" spans="4:5" ht="15" thickBot="1" x14ac:dyDescent="0.35">
      <c r="D55" s="186">
        <f>E42-F26+G48</f>
        <v>12.175083554011339</v>
      </c>
      <c r="E55" s="191" t="s">
        <v>5</v>
      </c>
    </row>
  </sheetData>
  <sheetProtection sheet="1" objects="1" scenarios="1"/>
  <mergeCells count="5">
    <mergeCell ref="D16:G17"/>
    <mergeCell ref="B4:J4"/>
    <mergeCell ref="B6:C6"/>
    <mergeCell ref="B14:G14"/>
    <mergeCell ref="B38:G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59"/>
  <sheetViews>
    <sheetView topLeftCell="A22" zoomScale="63" zoomScaleNormal="63" workbookViewId="0">
      <selection activeCell="D24" sqref="D24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.6640625" customWidth="1"/>
    <col min="9" max="9" width="16.44140625" customWidth="1"/>
    <col min="10" max="10" width="21" customWidth="1"/>
    <col min="11" max="11" width="21.6640625" customWidth="1"/>
    <col min="12" max="12" width="19.88671875" customWidth="1"/>
    <col min="13" max="13" width="13.109375" customWidth="1"/>
    <col min="14" max="14" width="12.44140625" customWidth="1"/>
  </cols>
  <sheetData>
    <row r="9" spans="2:15" x14ac:dyDescent="0.3">
      <c r="B9" s="4"/>
    </row>
    <row r="10" spans="2:15" ht="9" customHeight="1" thickBot="1" x14ac:dyDescent="0.35"/>
    <row r="11" spans="2:15" ht="24" thickBot="1" x14ac:dyDescent="0.5">
      <c r="B11" s="208" t="s">
        <v>90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65.099999999999994" customHeight="1" x14ac:dyDescent="0.3">
      <c r="B12" s="213" t="s">
        <v>0</v>
      </c>
      <c r="C12" s="215" t="s">
        <v>53</v>
      </c>
      <c r="D12" s="113" t="s">
        <v>54</v>
      </c>
      <c r="E12" s="113" t="s">
        <v>1</v>
      </c>
      <c r="F12" s="113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15" t="s">
        <v>63</v>
      </c>
      <c r="M12" s="115" t="s">
        <v>64</v>
      </c>
      <c r="N12" s="116" t="s">
        <v>41</v>
      </c>
      <c r="O12" s="117" t="s">
        <v>43</v>
      </c>
    </row>
    <row r="13" spans="2:15" ht="27.75" customHeight="1" thickBot="1" x14ac:dyDescent="0.35">
      <c r="B13" s="214"/>
      <c r="C13" s="216"/>
      <c r="D13" s="118" t="s">
        <v>2</v>
      </c>
      <c r="E13" s="118" t="s">
        <v>2</v>
      </c>
      <c r="F13" s="118" t="s">
        <v>2</v>
      </c>
      <c r="G13" s="118" t="s">
        <v>62</v>
      </c>
      <c r="H13" s="118" t="s">
        <v>56</v>
      </c>
      <c r="I13" s="119" t="s">
        <v>3</v>
      </c>
      <c r="J13" s="118" t="s">
        <v>8</v>
      </c>
      <c r="K13" s="118" t="s">
        <v>7</v>
      </c>
      <c r="L13" s="118" t="s">
        <v>5</v>
      </c>
      <c r="M13" s="118" t="s">
        <v>12</v>
      </c>
      <c r="N13" s="120" t="s">
        <v>42</v>
      </c>
      <c r="O13" s="121" t="s">
        <v>42</v>
      </c>
    </row>
    <row r="14" spans="2:15" x14ac:dyDescent="0.3">
      <c r="B14" s="32" t="s">
        <v>98</v>
      </c>
      <c r="C14" s="34" t="s">
        <v>58</v>
      </c>
      <c r="D14" s="34">
        <v>430</v>
      </c>
      <c r="E14" s="34">
        <v>413</v>
      </c>
      <c r="F14" s="34">
        <v>56</v>
      </c>
      <c r="G14" s="34">
        <v>17</v>
      </c>
      <c r="H14" s="34">
        <v>17</v>
      </c>
      <c r="I14" s="35">
        <v>240300</v>
      </c>
      <c r="J14" s="36">
        <v>-16.600000000000001</v>
      </c>
      <c r="K14" s="36">
        <v>25.2</v>
      </c>
      <c r="L14" s="34">
        <v>2.2999999999999998</v>
      </c>
      <c r="M14" s="56">
        <f>L14/((G14+H14)/2)</f>
        <v>0.13529411764705881</v>
      </c>
      <c r="N14" s="75">
        <v>17245</v>
      </c>
      <c r="O14" s="99">
        <v>2925</v>
      </c>
    </row>
    <row r="15" spans="2:15" ht="13.5" customHeight="1" x14ac:dyDescent="0.3">
      <c r="B15" s="43" t="s">
        <v>99</v>
      </c>
      <c r="C15" s="44" t="s">
        <v>58</v>
      </c>
      <c r="D15" s="44">
        <v>400</v>
      </c>
      <c r="E15" s="44">
        <v>383</v>
      </c>
      <c r="F15" s="44">
        <v>58.6</v>
      </c>
      <c r="G15" s="44">
        <v>16</v>
      </c>
      <c r="H15" s="44">
        <v>16</v>
      </c>
      <c r="I15" s="45">
        <v>251014</v>
      </c>
      <c r="J15" s="38">
        <f>-0.0237*E15</f>
        <v>-9.0770999999999997</v>
      </c>
      <c r="K15" s="38"/>
      <c r="L15" s="38">
        <v>1.4</v>
      </c>
      <c r="M15" s="10">
        <f>L15/((G15+H15)/2)</f>
        <v>8.7499999999999994E-2</v>
      </c>
      <c r="N15" s="1">
        <v>19293</v>
      </c>
      <c r="O15" s="16">
        <v>2938</v>
      </c>
    </row>
    <row r="16" spans="2:15" x14ac:dyDescent="0.3">
      <c r="B16" s="43" t="s">
        <v>65</v>
      </c>
      <c r="C16" s="44" t="s">
        <v>58</v>
      </c>
      <c r="D16" s="44">
        <v>400</v>
      </c>
      <c r="E16" s="44">
        <v>378</v>
      </c>
      <c r="F16" s="44">
        <v>54.2</v>
      </c>
      <c r="G16" s="44">
        <v>16</v>
      </c>
      <c r="H16" s="44">
        <v>16</v>
      </c>
      <c r="I16" s="45">
        <v>225000</v>
      </c>
      <c r="J16" s="38">
        <f>-0.02082*E16</f>
        <v>-7.8699600000000007</v>
      </c>
      <c r="K16" s="38">
        <f>(G16+H16)/2-(-0.5*(G16+H16)/2)</f>
        <v>24</v>
      </c>
      <c r="L16" s="38">
        <v>1.04</v>
      </c>
      <c r="M16" s="57">
        <f>L16/((G16+H16)/2)</f>
        <v>6.5000000000000002E-2</v>
      </c>
      <c r="N16" s="1">
        <v>12315</v>
      </c>
      <c r="O16" s="16">
        <v>1920</v>
      </c>
    </row>
    <row r="17" spans="2:15" x14ac:dyDescent="0.3">
      <c r="B17" s="43" t="s">
        <v>65</v>
      </c>
      <c r="C17" s="44" t="s">
        <v>58</v>
      </c>
      <c r="D17" s="44">
        <v>400</v>
      </c>
      <c r="E17" s="44">
        <v>378</v>
      </c>
      <c r="F17" s="44">
        <v>54.2</v>
      </c>
      <c r="G17" s="44">
        <v>14.5</v>
      </c>
      <c r="H17" s="44">
        <v>14.5</v>
      </c>
      <c r="I17" s="45">
        <v>201049</v>
      </c>
      <c r="J17" s="38">
        <f>-0.026*E17</f>
        <v>-9.8279999999999994</v>
      </c>
      <c r="K17" s="38"/>
      <c r="L17" s="38">
        <v>3.5</v>
      </c>
      <c r="M17" s="10">
        <f>L17/((G17+H17)/2)</f>
        <v>0.2413793103448276</v>
      </c>
      <c r="N17" s="1">
        <v>12900</v>
      </c>
      <c r="O17" s="16">
        <v>2001</v>
      </c>
    </row>
    <row r="18" spans="2:15" x14ac:dyDescent="0.3">
      <c r="B18" s="1" t="s">
        <v>66</v>
      </c>
      <c r="C18" s="44" t="s">
        <v>58</v>
      </c>
      <c r="D18" s="3">
        <v>398</v>
      </c>
      <c r="E18" s="3">
        <v>376</v>
      </c>
      <c r="F18" s="3">
        <v>56.4</v>
      </c>
      <c r="G18" s="9">
        <v>16</v>
      </c>
      <c r="H18" s="9">
        <v>16</v>
      </c>
      <c r="I18" s="2">
        <v>216000</v>
      </c>
      <c r="J18" s="6" t="s">
        <v>6</v>
      </c>
      <c r="K18" s="6" t="s">
        <v>6</v>
      </c>
      <c r="L18" s="3" t="s">
        <v>6</v>
      </c>
      <c r="M18" s="10" t="s">
        <v>9</v>
      </c>
      <c r="N18" s="1">
        <v>16965</v>
      </c>
      <c r="O18" s="16">
        <v>3181</v>
      </c>
    </row>
    <row r="19" spans="2:15" x14ac:dyDescent="0.3">
      <c r="B19" s="1" t="s">
        <v>66</v>
      </c>
      <c r="C19" s="44" t="s">
        <v>58</v>
      </c>
      <c r="D19" s="44">
        <v>368.5</v>
      </c>
      <c r="E19" s="44">
        <v>352</v>
      </c>
      <c r="F19" s="44">
        <v>51</v>
      </c>
      <c r="G19" s="44">
        <v>15.8</v>
      </c>
      <c r="H19" s="44">
        <v>15.8</v>
      </c>
      <c r="I19" s="45">
        <v>195706</v>
      </c>
      <c r="J19" s="38">
        <f>-0.018*E19</f>
        <v>-6.3359999999999994</v>
      </c>
      <c r="K19" s="38"/>
      <c r="L19" s="38">
        <v>5.47</v>
      </c>
      <c r="M19" s="10">
        <f>L19/((G19+H19)/2)</f>
        <v>0.34620253164556958</v>
      </c>
      <c r="N19" s="1">
        <v>9808</v>
      </c>
      <c r="O19" s="16">
        <v>1844</v>
      </c>
    </row>
    <row r="20" spans="2:15" x14ac:dyDescent="0.3">
      <c r="B20" s="1" t="s">
        <v>69</v>
      </c>
      <c r="C20" s="44" t="s">
        <v>58</v>
      </c>
      <c r="D20" s="3">
        <v>352</v>
      </c>
      <c r="E20" s="3">
        <v>337</v>
      </c>
      <c r="F20" s="3">
        <v>42.8</v>
      </c>
      <c r="G20" s="3">
        <v>14</v>
      </c>
      <c r="H20" s="3">
        <v>14</v>
      </c>
      <c r="I20" s="5">
        <v>129341</v>
      </c>
      <c r="J20" s="6">
        <v>3.6</v>
      </c>
      <c r="K20" s="6">
        <v>17.8</v>
      </c>
      <c r="L20" s="3">
        <v>3.1</v>
      </c>
      <c r="M20" s="10">
        <f>L20/((G20+H20)/2)</f>
        <v>0.22142857142857145</v>
      </c>
      <c r="N20" s="58">
        <v>9955</v>
      </c>
      <c r="O20" s="100">
        <v>1498</v>
      </c>
    </row>
    <row r="21" spans="2:15" x14ac:dyDescent="0.3">
      <c r="B21" s="1" t="s">
        <v>69</v>
      </c>
      <c r="C21" s="44" t="s">
        <v>58</v>
      </c>
      <c r="D21" s="3">
        <v>352</v>
      </c>
      <c r="E21" s="3">
        <v>337</v>
      </c>
      <c r="F21" s="3">
        <v>42.8</v>
      </c>
      <c r="G21" s="3">
        <v>15</v>
      </c>
      <c r="H21" s="3">
        <v>15</v>
      </c>
      <c r="I21" s="5">
        <v>141025</v>
      </c>
      <c r="J21" s="6">
        <v>1.1000000000000001</v>
      </c>
      <c r="K21" s="6">
        <v>17.899999999999999</v>
      </c>
      <c r="L21" s="3">
        <v>3.03</v>
      </c>
      <c r="M21" s="10">
        <f t="shared" ref="M21" si="0">L21/((G21+H21)/2)</f>
        <v>0.20199999999999999</v>
      </c>
      <c r="N21" s="58">
        <v>9607</v>
      </c>
      <c r="O21" s="100">
        <v>1455</v>
      </c>
    </row>
    <row r="22" spans="2:15" x14ac:dyDescent="0.3">
      <c r="B22" s="1" t="s">
        <v>66</v>
      </c>
      <c r="C22" s="44" t="s">
        <v>58</v>
      </c>
      <c r="D22" s="3">
        <v>350</v>
      </c>
      <c r="E22" s="3">
        <v>334</v>
      </c>
      <c r="F22" s="3">
        <v>49</v>
      </c>
      <c r="G22" s="3">
        <v>16</v>
      </c>
      <c r="H22" s="3">
        <v>16</v>
      </c>
      <c r="I22" s="5">
        <v>185768</v>
      </c>
      <c r="J22" s="6">
        <f>-0.01676647*E22</f>
        <v>-5.6000009799999999</v>
      </c>
      <c r="K22" s="6">
        <f>(G22+H22)/2-(-0.2875*(G22+H22)/2)</f>
        <v>20.6</v>
      </c>
      <c r="L22" s="6">
        <v>1.6</v>
      </c>
      <c r="M22" s="10">
        <f>L22/((G22+H22)/2)</f>
        <v>0.1</v>
      </c>
      <c r="N22" s="1">
        <v>10300</v>
      </c>
      <c r="O22" s="16">
        <v>1760</v>
      </c>
    </row>
    <row r="23" spans="2:15" x14ac:dyDescent="0.3">
      <c r="B23" s="1" t="s">
        <v>68</v>
      </c>
      <c r="C23" s="44" t="s">
        <v>58</v>
      </c>
      <c r="D23" s="3">
        <v>349.7</v>
      </c>
      <c r="E23" s="3">
        <v>333</v>
      </c>
      <c r="F23" s="3">
        <v>50</v>
      </c>
      <c r="G23" s="3">
        <v>13</v>
      </c>
      <c r="H23" s="3">
        <v>13</v>
      </c>
      <c r="I23" s="5">
        <v>138530</v>
      </c>
      <c r="J23" s="6">
        <v>0</v>
      </c>
      <c r="K23" s="6">
        <v>18</v>
      </c>
      <c r="L23" s="3">
        <v>2</v>
      </c>
      <c r="M23" s="10">
        <f>L23/((G23+H23)/2)</f>
        <v>0.15384615384615385</v>
      </c>
      <c r="N23" s="1">
        <v>10600</v>
      </c>
      <c r="O23" s="16">
        <v>1750</v>
      </c>
    </row>
    <row r="24" spans="2:15" x14ac:dyDescent="0.3">
      <c r="B24" s="101" t="s">
        <v>67</v>
      </c>
      <c r="C24" s="44" t="s">
        <v>58</v>
      </c>
      <c r="D24" s="3">
        <v>347</v>
      </c>
      <c r="E24" s="3">
        <v>331.54</v>
      </c>
      <c r="F24" s="3">
        <v>42.9</v>
      </c>
      <c r="G24" s="3">
        <v>14.3</v>
      </c>
      <c r="H24" s="3">
        <v>14.3</v>
      </c>
      <c r="I24" s="5">
        <v>136132</v>
      </c>
      <c r="J24" s="6">
        <f>-0.016499*E24</f>
        <v>-5.4700784599999999</v>
      </c>
      <c r="K24" s="6">
        <f>(G24+H24)/2-(-0.372*(G24+H24)/2)</f>
        <v>19.619600000000002</v>
      </c>
      <c r="L24" s="6" t="s">
        <v>9</v>
      </c>
      <c r="M24" s="10" t="s">
        <v>9</v>
      </c>
      <c r="N24" s="1"/>
      <c r="O24" s="16"/>
    </row>
    <row r="25" spans="2:15" x14ac:dyDescent="0.3">
      <c r="B25" s="1" t="s">
        <v>68</v>
      </c>
      <c r="C25" s="44" t="s">
        <v>58</v>
      </c>
      <c r="D25" s="3">
        <v>346.98</v>
      </c>
      <c r="E25" s="3">
        <v>331.54</v>
      </c>
      <c r="F25" s="3">
        <v>42.8</v>
      </c>
      <c r="G25" s="3">
        <v>14</v>
      </c>
      <c r="H25" s="3">
        <v>14</v>
      </c>
      <c r="I25" s="5">
        <v>133276</v>
      </c>
      <c r="J25" s="6">
        <f>-0.0165*E25</f>
        <v>-5.4704100000000002</v>
      </c>
      <c r="K25" s="6">
        <f>(G25+H25)/2-(-0.38*(G25+H25)/2)</f>
        <v>19.32</v>
      </c>
      <c r="L25" s="6" t="s">
        <v>9</v>
      </c>
      <c r="M25" s="10" t="s">
        <v>9</v>
      </c>
      <c r="N25" s="1"/>
      <c r="O25" s="16"/>
    </row>
    <row r="26" spans="2:15" x14ac:dyDescent="0.3">
      <c r="B26" s="1" t="s">
        <v>69</v>
      </c>
      <c r="C26" s="44" t="s">
        <v>58</v>
      </c>
      <c r="D26" s="3">
        <v>334.1</v>
      </c>
      <c r="E26" s="3">
        <v>314.7</v>
      </c>
      <c r="F26" s="3">
        <v>42.8</v>
      </c>
      <c r="G26" s="3">
        <v>14</v>
      </c>
      <c r="H26" s="3">
        <v>14</v>
      </c>
      <c r="I26" s="5">
        <v>123115</v>
      </c>
      <c r="J26" s="6">
        <f>-0.0165*E26</f>
        <v>-5.1925499999999998</v>
      </c>
      <c r="K26" s="6"/>
      <c r="L26" s="6">
        <v>1.27</v>
      </c>
      <c r="M26" s="10">
        <f>L26/((G26+H26)/2)</f>
        <v>9.071428571428572E-2</v>
      </c>
      <c r="N26" s="1">
        <v>8127</v>
      </c>
      <c r="O26" s="16">
        <v>1476</v>
      </c>
    </row>
    <row r="27" spans="2:15" x14ac:dyDescent="0.3">
      <c r="B27" s="1" t="s">
        <v>69</v>
      </c>
      <c r="C27" s="44" t="s">
        <v>58</v>
      </c>
      <c r="D27" s="3">
        <v>334</v>
      </c>
      <c r="E27" s="3">
        <v>319</v>
      </c>
      <c r="F27" s="3">
        <v>42.8</v>
      </c>
      <c r="G27" s="3">
        <v>14.5</v>
      </c>
      <c r="H27" s="3">
        <v>14.5</v>
      </c>
      <c r="I27" s="5">
        <v>130000</v>
      </c>
      <c r="J27" s="6">
        <v>-7.7</v>
      </c>
      <c r="K27" s="6">
        <v>18.8</v>
      </c>
      <c r="L27" s="3">
        <v>1.8</v>
      </c>
      <c r="M27" s="10">
        <f>L27/((G27+H27)/2)</f>
        <v>0.12413793103448276</v>
      </c>
      <c r="N27" s="58">
        <v>9530</v>
      </c>
      <c r="O27" s="100">
        <v>1610</v>
      </c>
    </row>
    <row r="28" spans="2:15" x14ac:dyDescent="0.3">
      <c r="B28" s="1" t="s">
        <v>70</v>
      </c>
      <c r="C28" s="44" t="s">
        <v>58</v>
      </c>
      <c r="D28" s="3">
        <v>293.2</v>
      </c>
      <c r="E28" s="3">
        <v>276</v>
      </c>
      <c r="F28" s="3">
        <v>40</v>
      </c>
      <c r="G28" s="3">
        <v>14</v>
      </c>
      <c r="H28" s="3">
        <v>14</v>
      </c>
      <c r="I28" s="5">
        <v>102163</v>
      </c>
      <c r="J28" s="6">
        <f>0.02083*E28</f>
        <v>5.7490800000000002</v>
      </c>
      <c r="K28" s="6">
        <f>(G28+H28)/2-(-0.435714*(G28+H28)/2)</f>
        <v>20.099996000000001</v>
      </c>
      <c r="L28" s="6">
        <v>1.5</v>
      </c>
      <c r="M28" s="10">
        <f>L28/((G28+H28)/2)</f>
        <v>0.10714285714285714</v>
      </c>
      <c r="N28" s="1">
        <v>7398</v>
      </c>
      <c r="O28" s="16">
        <v>1420</v>
      </c>
    </row>
    <row r="29" spans="2:15" x14ac:dyDescent="0.3">
      <c r="B29" s="1" t="s">
        <v>71</v>
      </c>
      <c r="C29" s="44" t="s">
        <v>58</v>
      </c>
      <c r="D29" s="3">
        <v>293.5</v>
      </c>
      <c r="E29" s="3">
        <v>278.5</v>
      </c>
      <c r="F29" s="3">
        <v>32.200000000000003</v>
      </c>
      <c r="G29" s="3">
        <v>12.8</v>
      </c>
      <c r="H29" s="3">
        <v>12.8</v>
      </c>
      <c r="I29" s="5">
        <v>76218</v>
      </c>
      <c r="J29" s="6">
        <f>-0.0245373*E29</f>
        <v>-6.8336380500000002</v>
      </c>
      <c r="K29" s="6">
        <f>(G29+H29)/2-(-0.445313*(G29+H29)/2)</f>
        <v>18.5000064</v>
      </c>
      <c r="L29" s="6">
        <v>3.1</v>
      </c>
      <c r="M29" s="10">
        <f>L29/((G29+H29)/2)</f>
        <v>0.2421875</v>
      </c>
      <c r="N29" s="1">
        <v>5043</v>
      </c>
      <c r="O29" s="16">
        <v>765</v>
      </c>
    </row>
    <row r="30" spans="2:15" x14ac:dyDescent="0.3">
      <c r="B30" s="1" t="s">
        <v>71</v>
      </c>
      <c r="C30" s="44" t="s">
        <v>58</v>
      </c>
      <c r="D30" s="3">
        <v>293.5</v>
      </c>
      <c r="E30" s="3">
        <v>278.5</v>
      </c>
      <c r="F30" s="3">
        <v>32.200000000000003</v>
      </c>
      <c r="G30" s="3">
        <v>13.01</v>
      </c>
      <c r="H30" s="3">
        <v>13.01</v>
      </c>
      <c r="I30" s="5">
        <v>77588</v>
      </c>
      <c r="J30" s="6">
        <f>-0.0245373*E30</f>
        <v>-6.8336380500000002</v>
      </c>
      <c r="K30" s="6">
        <f>(G30+H30)/2-(-0.4256*(G30+H30)/2)</f>
        <v>18.547055999999998</v>
      </c>
      <c r="L30" s="6" t="s">
        <v>9</v>
      </c>
      <c r="M30" s="10" t="s">
        <v>9</v>
      </c>
      <c r="N30" s="91"/>
      <c r="O30" s="92"/>
    </row>
    <row r="31" spans="2:15" x14ac:dyDescent="0.3">
      <c r="B31" s="1" t="s">
        <v>72</v>
      </c>
      <c r="C31" s="44" t="s">
        <v>58</v>
      </c>
      <c r="D31" s="3">
        <v>292.08</v>
      </c>
      <c r="E31" s="3">
        <v>277</v>
      </c>
      <c r="F31" s="3">
        <v>32.25</v>
      </c>
      <c r="G31" s="3">
        <v>13</v>
      </c>
      <c r="H31" s="3">
        <v>13</v>
      </c>
      <c r="I31" s="5">
        <v>75250</v>
      </c>
      <c r="J31" s="6">
        <f>-0.0169*E31</f>
        <v>-4.6812999999999994</v>
      </c>
      <c r="K31" s="6">
        <f>(G31+H31)/2-(-0.08385*(G31+H31)/2)</f>
        <v>14.09005</v>
      </c>
      <c r="L31" s="6" t="s">
        <v>9</v>
      </c>
      <c r="M31" s="10" t="s">
        <v>9</v>
      </c>
      <c r="N31" s="1"/>
      <c r="O31" s="16"/>
    </row>
    <row r="32" spans="2:15" x14ac:dyDescent="0.3">
      <c r="B32" s="1" t="s">
        <v>73</v>
      </c>
      <c r="C32" s="3" t="s">
        <v>58</v>
      </c>
      <c r="D32" s="3">
        <v>272</v>
      </c>
      <c r="E32" s="3">
        <v>268</v>
      </c>
      <c r="F32" s="3">
        <v>32.200000000000003</v>
      </c>
      <c r="G32" s="3">
        <v>12.5</v>
      </c>
      <c r="H32" s="3">
        <v>12.5</v>
      </c>
      <c r="I32" s="3">
        <v>71736</v>
      </c>
      <c r="J32" s="6">
        <f>-0.0245373*E32</f>
        <v>-6.5759964000000002</v>
      </c>
      <c r="K32" s="6">
        <f>(G32+H32)/2-(-0.4256*(G32+H32)/2)</f>
        <v>17.82</v>
      </c>
      <c r="L32" s="6" t="s">
        <v>9</v>
      </c>
      <c r="M32" s="10" t="s">
        <v>9</v>
      </c>
      <c r="N32" s="1"/>
      <c r="O32" s="16"/>
    </row>
    <row r="33" spans="2:15" x14ac:dyDescent="0.3">
      <c r="B33" s="1" t="s">
        <v>74</v>
      </c>
      <c r="C33" s="3" t="s">
        <v>58</v>
      </c>
      <c r="D33" s="3">
        <v>249.1</v>
      </c>
      <c r="E33" s="3">
        <v>235</v>
      </c>
      <c r="F33" s="3">
        <v>37.4</v>
      </c>
      <c r="G33" s="3">
        <v>12</v>
      </c>
      <c r="H33" s="3">
        <v>12</v>
      </c>
      <c r="I33" s="3">
        <v>67125</v>
      </c>
      <c r="J33" s="6">
        <f>-0.0012*E33</f>
        <v>-0.28199999999999997</v>
      </c>
      <c r="K33" s="6"/>
      <c r="L33" s="6">
        <v>1</v>
      </c>
      <c r="M33" s="10">
        <f>L33/((G33+H33)/2)</f>
        <v>8.3333333333333329E-2</v>
      </c>
      <c r="N33" s="1">
        <v>6562</v>
      </c>
      <c r="O33" s="16">
        <v>1304</v>
      </c>
    </row>
    <row r="34" spans="2:15" x14ac:dyDescent="0.3">
      <c r="B34" s="101" t="s">
        <v>75</v>
      </c>
      <c r="C34" s="3" t="s">
        <v>58</v>
      </c>
      <c r="D34" s="3">
        <v>245</v>
      </c>
      <c r="E34" s="3">
        <v>231</v>
      </c>
      <c r="F34" s="3">
        <v>32.200000000000003</v>
      </c>
      <c r="G34" s="3">
        <v>12</v>
      </c>
      <c r="H34" s="3">
        <v>12</v>
      </c>
      <c r="I34" s="3">
        <v>56500</v>
      </c>
      <c r="J34" s="6">
        <f>-0.0173*E34</f>
        <v>-3.9962999999999997</v>
      </c>
      <c r="K34" s="6"/>
      <c r="L34" s="6">
        <v>1.27</v>
      </c>
      <c r="M34" s="10">
        <f>L34/((G34+H34)/2)</f>
        <v>0.10583333333333333</v>
      </c>
      <c r="N34" s="1">
        <v>4800</v>
      </c>
      <c r="O34" s="16">
        <v>727</v>
      </c>
    </row>
    <row r="35" spans="2:15" x14ac:dyDescent="0.3">
      <c r="B35" s="101" t="s">
        <v>68</v>
      </c>
      <c r="C35" s="3" t="s">
        <v>58</v>
      </c>
      <c r="D35" s="3">
        <v>240</v>
      </c>
      <c r="E35" s="3">
        <v>228</v>
      </c>
      <c r="F35" s="3">
        <v>32.200000000000003</v>
      </c>
      <c r="G35" s="3">
        <v>14</v>
      </c>
      <c r="H35" s="3">
        <v>14</v>
      </c>
      <c r="I35" s="3">
        <v>66025</v>
      </c>
      <c r="J35" s="6">
        <f>0.0317*E35</f>
        <v>7.2275999999999998</v>
      </c>
      <c r="K35" s="6"/>
      <c r="L35" s="6"/>
      <c r="M35" s="10"/>
      <c r="N35" s="1">
        <v>5766</v>
      </c>
      <c r="O35" s="16">
        <v>1026</v>
      </c>
    </row>
    <row r="36" spans="2:15" x14ac:dyDescent="0.3">
      <c r="B36" s="1" t="s">
        <v>81</v>
      </c>
      <c r="C36" s="3" t="s">
        <v>58</v>
      </c>
      <c r="D36" s="3">
        <v>228</v>
      </c>
      <c r="E36" s="3">
        <v>217.3</v>
      </c>
      <c r="F36" s="3">
        <v>37.299999999999997</v>
      </c>
      <c r="G36" s="3">
        <v>12</v>
      </c>
      <c r="H36" s="3">
        <v>12</v>
      </c>
      <c r="I36" s="3">
        <v>62000</v>
      </c>
      <c r="J36" s="6">
        <v>-3.5</v>
      </c>
      <c r="K36" s="6">
        <v>15.4</v>
      </c>
      <c r="L36" s="3">
        <v>1.9</v>
      </c>
      <c r="M36" s="10">
        <f t="shared" ref="M36:M44" si="1">L36/((G36+H36)/2)</f>
        <v>0.15833333333333333</v>
      </c>
      <c r="N36" s="58">
        <v>1050</v>
      </c>
      <c r="O36" s="100">
        <v>4720</v>
      </c>
    </row>
    <row r="37" spans="2:15" x14ac:dyDescent="0.3">
      <c r="B37" s="1" t="s">
        <v>81</v>
      </c>
      <c r="C37" s="3" t="s">
        <v>58</v>
      </c>
      <c r="D37" s="3">
        <v>228</v>
      </c>
      <c r="E37" s="3">
        <v>217.3</v>
      </c>
      <c r="F37" s="3">
        <v>37.299999999999997</v>
      </c>
      <c r="G37" s="9">
        <v>12.45</v>
      </c>
      <c r="H37" s="9">
        <v>12.45</v>
      </c>
      <c r="I37" s="3">
        <v>66600</v>
      </c>
      <c r="J37" s="6">
        <v>-1.9</v>
      </c>
      <c r="K37" s="6">
        <v>13</v>
      </c>
      <c r="L37" s="3">
        <v>1</v>
      </c>
      <c r="M37" s="10">
        <f t="shared" si="1"/>
        <v>8.0321285140562249E-2</v>
      </c>
      <c r="N37" s="1">
        <v>5500</v>
      </c>
      <c r="O37" s="16">
        <v>960</v>
      </c>
    </row>
    <row r="38" spans="2:15" x14ac:dyDescent="0.3">
      <c r="B38" s="1" t="s">
        <v>76</v>
      </c>
      <c r="C38" s="3" t="s">
        <v>58</v>
      </c>
      <c r="D38" s="3">
        <v>222.17</v>
      </c>
      <c r="E38" s="3">
        <v>212.18</v>
      </c>
      <c r="F38" s="3">
        <v>30</v>
      </c>
      <c r="G38" s="3">
        <v>12.27</v>
      </c>
      <c r="H38" s="3">
        <v>12.27</v>
      </c>
      <c r="I38" s="3">
        <v>55146</v>
      </c>
      <c r="J38" s="6">
        <f>-0.02017155*E38</f>
        <v>-4.2799994789999998</v>
      </c>
      <c r="K38" s="6">
        <f>(G38+H38)/2-(-0.3854931*(G38+H38)/2)</f>
        <v>17.000000336999999</v>
      </c>
      <c r="L38" s="6">
        <v>1.4</v>
      </c>
      <c r="M38" s="10">
        <f t="shared" si="1"/>
        <v>0.11409942950285248</v>
      </c>
      <c r="N38" s="1">
        <v>3736</v>
      </c>
      <c r="O38" s="16">
        <v>711</v>
      </c>
    </row>
    <row r="39" spans="2:15" x14ac:dyDescent="0.3">
      <c r="B39" s="1" t="s">
        <v>75</v>
      </c>
      <c r="C39" s="3" t="s">
        <v>58</v>
      </c>
      <c r="D39" s="3">
        <v>220</v>
      </c>
      <c r="E39" s="3">
        <v>210</v>
      </c>
      <c r="F39" s="3">
        <v>32.200000000000003</v>
      </c>
      <c r="G39" s="3">
        <v>11.5</v>
      </c>
      <c r="H39" s="3">
        <v>11.5</v>
      </c>
      <c r="I39" s="3">
        <v>45400</v>
      </c>
      <c r="J39" s="6">
        <v>-3.1</v>
      </c>
      <c r="K39" s="6">
        <v>12.1</v>
      </c>
      <c r="L39" s="3">
        <v>1.2</v>
      </c>
      <c r="M39" s="10">
        <f t="shared" si="1"/>
        <v>0.10434782608695652</v>
      </c>
      <c r="N39" s="58">
        <v>4115</v>
      </c>
      <c r="O39" s="100">
        <v>780</v>
      </c>
    </row>
    <row r="40" spans="2:15" x14ac:dyDescent="0.3">
      <c r="B40" s="1" t="s">
        <v>77</v>
      </c>
      <c r="C40" s="3" t="s">
        <v>58</v>
      </c>
      <c r="D40" s="3">
        <v>215.6</v>
      </c>
      <c r="E40" s="3">
        <v>206.2</v>
      </c>
      <c r="F40" s="3">
        <v>32.200000000000003</v>
      </c>
      <c r="G40" s="3">
        <v>11</v>
      </c>
      <c r="H40" s="3">
        <v>11</v>
      </c>
      <c r="I40" s="3">
        <v>48523</v>
      </c>
      <c r="J40" s="6">
        <f>-0.02453928*E40</f>
        <v>-5.0599995359999994</v>
      </c>
      <c r="K40" s="6">
        <f>(G40+H40)/2-(-0.1727273*(G40+H40)/2)</f>
        <v>12.9000003</v>
      </c>
      <c r="L40" s="6">
        <v>2</v>
      </c>
      <c r="M40" s="10">
        <f t="shared" si="1"/>
        <v>0.18181818181818182</v>
      </c>
      <c r="N40" s="1">
        <v>3800</v>
      </c>
      <c r="O40" s="16">
        <v>740</v>
      </c>
    </row>
    <row r="41" spans="2:15" x14ac:dyDescent="0.3">
      <c r="B41" s="1" t="s">
        <v>86</v>
      </c>
      <c r="C41" s="3" t="s">
        <v>58</v>
      </c>
      <c r="D41" s="3">
        <v>202</v>
      </c>
      <c r="E41" s="3">
        <v>192</v>
      </c>
      <c r="F41" s="3">
        <v>32.200000000000003</v>
      </c>
      <c r="G41" s="9">
        <v>11.5</v>
      </c>
      <c r="H41" s="9">
        <v>11.5</v>
      </c>
      <c r="I41" s="3">
        <v>45000</v>
      </c>
      <c r="J41" s="6">
        <v>-4.75</v>
      </c>
      <c r="K41" s="6">
        <v>13</v>
      </c>
      <c r="L41" s="3">
        <v>1.2</v>
      </c>
      <c r="M41" s="10">
        <f t="shared" si="1"/>
        <v>0.10434782608695652</v>
      </c>
      <c r="N41" s="1">
        <v>4450</v>
      </c>
      <c r="O41" s="16">
        <v>850</v>
      </c>
    </row>
    <row r="42" spans="2:15" x14ac:dyDescent="0.3">
      <c r="B42" s="1" t="s">
        <v>85</v>
      </c>
      <c r="C42" s="3" t="s">
        <v>58</v>
      </c>
      <c r="D42" s="3">
        <v>163</v>
      </c>
      <c r="E42" s="3">
        <v>153</v>
      </c>
      <c r="F42" s="3">
        <v>27.2</v>
      </c>
      <c r="G42" s="3">
        <v>8.5</v>
      </c>
      <c r="H42" s="3">
        <v>8.5</v>
      </c>
      <c r="I42" s="3">
        <v>22700</v>
      </c>
      <c r="J42" s="6">
        <v>-3.5</v>
      </c>
      <c r="K42" s="6">
        <v>10</v>
      </c>
      <c r="L42" s="3">
        <v>1.2</v>
      </c>
      <c r="M42" s="10">
        <f t="shared" si="1"/>
        <v>0.14117647058823529</v>
      </c>
      <c r="N42" s="1">
        <v>3380</v>
      </c>
      <c r="O42" s="16">
        <v>785</v>
      </c>
    </row>
    <row r="43" spans="2:15" x14ac:dyDescent="0.3">
      <c r="B43" s="1" t="s">
        <v>78</v>
      </c>
      <c r="C43" s="3" t="s">
        <v>58</v>
      </c>
      <c r="D43" s="3">
        <v>155</v>
      </c>
      <c r="E43" s="3">
        <v>145</v>
      </c>
      <c r="F43" s="3">
        <v>25</v>
      </c>
      <c r="G43" s="3">
        <v>8.4</v>
      </c>
      <c r="H43" s="3">
        <v>8.4</v>
      </c>
      <c r="I43" s="3">
        <v>19658</v>
      </c>
      <c r="J43" s="6">
        <f>0.0135*E43</f>
        <v>1.9575</v>
      </c>
      <c r="K43" s="6" t="s">
        <v>9</v>
      </c>
      <c r="L43" s="6">
        <v>1.35</v>
      </c>
      <c r="M43" s="10">
        <f t="shared" si="1"/>
        <v>0.16071428571428573</v>
      </c>
      <c r="N43" s="1"/>
      <c r="O43" s="16"/>
    </row>
    <row r="44" spans="2:15" ht="15" thickBot="1" x14ac:dyDescent="0.35">
      <c r="B44" s="11" t="s">
        <v>84</v>
      </c>
      <c r="C44" s="12" t="s">
        <v>58</v>
      </c>
      <c r="D44" s="102">
        <v>135</v>
      </c>
      <c r="E44" s="102">
        <v>124</v>
      </c>
      <c r="F44" s="103">
        <v>21.6</v>
      </c>
      <c r="G44" s="103">
        <v>7.7</v>
      </c>
      <c r="H44" s="103">
        <v>7.7</v>
      </c>
      <c r="I44" s="102">
        <v>13000</v>
      </c>
      <c r="J44" s="104">
        <v>-2.9</v>
      </c>
      <c r="K44" s="104">
        <v>9.1</v>
      </c>
      <c r="L44" s="105">
        <v>1</v>
      </c>
      <c r="M44" s="15">
        <f t="shared" si="1"/>
        <v>0.12987012987012986</v>
      </c>
      <c r="N44" s="81">
        <v>2160</v>
      </c>
      <c r="O44" s="31">
        <v>460</v>
      </c>
    </row>
    <row r="45" spans="2:15" ht="15" thickBot="1" x14ac:dyDescent="0.35">
      <c r="B45" s="107"/>
      <c r="C45" s="108"/>
      <c r="D45" s="108"/>
      <c r="E45" s="108"/>
      <c r="F45" s="108"/>
      <c r="G45" s="108"/>
      <c r="H45" s="108"/>
      <c r="I45" s="109"/>
      <c r="J45" s="110"/>
      <c r="K45" s="110"/>
      <c r="L45" s="110"/>
      <c r="M45" s="111"/>
      <c r="N45" s="112"/>
      <c r="O45" s="111"/>
    </row>
    <row r="46" spans="2:15" x14ac:dyDescent="0.3">
      <c r="B46" s="32" t="s">
        <v>87</v>
      </c>
      <c r="C46" s="132" t="s">
        <v>59</v>
      </c>
      <c r="D46" s="34">
        <v>398</v>
      </c>
      <c r="E46" s="34">
        <v>376</v>
      </c>
      <c r="F46" s="34">
        <v>56.4</v>
      </c>
      <c r="G46" s="76">
        <v>14.6</v>
      </c>
      <c r="H46" s="76">
        <v>14.6</v>
      </c>
      <c r="I46" s="34">
        <v>196000</v>
      </c>
      <c r="J46" s="36">
        <v>-7.6</v>
      </c>
      <c r="K46" s="36">
        <v>18</v>
      </c>
      <c r="L46" s="34">
        <v>2</v>
      </c>
      <c r="M46" s="56">
        <f>L46/((G46+H46)/2)</f>
        <v>0.13698630136986301</v>
      </c>
      <c r="N46" s="32">
        <v>16965</v>
      </c>
      <c r="O46" s="37">
        <v>3181</v>
      </c>
    </row>
    <row r="47" spans="2:15" x14ac:dyDescent="0.3">
      <c r="B47" s="43" t="s">
        <v>79</v>
      </c>
      <c r="C47" s="44" t="s">
        <v>4</v>
      </c>
      <c r="D47" s="44">
        <v>397.6</v>
      </c>
      <c r="E47" s="44">
        <v>376</v>
      </c>
      <c r="F47" s="44">
        <v>56.4</v>
      </c>
      <c r="G47" s="44">
        <v>9</v>
      </c>
      <c r="H47" s="44">
        <v>10</v>
      </c>
      <c r="I47" s="45">
        <v>108210</v>
      </c>
      <c r="J47" s="38">
        <f>-0.02965*E47</f>
        <v>-11.148400000000001</v>
      </c>
      <c r="K47" s="38">
        <f>(G47+H47)/2-(-0.5221*(G47+H47)/2)</f>
        <v>14.459949999999999</v>
      </c>
      <c r="L47" s="38">
        <v>17.7</v>
      </c>
      <c r="M47" s="57">
        <f>L47/((G47+H47)/2)</f>
        <v>1.8631578947368421</v>
      </c>
      <c r="N47" s="43">
        <v>9646</v>
      </c>
      <c r="O47" s="69">
        <v>2164</v>
      </c>
    </row>
    <row r="48" spans="2:15" x14ac:dyDescent="0.3">
      <c r="B48" s="1" t="s">
        <v>69</v>
      </c>
      <c r="C48" s="7" t="s">
        <v>59</v>
      </c>
      <c r="D48" s="3">
        <v>352</v>
      </c>
      <c r="E48" s="3">
        <v>337</v>
      </c>
      <c r="F48" s="3">
        <v>42.8</v>
      </c>
      <c r="G48" s="3">
        <v>10</v>
      </c>
      <c r="H48" s="3">
        <v>10</v>
      </c>
      <c r="I48" s="3">
        <v>83295</v>
      </c>
      <c r="J48" s="6">
        <v>12</v>
      </c>
      <c r="K48" s="6">
        <v>13</v>
      </c>
      <c r="L48" s="3">
        <v>4.99</v>
      </c>
      <c r="M48" s="10">
        <f>L48/((G48+H48)/2)</f>
        <v>0.499</v>
      </c>
      <c r="N48" s="1">
        <v>8500</v>
      </c>
      <c r="O48" s="16">
        <v>1670</v>
      </c>
    </row>
    <row r="49" spans="2:15" x14ac:dyDescent="0.3">
      <c r="B49" s="81" t="s">
        <v>68</v>
      </c>
      <c r="C49" s="28" t="s">
        <v>4</v>
      </c>
      <c r="D49" s="28">
        <v>346.98</v>
      </c>
      <c r="E49" s="28">
        <v>331.54</v>
      </c>
      <c r="F49" s="28">
        <v>42.8</v>
      </c>
      <c r="G49" s="28">
        <v>10</v>
      </c>
      <c r="H49" s="28">
        <v>10</v>
      </c>
      <c r="I49" s="29">
        <v>87899</v>
      </c>
      <c r="J49" s="30">
        <f>-0.0113*E49</f>
        <v>-3.7464019999999998</v>
      </c>
      <c r="K49" s="30">
        <f>(G49+H49)/2-(-0.6*(G49+H49)/2)</f>
        <v>16</v>
      </c>
      <c r="L49" s="30" t="s">
        <v>9</v>
      </c>
      <c r="M49" s="85" t="s">
        <v>9</v>
      </c>
      <c r="N49" s="91"/>
      <c r="O49" s="92"/>
    </row>
    <row r="50" spans="2:15" s="86" customFormat="1" x14ac:dyDescent="0.3">
      <c r="B50" s="101" t="s">
        <v>68</v>
      </c>
      <c r="C50" s="7" t="s">
        <v>59</v>
      </c>
      <c r="D50" s="3">
        <v>347</v>
      </c>
      <c r="E50" s="3">
        <v>331.54</v>
      </c>
      <c r="F50" s="3">
        <v>42.9</v>
      </c>
      <c r="G50" s="3">
        <v>11.6</v>
      </c>
      <c r="H50" s="3">
        <v>11.6</v>
      </c>
      <c r="I50" s="3">
        <v>109476</v>
      </c>
      <c r="J50" s="6">
        <f>-0.0165*E50</f>
        <v>-5.4704100000000002</v>
      </c>
      <c r="K50" s="6"/>
      <c r="L50" s="6">
        <v>2.4500000000000002</v>
      </c>
      <c r="M50" s="10">
        <f t="shared" ref="M50:M55" si="2">L50/((G50+H50)/2)</f>
        <v>0.21120689655172417</v>
      </c>
      <c r="N50" s="1">
        <v>10334</v>
      </c>
      <c r="O50" s="16">
        <v>1781</v>
      </c>
    </row>
    <row r="51" spans="2:15" x14ac:dyDescent="0.3">
      <c r="B51" s="81" t="s">
        <v>80</v>
      </c>
      <c r="C51" s="93" t="s">
        <v>59</v>
      </c>
      <c r="D51" s="28">
        <v>318</v>
      </c>
      <c r="E51" s="28">
        <v>302</v>
      </c>
      <c r="F51" s="28">
        <v>42.8</v>
      </c>
      <c r="G51" s="28">
        <v>10</v>
      </c>
      <c r="H51" s="28">
        <v>10</v>
      </c>
      <c r="I51" s="29">
        <v>74016</v>
      </c>
      <c r="J51" s="30">
        <v>11.11</v>
      </c>
      <c r="K51" s="30">
        <v>13</v>
      </c>
      <c r="L51" s="28">
        <v>8.6999999999999993</v>
      </c>
      <c r="M51" s="85">
        <f t="shared" si="2"/>
        <v>0.86999999999999988</v>
      </c>
      <c r="N51" s="96">
        <v>8297</v>
      </c>
      <c r="O51" s="97">
        <v>1696</v>
      </c>
    </row>
    <row r="52" spans="2:15" s="86" customFormat="1" x14ac:dyDescent="0.3">
      <c r="B52" s="43" t="s">
        <v>74</v>
      </c>
      <c r="C52" s="95" t="s">
        <v>60</v>
      </c>
      <c r="D52" s="82">
        <v>249.1</v>
      </c>
      <c r="E52" s="82">
        <v>235</v>
      </c>
      <c r="F52" s="82">
        <v>37.4</v>
      </c>
      <c r="G52" s="82">
        <v>10</v>
      </c>
      <c r="H52" s="82">
        <v>10</v>
      </c>
      <c r="I52" s="82">
        <v>53560</v>
      </c>
      <c r="J52" s="38">
        <f>-0.0012*E52</f>
        <v>-0.28199999999999997</v>
      </c>
      <c r="K52" s="55"/>
      <c r="L52" s="55">
        <v>2.23</v>
      </c>
      <c r="M52" s="57">
        <f t="shared" si="2"/>
        <v>0.223</v>
      </c>
      <c r="N52" s="43">
        <v>7032</v>
      </c>
      <c r="O52" s="69">
        <v>1379</v>
      </c>
    </row>
    <row r="53" spans="2:15" s="86" customFormat="1" ht="19.5" customHeight="1" x14ac:dyDescent="0.3">
      <c r="B53" s="106" t="s">
        <v>75</v>
      </c>
      <c r="C53" s="93" t="s">
        <v>60</v>
      </c>
      <c r="D53" s="28">
        <v>245</v>
      </c>
      <c r="E53" s="28">
        <v>231</v>
      </c>
      <c r="F53" s="28">
        <v>32.200000000000003</v>
      </c>
      <c r="G53" s="28">
        <v>9.6</v>
      </c>
      <c r="H53" s="28">
        <v>9.6</v>
      </c>
      <c r="I53" s="28">
        <v>43500</v>
      </c>
      <c r="J53" s="30">
        <f>-0.0194*E53</f>
        <v>-4.4813999999999998</v>
      </c>
      <c r="K53" s="30"/>
      <c r="L53" s="30">
        <v>1.22</v>
      </c>
      <c r="M53" s="10">
        <f t="shared" si="2"/>
        <v>0.12708333333333333</v>
      </c>
      <c r="N53" s="1">
        <v>4200</v>
      </c>
      <c r="O53" s="16">
        <v>810</v>
      </c>
    </row>
    <row r="54" spans="2:15" s="86" customFormat="1" ht="19.5" customHeight="1" x14ac:dyDescent="0.3">
      <c r="B54" s="106" t="s">
        <v>75</v>
      </c>
      <c r="C54" s="93" t="s">
        <v>4</v>
      </c>
      <c r="D54" s="28">
        <v>245</v>
      </c>
      <c r="E54" s="28">
        <v>231</v>
      </c>
      <c r="F54" s="28">
        <v>32.200000000000003</v>
      </c>
      <c r="G54" s="28">
        <v>7.5</v>
      </c>
      <c r="H54" s="28">
        <v>7.5</v>
      </c>
      <c r="I54" s="28">
        <v>31500</v>
      </c>
      <c r="J54" s="30">
        <f>-0.017*E54</f>
        <v>-3.9270000000000005</v>
      </c>
      <c r="K54" s="30"/>
      <c r="L54" s="30">
        <v>10.71</v>
      </c>
      <c r="M54" s="10">
        <f t="shared" si="2"/>
        <v>1.4280000000000002</v>
      </c>
      <c r="N54" s="1">
        <v>5000</v>
      </c>
      <c r="O54" s="16">
        <v>875</v>
      </c>
    </row>
    <row r="55" spans="2:15" s="86" customFormat="1" ht="15" thickBot="1" x14ac:dyDescent="0.35">
      <c r="B55" s="11" t="s">
        <v>76</v>
      </c>
      <c r="C55" s="17" t="s">
        <v>59</v>
      </c>
      <c r="D55" s="12">
        <v>222.17</v>
      </c>
      <c r="E55" s="12">
        <v>212.18</v>
      </c>
      <c r="F55" s="12">
        <v>30</v>
      </c>
      <c r="G55" s="12">
        <v>11.5</v>
      </c>
      <c r="H55" s="12">
        <v>11.5</v>
      </c>
      <c r="I55" s="12">
        <v>50920</v>
      </c>
      <c r="J55" s="14">
        <f>-0.02017155*E55</f>
        <v>-4.2799994789999998</v>
      </c>
      <c r="K55" s="14">
        <f>(G55+H55)/2-(-0.4695692*(G55+H55)/2)</f>
        <v>16.900045800000001</v>
      </c>
      <c r="L55" s="14">
        <v>1.7</v>
      </c>
      <c r="M55" s="15">
        <f t="shared" si="2"/>
        <v>0.14782608695652175</v>
      </c>
      <c r="N55" s="20">
        <v>3898</v>
      </c>
      <c r="O55" s="78">
        <v>735</v>
      </c>
    </row>
    <row r="56" spans="2:15" s="86" customFormat="1" ht="15" thickBot="1" x14ac:dyDescent="0.35">
      <c r="B56" s="51"/>
      <c r="C56" s="70"/>
      <c r="D56" s="52"/>
      <c r="E56" s="52"/>
      <c r="F56" s="52"/>
      <c r="G56" s="52"/>
      <c r="H56" s="52"/>
      <c r="I56" s="52"/>
      <c r="J56" s="53"/>
    </row>
    <row r="57" spans="2:15" ht="15" thickBot="1" x14ac:dyDescent="0.35">
      <c r="J57" s="129"/>
      <c r="K57" s="129"/>
      <c r="L57" s="131" t="s">
        <v>91</v>
      </c>
      <c r="M57" s="131" t="s">
        <v>92</v>
      </c>
      <c r="N57" s="122" t="s">
        <v>93</v>
      </c>
    </row>
    <row r="58" spans="2:15" ht="16.2" thickBot="1" x14ac:dyDescent="0.35">
      <c r="J58" s="206" t="s">
        <v>82</v>
      </c>
      <c r="K58" s="207"/>
      <c r="L58" s="131">
        <f>MIN(M14:M44)</f>
        <v>6.5000000000000002E-2</v>
      </c>
      <c r="M58" s="131">
        <f>AVERAGE(M14:M44)</f>
        <v>0.14504286223383198</v>
      </c>
      <c r="N58" s="131">
        <f>MAX(M14:M44)</f>
        <v>0.34620253164556958</v>
      </c>
    </row>
    <row r="59" spans="2:15" ht="16.2" thickBot="1" x14ac:dyDescent="0.35">
      <c r="J59" s="206" t="s">
        <v>83</v>
      </c>
      <c r="K59" s="207"/>
      <c r="L59" s="130">
        <f>MIN(M46:M55)</f>
        <v>0.12708333333333333</v>
      </c>
      <c r="M59" s="130">
        <f>AVERAGE(M46:M55)</f>
        <v>0.61180672366092048</v>
      </c>
      <c r="N59" s="131">
        <f>MAX(M46:M55)</f>
        <v>1.8631578947368421</v>
      </c>
    </row>
  </sheetData>
  <sheetProtection sheet="1" objects="1" scenarios="1"/>
  <mergeCells count="8">
    <mergeCell ref="J59:K59"/>
    <mergeCell ref="J58:K58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61"/>
  <sheetViews>
    <sheetView topLeftCell="F30" zoomScale="65" zoomScaleNormal="65" workbookViewId="0">
      <selection activeCell="M44" sqref="M44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" customWidth="1"/>
    <col min="9" max="9" width="15.88671875" customWidth="1"/>
    <col min="10" max="11" width="21" customWidth="1"/>
    <col min="12" max="12" width="20.88671875" customWidth="1"/>
    <col min="13" max="13" width="14.109375" customWidth="1"/>
    <col min="14" max="14" width="12.44140625" customWidth="1"/>
  </cols>
  <sheetData>
    <row r="9" spans="2:15" x14ac:dyDescent="0.3">
      <c r="B9" s="4" t="s">
        <v>6</v>
      </c>
    </row>
    <row r="10" spans="2:15" ht="3" customHeight="1" thickBot="1" x14ac:dyDescent="0.35"/>
    <row r="11" spans="2:15" ht="24" customHeight="1" thickBot="1" x14ac:dyDescent="0.5">
      <c r="B11" s="208" t="s">
        <v>89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54" customHeight="1" x14ac:dyDescent="0.3">
      <c r="B12" s="213" t="s">
        <v>0</v>
      </c>
      <c r="C12" s="215" t="s">
        <v>53</v>
      </c>
      <c r="D12" s="113" t="s">
        <v>54</v>
      </c>
      <c r="E12" s="113" t="s">
        <v>1</v>
      </c>
      <c r="F12" s="113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15" t="s">
        <v>63</v>
      </c>
      <c r="M12" s="115" t="s">
        <v>64</v>
      </c>
      <c r="N12" s="116" t="s">
        <v>43</v>
      </c>
      <c r="O12" s="117" t="s">
        <v>41</v>
      </c>
    </row>
    <row r="13" spans="2:15" ht="15" thickBot="1" x14ac:dyDescent="0.35">
      <c r="B13" s="218"/>
      <c r="C13" s="219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3" t="s">
        <v>12</v>
      </c>
      <c r="N13" s="126" t="s">
        <v>42</v>
      </c>
      <c r="O13" s="127" t="s">
        <v>42</v>
      </c>
    </row>
    <row r="14" spans="2:15" x14ac:dyDescent="0.3">
      <c r="B14" s="63" t="s">
        <v>44</v>
      </c>
      <c r="C14" s="34" t="s">
        <v>58</v>
      </c>
      <c r="D14" s="64">
        <v>94.9</v>
      </c>
      <c r="E14" s="64">
        <v>87</v>
      </c>
      <c r="F14" s="64">
        <v>17</v>
      </c>
      <c r="G14" s="64">
        <v>5.2</v>
      </c>
      <c r="H14" s="64">
        <v>5.2</v>
      </c>
      <c r="I14" s="64">
        <v>5583.4</v>
      </c>
      <c r="J14" s="36">
        <f>0.00054*E14</f>
        <v>4.6980000000000001E-2</v>
      </c>
      <c r="K14" s="66"/>
      <c r="L14" s="66">
        <v>1.47</v>
      </c>
      <c r="M14" s="77">
        <f t="shared" ref="M14:M37" si="0">L14/((G14+H14)/2)</f>
        <v>0.28269230769230769</v>
      </c>
      <c r="N14" s="63">
        <v>187</v>
      </c>
      <c r="O14" s="94">
        <v>955</v>
      </c>
    </row>
    <row r="15" spans="2:15" x14ac:dyDescent="0.3">
      <c r="B15" s="24" t="s">
        <v>9</v>
      </c>
      <c r="C15" s="3" t="s">
        <v>58</v>
      </c>
      <c r="D15" s="25">
        <v>158</v>
      </c>
      <c r="E15" s="25">
        <v>150</v>
      </c>
      <c r="F15" s="25">
        <v>27.5</v>
      </c>
      <c r="G15" s="98">
        <v>10</v>
      </c>
      <c r="H15" s="98">
        <v>10</v>
      </c>
      <c r="I15" s="98">
        <v>35000</v>
      </c>
      <c r="J15" s="27">
        <v>2.4900000000000002</v>
      </c>
      <c r="K15" s="27">
        <v>8.0050000000000008</v>
      </c>
      <c r="L15" s="27">
        <v>3.5</v>
      </c>
      <c r="M15" s="80">
        <f t="shared" si="0"/>
        <v>0.35</v>
      </c>
      <c r="N15" s="1">
        <v>514</v>
      </c>
      <c r="O15" s="16">
        <v>1387</v>
      </c>
    </row>
    <row r="16" spans="2:15" x14ac:dyDescent="0.3">
      <c r="B16" s="58" t="s">
        <v>10</v>
      </c>
      <c r="C16" s="3" t="s">
        <v>58</v>
      </c>
      <c r="D16" s="3">
        <v>173</v>
      </c>
      <c r="E16" s="3">
        <v>160</v>
      </c>
      <c r="F16" s="3">
        <v>27.5</v>
      </c>
      <c r="G16" s="9">
        <v>10</v>
      </c>
      <c r="H16" s="9">
        <v>10</v>
      </c>
      <c r="I16" s="3">
        <v>35000</v>
      </c>
      <c r="J16" s="9">
        <v>2.4900000000000002</v>
      </c>
      <c r="K16" s="9">
        <v>8</v>
      </c>
      <c r="L16" s="3">
        <v>3.5</v>
      </c>
      <c r="M16" s="80">
        <f t="shared" si="0"/>
        <v>0.35</v>
      </c>
      <c r="N16" s="1">
        <v>514</v>
      </c>
      <c r="O16" s="16">
        <v>1447</v>
      </c>
    </row>
    <row r="17" spans="2:15" x14ac:dyDescent="0.3">
      <c r="B17" s="1" t="s">
        <v>38</v>
      </c>
      <c r="C17" s="3" t="s">
        <v>58</v>
      </c>
      <c r="D17" s="3">
        <v>175</v>
      </c>
      <c r="E17" s="3">
        <v>164</v>
      </c>
      <c r="F17" s="3">
        <v>23.1</v>
      </c>
      <c r="G17" s="3">
        <v>9.1300000000000008</v>
      </c>
      <c r="H17" s="3">
        <v>9.1300000000000008</v>
      </c>
      <c r="I17" s="3">
        <v>26560</v>
      </c>
      <c r="J17" s="6">
        <f>-0.0187*E17</f>
        <v>-3.0668000000000002</v>
      </c>
      <c r="K17" s="6">
        <f>(G17+H17)/2-(0.2*(G17+H17)/2)</f>
        <v>7.3040000000000003</v>
      </c>
      <c r="L17" s="6">
        <v>2.21</v>
      </c>
      <c r="M17" s="80">
        <f t="shared" si="0"/>
        <v>0.24205914567360348</v>
      </c>
      <c r="N17" s="1">
        <v>566</v>
      </c>
      <c r="O17" s="16">
        <v>2705</v>
      </c>
    </row>
    <row r="18" spans="2:15" x14ac:dyDescent="0.3">
      <c r="B18" s="58" t="s">
        <v>34</v>
      </c>
      <c r="C18" s="3" t="s">
        <v>58</v>
      </c>
      <c r="D18" s="3">
        <v>175.9</v>
      </c>
      <c r="E18" s="3">
        <v>169.7</v>
      </c>
      <c r="F18" s="3">
        <v>31</v>
      </c>
      <c r="G18" s="9">
        <v>11.1</v>
      </c>
      <c r="H18" s="9">
        <v>11.1</v>
      </c>
      <c r="I18" s="3">
        <v>48984</v>
      </c>
      <c r="J18" s="9">
        <v>2.64</v>
      </c>
      <c r="K18" s="9">
        <v>8.9</v>
      </c>
      <c r="L18" s="3">
        <v>3.9</v>
      </c>
      <c r="M18" s="80">
        <f t="shared" si="0"/>
        <v>0.35135135135135137</v>
      </c>
      <c r="N18" s="1">
        <v>961</v>
      </c>
      <c r="O18" s="16">
        <v>3456</v>
      </c>
    </row>
    <row r="19" spans="2:15" x14ac:dyDescent="0.3">
      <c r="B19" s="1" t="s">
        <v>45</v>
      </c>
      <c r="C19" s="3" t="s">
        <v>58</v>
      </c>
      <c r="D19" s="3">
        <v>180</v>
      </c>
      <c r="E19" s="3">
        <v>174.1</v>
      </c>
      <c r="F19" s="3">
        <v>27.2</v>
      </c>
      <c r="G19" s="3">
        <v>11.4</v>
      </c>
      <c r="H19" s="3">
        <v>11.4</v>
      </c>
      <c r="I19" s="3">
        <v>43085</v>
      </c>
      <c r="J19" s="6">
        <f>0.0186*E19</f>
        <v>3.2382599999999995</v>
      </c>
      <c r="K19" s="6"/>
      <c r="L19" s="6">
        <v>3.02</v>
      </c>
      <c r="M19" s="80">
        <f t="shared" si="0"/>
        <v>0.26491228070175438</v>
      </c>
      <c r="N19" s="1">
        <v>506</v>
      </c>
      <c r="O19" s="16">
        <v>1543</v>
      </c>
    </row>
    <row r="20" spans="2:15" x14ac:dyDescent="0.3">
      <c r="B20" s="58" t="s">
        <v>9</v>
      </c>
      <c r="C20" s="3" t="s">
        <v>58</v>
      </c>
      <c r="D20" s="3">
        <v>213</v>
      </c>
      <c r="E20" s="3">
        <v>205</v>
      </c>
      <c r="F20" s="3">
        <v>32.299999999999997</v>
      </c>
      <c r="G20" s="9">
        <v>12.81</v>
      </c>
      <c r="H20" s="9">
        <v>12.81</v>
      </c>
      <c r="I20" s="3">
        <v>67000</v>
      </c>
      <c r="J20" s="9">
        <v>5</v>
      </c>
      <c r="K20" s="9">
        <v>10</v>
      </c>
      <c r="L20" s="3">
        <v>3.5</v>
      </c>
      <c r="M20" s="80">
        <f t="shared" si="0"/>
        <v>0.27322404371584696</v>
      </c>
      <c r="N20" s="1">
        <v>1037</v>
      </c>
      <c r="O20" s="16">
        <v>2900</v>
      </c>
    </row>
    <row r="21" spans="2:15" x14ac:dyDescent="0.3">
      <c r="B21" s="1" t="s">
        <v>36</v>
      </c>
      <c r="C21" s="3" t="s">
        <v>58</v>
      </c>
      <c r="D21" s="3">
        <v>228</v>
      </c>
      <c r="E21" s="3">
        <v>213</v>
      </c>
      <c r="F21" s="3">
        <v>35.5</v>
      </c>
      <c r="G21" s="3">
        <v>12.5</v>
      </c>
      <c r="H21" s="3">
        <v>12.5</v>
      </c>
      <c r="I21" s="3">
        <v>68054</v>
      </c>
      <c r="J21" s="6">
        <f>0.0085*E21</f>
        <v>1.8105000000000002</v>
      </c>
      <c r="K21" s="6" t="s">
        <v>9</v>
      </c>
      <c r="L21" s="6">
        <v>1.44</v>
      </c>
      <c r="M21" s="80">
        <f t="shared" si="0"/>
        <v>0.1152</v>
      </c>
      <c r="N21" s="1"/>
      <c r="O21" s="16"/>
    </row>
    <row r="22" spans="2:15" x14ac:dyDescent="0.3">
      <c r="B22" s="1" t="s">
        <v>20</v>
      </c>
      <c r="C22" s="3" t="s">
        <v>58</v>
      </c>
      <c r="D22" s="3">
        <v>228.2</v>
      </c>
      <c r="E22" s="3">
        <v>219</v>
      </c>
      <c r="F22" s="3">
        <v>32.200000000000003</v>
      </c>
      <c r="G22" s="3">
        <v>14.44</v>
      </c>
      <c r="H22" s="3">
        <v>14.44</v>
      </c>
      <c r="I22" s="3">
        <v>88262</v>
      </c>
      <c r="J22" s="6">
        <v>6</v>
      </c>
      <c r="K22" s="6">
        <v>9.6999999999999993</v>
      </c>
      <c r="L22" s="3">
        <v>3.5</v>
      </c>
      <c r="M22" s="80">
        <f t="shared" si="0"/>
        <v>0.24238227146814406</v>
      </c>
      <c r="N22" s="1">
        <v>690</v>
      </c>
      <c r="O22" s="16">
        <v>1965</v>
      </c>
    </row>
    <row r="23" spans="2:15" x14ac:dyDescent="0.3">
      <c r="B23" s="1" t="s">
        <v>52</v>
      </c>
      <c r="C23" s="3" t="s">
        <v>58</v>
      </c>
      <c r="D23" s="3">
        <v>240</v>
      </c>
      <c r="E23" s="3">
        <v>228.7</v>
      </c>
      <c r="F23" s="3">
        <v>32.24</v>
      </c>
      <c r="G23" s="3">
        <v>13.5</v>
      </c>
      <c r="H23" s="3">
        <v>13.5</v>
      </c>
      <c r="I23" s="3">
        <v>84200</v>
      </c>
      <c r="J23" s="6">
        <f>0*E23</f>
        <v>0</v>
      </c>
      <c r="K23" s="6"/>
      <c r="L23" s="6">
        <v>2.15</v>
      </c>
      <c r="M23" s="80">
        <f t="shared" si="0"/>
        <v>0.15925925925925924</v>
      </c>
      <c r="N23" s="1">
        <v>703</v>
      </c>
      <c r="O23" s="16">
        <v>2261</v>
      </c>
    </row>
    <row r="24" spans="2:15" x14ac:dyDescent="0.3">
      <c r="B24" s="1" t="s">
        <v>21</v>
      </c>
      <c r="C24" s="3" t="s">
        <v>58</v>
      </c>
      <c r="D24" s="3">
        <v>241</v>
      </c>
      <c r="E24" s="3">
        <v>230</v>
      </c>
      <c r="F24" s="3">
        <v>42</v>
      </c>
      <c r="G24" s="3">
        <v>14</v>
      </c>
      <c r="H24" s="3">
        <v>14</v>
      </c>
      <c r="I24" s="3">
        <v>112737</v>
      </c>
      <c r="J24" s="6">
        <v>11.2</v>
      </c>
      <c r="K24" s="6">
        <v>10.1</v>
      </c>
      <c r="L24" s="3">
        <v>7.1</v>
      </c>
      <c r="M24" s="80">
        <f t="shared" si="0"/>
        <v>0.50714285714285712</v>
      </c>
      <c r="N24" s="1">
        <v>735</v>
      </c>
      <c r="O24" s="16">
        <v>2120</v>
      </c>
    </row>
    <row r="25" spans="2:15" x14ac:dyDescent="0.3">
      <c r="B25" s="1" t="s">
        <v>39</v>
      </c>
      <c r="C25" s="3" t="s">
        <v>58</v>
      </c>
      <c r="D25" s="3">
        <v>244.6</v>
      </c>
      <c r="E25" s="3">
        <v>233</v>
      </c>
      <c r="F25" s="3">
        <v>42</v>
      </c>
      <c r="G25" s="3">
        <v>12.5</v>
      </c>
      <c r="H25" s="3">
        <v>12.5</v>
      </c>
      <c r="I25" s="3">
        <v>100551</v>
      </c>
      <c r="J25" s="6">
        <f>0.032*E25</f>
        <v>7.4560000000000004</v>
      </c>
      <c r="K25" s="6">
        <f>(G25+H25)/2-(-0.056*(G25+H25)/2)</f>
        <v>13.2</v>
      </c>
      <c r="L25" s="6">
        <v>4.72</v>
      </c>
      <c r="M25" s="80">
        <f t="shared" si="0"/>
        <v>0.37759999999999999</v>
      </c>
      <c r="N25" s="1">
        <v>938</v>
      </c>
      <c r="O25" s="16">
        <v>3176</v>
      </c>
    </row>
    <row r="26" spans="2:15" x14ac:dyDescent="0.3">
      <c r="B26" s="1" t="s">
        <v>39</v>
      </c>
      <c r="C26" s="3" t="s">
        <v>58</v>
      </c>
      <c r="D26" s="3">
        <v>244.6</v>
      </c>
      <c r="E26" s="3">
        <v>233</v>
      </c>
      <c r="F26" s="3">
        <v>42</v>
      </c>
      <c r="G26" s="3">
        <v>13.1</v>
      </c>
      <c r="H26" s="3">
        <v>13.1</v>
      </c>
      <c r="I26" s="3">
        <v>105121</v>
      </c>
      <c r="J26" s="6">
        <f>0.0392*E26</f>
        <v>9.1335999999999995</v>
      </c>
      <c r="K26" s="6"/>
      <c r="L26" s="6">
        <v>3</v>
      </c>
      <c r="M26" s="80">
        <f t="shared" si="0"/>
        <v>0.22900763358778625</v>
      </c>
      <c r="N26" s="1">
        <v>913</v>
      </c>
      <c r="O26" s="16">
        <v>3039</v>
      </c>
    </row>
    <row r="27" spans="2:15" x14ac:dyDescent="0.3">
      <c r="B27" s="1" t="s">
        <v>39</v>
      </c>
      <c r="C27" s="3" t="s">
        <v>58</v>
      </c>
      <c r="D27" s="3">
        <v>244.6</v>
      </c>
      <c r="E27" s="3">
        <v>233</v>
      </c>
      <c r="F27" s="3">
        <v>42</v>
      </c>
      <c r="G27" s="3">
        <v>15.5</v>
      </c>
      <c r="H27" s="3">
        <v>15.5</v>
      </c>
      <c r="I27" s="3">
        <v>126155</v>
      </c>
      <c r="J27" s="6">
        <f>0.02918*E27</f>
        <v>6.79894</v>
      </c>
      <c r="K27" s="6">
        <f>(G27+H27)/2-(-0.06451613*(G27+H27)/2)</f>
        <v>16.500000015000001</v>
      </c>
      <c r="L27" s="6">
        <v>1.53</v>
      </c>
      <c r="M27" s="80">
        <f t="shared" si="0"/>
        <v>9.8709677419354838E-2</v>
      </c>
      <c r="N27" s="1">
        <v>812</v>
      </c>
      <c r="O27" s="16">
        <v>2452</v>
      </c>
    </row>
    <row r="28" spans="2:15" x14ac:dyDescent="0.3">
      <c r="B28" s="1" t="s">
        <v>147</v>
      </c>
      <c r="C28" s="3" t="s">
        <v>58</v>
      </c>
      <c r="D28" s="3">
        <v>252.8</v>
      </c>
      <c r="E28" s="3">
        <v>245.4</v>
      </c>
      <c r="F28" s="3">
        <v>44.8</v>
      </c>
      <c r="G28" s="3">
        <v>15</v>
      </c>
      <c r="H28" s="3">
        <v>15</v>
      </c>
      <c r="I28" s="3">
        <v>127000</v>
      </c>
      <c r="J28" s="6">
        <v>8.8000000000000007</v>
      </c>
      <c r="K28" s="6">
        <f>H28-0.16</f>
        <v>14.84</v>
      </c>
      <c r="L28" s="6">
        <v>3.9</v>
      </c>
      <c r="M28" s="80">
        <f t="shared" si="0"/>
        <v>0.26</v>
      </c>
      <c r="N28" s="1"/>
      <c r="O28" s="16"/>
    </row>
    <row r="29" spans="2:15" x14ac:dyDescent="0.3">
      <c r="B29" s="1" t="s">
        <v>22</v>
      </c>
      <c r="C29" s="3" t="s">
        <v>58</v>
      </c>
      <c r="D29" s="3">
        <v>269</v>
      </c>
      <c r="E29" s="3">
        <v>259</v>
      </c>
      <c r="F29" s="3">
        <v>48</v>
      </c>
      <c r="G29" s="3">
        <v>17.100000000000001</v>
      </c>
      <c r="H29" s="3">
        <v>17.100000000000001</v>
      </c>
      <c r="I29" s="3">
        <v>178467</v>
      </c>
      <c r="J29" s="6">
        <f>0.0267*E29</f>
        <v>6.9153000000000002</v>
      </c>
      <c r="K29" s="6">
        <f>(G29+H29)/2-(0*(G29+H29)/2)</f>
        <v>17.100000000000001</v>
      </c>
      <c r="L29" s="6">
        <v>3.01</v>
      </c>
      <c r="M29" s="80">
        <f t="shared" si="0"/>
        <v>0.17602339181286547</v>
      </c>
      <c r="N29" s="1">
        <v>856</v>
      </c>
      <c r="O29" s="16">
        <v>2506</v>
      </c>
    </row>
    <row r="30" spans="2:15" x14ac:dyDescent="0.3">
      <c r="B30" s="1" t="s">
        <v>29</v>
      </c>
      <c r="C30" s="3" t="s">
        <v>58</v>
      </c>
      <c r="D30" s="3">
        <v>270.89999999999998</v>
      </c>
      <c r="E30" s="3">
        <v>258</v>
      </c>
      <c r="F30" s="3">
        <v>48.5</v>
      </c>
      <c r="G30" s="9">
        <v>14.6</v>
      </c>
      <c r="H30" s="9">
        <v>14.6</v>
      </c>
      <c r="I30" s="3">
        <v>150000</v>
      </c>
      <c r="J30" s="9">
        <v>5.0199999999999996</v>
      </c>
      <c r="K30" s="6">
        <v>17.309999999999999</v>
      </c>
      <c r="L30" s="3">
        <v>10</v>
      </c>
      <c r="M30" s="80">
        <f t="shared" si="0"/>
        <v>0.68493150684931503</v>
      </c>
      <c r="N30" s="1">
        <v>1600</v>
      </c>
      <c r="O30" s="16">
        <v>3200</v>
      </c>
    </row>
    <row r="31" spans="2:15" x14ac:dyDescent="0.3">
      <c r="B31" s="1" t="s">
        <v>22</v>
      </c>
      <c r="C31" s="3" t="s">
        <v>58</v>
      </c>
      <c r="D31" s="3">
        <v>278</v>
      </c>
      <c r="E31" s="3">
        <v>264</v>
      </c>
      <c r="F31" s="3">
        <v>45</v>
      </c>
      <c r="G31" s="3">
        <v>16.8</v>
      </c>
      <c r="H31" s="3">
        <v>16.8</v>
      </c>
      <c r="I31" s="3">
        <v>170953</v>
      </c>
      <c r="J31" s="6">
        <v>7.8</v>
      </c>
      <c r="K31" s="6">
        <v>12.8</v>
      </c>
      <c r="L31" s="3">
        <v>5.6</v>
      </c>
      <c r="M31" s="80">
        <f t="shared" si="0"/>
        <v>0.33333333333333331</v>
      </c>
      <c r="N31" s="1">
        <v>840</v>
      </c>
      <c r="O31" s="16">
        <v>2318</v>
      </c>
    </row>
    <row r="32" spans="2:15" x14ac:dyDescent="0.3">
      <c r="B32" s="1" t="s">
        <v>46</v>
      </c>
      <c r="C32" s="3" t="s">
        <v>58</v>
      </c>
      <c r="D32" s="3">
        <v>289</v>
      </c>
      <c r="E32" s="3">
        <v>278</v>
      </c>
      <c r="F32" s="3">
        <v>45</v>
      </c>
      <c r="G32" s="3">
        <v>17</v>
      </c>
      <c r="H32" s="3">
        <v>17</v>
      </c>
      <c r="I32" s="3">
        <v>180200</v>
      </c>
      <c r="J32" s="6">
        <f>0.0299*E32</f>
        <v>8.3122000000000007</v>
      </c>
      <c r="K32" s="6"/>
      <c r="L32" s="6">
        <v>1.78</v>
      </c>
      <c r="M32" s="80">
        <f t="shared" si="0"/>
        <v>0.10470588235294118</v>
      </c>
      <c r="N32" s="1">
        <v>873</v>
      </c>
      <c r="O32" s="16">
        <v>3336</v>
      </c>
    </row>
    <row r="33" spans="2:15" x14ac:dyDescent="0.3">
      <c r="B33" s="1" t="s">
        <v>18</v>
      </c>
      <c r="C33" s="3" t="s">
        <v>58</v>
      </c>
      <c r="D33" s="3">
        <v>310</v>
      </c>
      <c r="E33" s="3">
        <v>295</v>
      </c>
      <c r="F33" s="3">
        <v>47</v>
      </c>
      <c r="G33" s="3">
        <v>18</v>
      </c>
      <c r="H33" s="3">
        <v>18</v>
      </c>
      <c r="I33" s="3">
        <v>198786</v>
      </c>
      <c r="J33" s="6">
        <f>0.0131*E33</f>
        <v>3.8645</v>
      </c>
      <c r="K33" s="6"/>
      <c r="L33" s="6">
        <v>6.62</v>
      </c>
      <c r="M33" s="80">
        <f t="shared" si="0"/>
        <v>0.36777777777777776</v>
      </c>
      <c r="N33" s="1">
        <v>910</v>
      </c>
      <c r="O33" s="16">
        <v>1900</v>
      </c>
    </row>
    <row r="34" spans="2:15" x14ac:dyDescent="0.3">
      <c r="B34" s="1" t="s">
        <v>47</v>
      </c>
      <c r="C34" s="3" t="s">
        <v>58</v>
      </c>
      <c r="D34" s="3">
        <v>322.07</v>
      </c>
      <c r="E34" s="3">
        <v>310</v>
      </c>
      <c r="F34" s="3">
        <v>56</v>
      </c>
      <c r="G34" s="3">
        <v>20</v>
      </c>
      <c r="H34" s="3">
        <v>20</v>
      </c>
      <c r="I34" s="3">
        <v>277620</v>
      </c>
      <c r="J34" s="6">
        <f>0.0377*E34</f>
        <v>11.686999999999999</v>
      </c>
      <c r="K34" s="6"/>
      <c r="L34" s="6">
        <v>3.53</v>
      </c>
      <c r="M34" s="80">
        <f t="shared" si="0"/>
        <v>0.17649999999999999</v>
      </c>
      <c r="N34" s="1">
        <v>1278</v>
      </c>
      <c r="O34" s="16">
        <v>4752</v>
      </c>
    </row>
    <row r="35" spans="2:15" x14ac:dyDescent="0.3">
      <c r="B35" s="1" t="s">
        <v>23</v>
      </c>
      <c r="C35" s="3" t="s">
        <v>58</v>
      </c>
      <c r="D35" s="3">
        <v>335</v>
      </c>
      <c r="E35" s="3">
        <v>320</v>
      </c>
      <c r="F35" s="3">
        <v>59</v>
      </c>
      <c r="G35" s="3">
        <v>21</v>
      </c>
      <c r="H35" s="3">
        <v>21</v>
      </c>
      <c r="I35" s="3">
        <v>345680</v>
      </c>
      <c r="J35" s="6">
        <v>9.6999999999999993</v>
      </c>
      <c r="K35" s="6">
        <v>16.8</v>
      </c>
      <c r="L35" s="3">
        <v>7.2</v>
      </c>
      <c r="M35" s="80">
        <f t="shared" si="0"/>
        <v>0.34285714285714286</v>
      </c>
      <c r="N35" s="1">
        <v>1272</v>
      </c>
      <c r="O35" s="16">
        <v>3813</v>
      </c>
    </row>
    <row r="36" spans="2:15" x14ac:dyDescent="0.3">
      <c r="B36" s="1" t="s">
        <v>48</v>
      </c>
      <c r="C36" s="3" t="s">
        <v>58</v>
      </c>
      <c r="D36" s="3">
        <v>343.7</v>
      </c>
      <c r="E36" s="3">
        <v>327</v>
      </c>
      <c r="F36" s="3">
        <v>56.4</v>
      </c>
      <c r="G36" s="3">
        <v>21.8</v>
      </c>
      <c r="H36" s="3">
        <v>21.8</v>
      </c>
      <c r="I36" s="3">
        <v>344500</v>
      </c>
      <c r="J36" s="6">
        <f>0.0315*E36</f>
        <v>10.3005</v>
      </c>
      <c r="K36" s="6"/>
      <c r="L36" s="6">
        <v>5.95</v>
      </c>
      <c r="M36" s="80">
        <f t="shared" si="0"/>
        <v>0.27293577981651373</v>
      </c>
      <c r="N36" s="1">
        <v>1060</v>
      </c>
      <c r="O36" s="16">
        <v>4034</v>
      </c>
    </row>
    <row r="37" spans="2:15" ht="15" thickBot="1" x14ac:dyDescent="0.35">
      <c r="B37" s="11" t="s">
        <v>51</v>
      </c>
      <c r="C37" s="12" t="s">
        <v>58</v>
      </c>
      <c r="D37" s="12">
        <v>346.8</v>
      </c>
      <c r="E37" s="12">
        <v>336</v>
      </c>
      <c r="F37" s="12">
        <v>60.5</v>
      </c>
      <c r="G37" s="12">
        <v>21.1</v>
      </c>
      <c r="H37" s="12">
        <v>21.1</v>
      </c>
      <c r="I37" s="12">
        <v>373172</v>
      </c>
      <c r="J37" s="14">
        <f>0.0319*E37</f>
        <v>10.718399999999999</v>
      </c>
      <c r="K37" s="14"/>
      <c r="L37" s="14">
        <v>4.8099999999999996</v>
      </c>
      <c r="M37" s="87">
        <f t="shared" si="0"/>
        <v>0.22796208530805684</v>
      </c>
      <c r="N37" s="11">
        <v>1060</v>
      </c>
      <c r="O37" s="18">
        <v>4100</v>
      </c>
    </row>
    <row r="38" spans="2:15" ht="15" thickBot="1" x14ac:dyDescent="0.35">
      <c r="B38" s="220"/>
      <c r="C38" s="221"/>
      <c r="D38" s="221"/>
      <c r="E38" s="221"/>
      <c r="F38" s="221"/>
      <c r="G38" s="221"/>
      <c r="H38" s="221"/>
      <c r="I38" s="221"/>
      <c r="J38" s="221"/>
      <c r="K38" s="221"/>
      <c r="L38" s="221"/>
      <c r="M38" s="222"/>
      <c r="N38" s="223"/>
      <c r="O38" s="224"/>
    </row>
    <row r="39" spans="2:15" x14ac:dyDescent="0.3">
      <c r="B39" s="125" t="s">
        <v>37</v>
      </c>
      <c r="C39" s="34" t="s">
        <v>60</v>
      </c>
      <c r="D39" s="34">
        <v>127.93</v>
      </c>
      <c r="E39" s="34">
        <v>120</v>
      </c>
      <c r="F39" s="34">
        <v>20</v>
      </c>
      <c r="G39" s="34">
        <v>8</v>
      </c>
      <c r="H39" s="34">
        <v>8</v>
      </c>
      <c r="I39" s="34">
        <v>14400</v>
      </c>
      <c r="J39" s="36">
        <f>0.02166667*E39</f>
        <v>2.6000003999999999</v>
      </c>
      <c r="K39" s="36">
        <f>(G39+H39)/2-(0.05*(G39+H39)/2)</f>
        <v>7.6</v>
      </c>
      <c r="L39" s="36">
        <v>1.1499999999999999</v>
      </c>
      <c r="M39" s="77">
        <f t="shared" ref="M39:M57" si="1">L39/((G39+H39)/2)</f>
        <v>0.14374999999999999</v>
      </c>
      <c r="N39" s="32">
        <v>352</v>
      </c>
      <c r="O39" s="37">
        <v>1500</v>
      </c>
    </row>
    <row r="40" spans="2:15" x14ac:dyDescent="0.3">
      <c r="B40" s="58" t="s">
        <v>9</v>
      </c>
      <c r="C40" s="73" t="s">
        <v>4</v>
      </c>
      <c r="D40" s="73">
        <v>128</v>
      </c>
      <c r="E40" s="73">
        <v>120</v>
      </c>
      <c r="F40" s="73">
        <v>19.899999999999999</v>
      </c>
      <c r="G40" s="73">
        <v>4.7</v>
      </c>
      <c r="H40" s="73">
        <v>5.7</v>
      </c>
      <c r="I40" s="73">
        <v>9200</v>
      </c>
      <c r="J40" s="74">
        <v>-1.7</v>
      </c>
      <c r="K40" s="74">
        <v>11.8</v>
      </c>
      <c r="L40" s="73">
        <v>2.1</v>
      </c>
      <c r="M40" s="80">
        <f t="shared" si="1"/>
        <v>0.40384615384615385</v>
      </c>
      <c r="N40" s="1">
        <v>396</v>
      </c>
      <c r="O40" s="16">
        <v>1728</v>
      </c>
    </row>
    <row r="41" spans="2:15" x14ac:dyDescent="0.3">
      <c r="B41" s="58" t="s">
        <v>10</v>
      </c>
      <c r="C41" s="3" t="s">
        <v>4</v>
      </c>
      <c r="D41" s="3">
        <v>173</v>
      </c>
      <c r="E41" s="3">
        <v>160</v>
      </c>
      <c r="F41" s="3">
        <v>27.5</v>
      </c>
      <c r="G41" s="3">
        <v>5</v>
      </c>
      <c r="H41" s="3">
        <v>6.3</v>
      </c>
      <c r="I41" s="3">
        <v>19200</v>
      </c>
      <c r="J41" s="9">
        <v>-3</v>
      </c>
      <c r="K41" s="9">
        <v>6</v>
      </c>
      <c r="L41" s="3">
        <v>5.5</v>
      </c>
      <c r="M41" s="80">
        <f t="shared" si="1"/>
        <v>0.97345132743362828</v>
      </c>
      <c r="N41" s="1">
        <v>690</v>
      </c>
      <c r="O41" s="16">
        <v>2300</v>
      </c>
    </row>
    <row r="42" spans="2:15" x14ac:dyDescent="0.3">
      <c r="B42" s="58" t="s">
        <v>34</v>
      </c>
      <c r="C42" s="3" t="s">
        <v>4</v>
      </c>
      <c r="D42" s="3">
        <v>175.9</v>
      </c>
      <c r="E42" s="3">
        <v>169.7</v>
      </c>
      <c r="F42" s="3">
        <v>31</v>
      </c>
      <c r="G42" s="9">
        <v>6.9</v>
      </c>
      <c r="H42" s="9">
        <v>6.9</v>
      </c>
      <c r="I42" s="3">
        <v>29000</v>
      </c>
      <c r="J42" s="9">
        <v>2.64</v>
      </c>
      <c r="K42" s="9">
        <v>8.9</v>
      </c>
      <c r="L42" s="3">
        <v>3.9</v>
      </c>
      <c r="M42" s="80">
        <f t="shared" si="1"/>
        <v>0.56521739130434778</v>
      </c>
      <c r="N42" s="1">
        <v>1090</v>
      </c>
      <c r="O42" s="16">
        <v>4170</v>
      </c>
    </row>
    <row r="43" spans="2:15" x14ac:dyDescent="0.3">
      <c r="B43" s="101" t="s">
        <v>50</v>
      </c>
      <c r="C43" s="3" t="s">
        <v>59</v>
      </c>
      <c r="D43" s="3">
        <v>183</v>
      </c>
      <c r="E43" s="3">
        <v>174.5</v>
      </c>
      <c r="F43" s="3">
        <v>27.4</v>
      </c>
      <c r="G43" s="3">
        <v>9.8000000000000007</v>
      </c>
      <c r="H43" s="3">
        <v>9.8000000000000007</v>
      </c>
      <c r="I43" s="3">
        <v>37800</v>
      </c>
      <c r="J43" s="6">
        <f>0.0149*E43</f>
        <v>2.60005</v>
      </c>
      <c r="K43" s="6"/>
      <c r="L43" s="6">
        <v>2.87</v>
      </c>
      <c r="M43" s="80">
        <f t="shared" si="1"/>
        <v>0.29285714285714287</v>
      </c>
      <c r="N43" s="1"/>
      <c r="O43" s="16"/>
    </row>
    <row r="44" spans="2:15" x14ac:dyDescent="0.3">
      <c r="B44" s="1" t="s">
        <v>9</v>
      </c>
      <c r="C44" s="3" t="s">
        <v>59</v>
      </c>
      <c r="D44" s="3">
        <v>185.3</v>
      </c>
      <c r="E44" s="3">
        <v>177.2</v>
      </c>
      <c r="F44" s="3">
        <v>23.6</v>
      </c>
      <c r="G44" s="3">
        <v>8</v>
      </c>
      <c r="H44" s="3">
        <v>8</v>
      </c>
      <c r="I44" s="3">
        <v>33000</v>
      </c>
      <c r="J44" s="6">
        <v>0.8</v>
      </c>
      <c r="K44" s="6">
        <f>H45-2.24</f>
        <v>6.26</v>
      </c>
      <c r="L44" s="6">
        <v>3.9</v>
      </c>
      <c r="M44" s="80">
        <f t="shared" si="1"/>
        <v>0.48749999999999999</v>
      </c>
      <c r="N44" s="1"/>
      <c r="O44" s="16"/>
    </row>
    <row r="45" spans="2:15" x14ac:dyDescent="0.3">
      <c r="B45" s="58" t="s">
        <v>9</v>
      </c>
      <c r="C45" s="3" t="s">
        <v>4</v>
      </c>
      <c r="D45" s="3">
        <v>213</v>
      </c>
      <c r="E45" s="3">
        <v>205</v>
      </c>
      <c r="F45" s="3">
        <v>32.299999999999997</v>
      </c>
      <c r="G45" s="9">
        <v>5.5</v>
      </c>
      <c r="H45" s="9">
        <v>8.5</v>
      </c>
      <c r="I45" s="3">
        <v>33000</v>
      </c>
      <c r="J45" s="9">
        <v>-1.5</v>
      </c>
      <c r="K45" s="9">
        <v>10.050000000000001</v>
      </c>
      <c r="L45" s="3">
        <v>6</v>
      </c>
      <c r="M45" s="80">
        <f t="shared" si="1"/>
        <v>0.8571428571428571</v>
      </c>
      <c r="N45" s="1">
        <v>1307</v>
      </c>
      <c r="O45" s="16">
        <v>4100</v>
      </c>
    </row>
    <row r="46" spans="2:15" x14ac:dyDescent="0.3">
      <c r="B46" s="1" t="s">
        <v>20</v>
      </c>
      <c r="C46" s="3" t="s">
        <v>4</v>
      </c>
      <c r="D46" s="3">
        <v>228.2</v>
      </c>
      <c r="E46" s="3">
        <v>219</v>
      </c>
      <c r="F46" s="3">
        <v>32.200000000000003</v>
      </c>
      <c r="G46" s="3">
        <v>6.24</v>
      </c>
      <c r="H46" s="3">
        <v>8.24</v>
      </c>
      <c r="I46" s="3">
        <v>42059</v>
      </c>
      <c r="J46" s="6">
        <v>4.7</v>
      </c>
      <c r="K46" s="6">
        <v>8.9</v>
      </c>
      <c r="L46" s="3">
        <v>6.3</v>
      </c>
      <c r="M46" s="80">
        <f t="shared" si="1"/>
        <v>0.87016574585635353</v>
      </c>
      <c r="N46" s="1">
        <v>920</v>
      </c>
      <c r="O46" s="16">
        <v>3570</v>
      </c>
    </row>
    <row r="47" spans="2:15" x14ac:dyDescent="0.3">
      <c r="B47" s="101" t="s">
        <v>49</v>
      </c>
      <c r="C47" s="3" t="s">
        <v>4</v>
      </c>
      <c r="D47" s="3">
        <v>228.6</v>
      </c>
      <c r="E47" s="3">
        <v>218.7</v>
      </c>
      <c r="F47" s="3">
        <v>21.6</v>
      </c>
      <c r="G47" s="3">
        <v>5</v>
      </c>
      <c r="H47" s="3">
        <v>7</v>
      </c>
      <c r="I47" s="3">
        <v>33429</v>
      </c>
      <c r="J47" s="6">
        <f>0.0253*E47</f>
        <v>5.5331099999999998</v>
      </c>
      <c r="K47" s="6"/>
      <c r="L47" s="6">
        <v>1.18</v>
      </c>
      <c r="M47" s="80">
        <f t="shared" si="1"/>
        <v>0.19666666666666666</v>
      </c>
      <c r="N47" s="1">
        <v>900</v>
      </c>
      <c r="O47" s="16">
        <v>3971</v>
      </c>
    </row>
    <row r="48" spans="2:15" x14ac:dyDescent="0.3">
      <c r="B48" s="1" t="s">
        <v>21</v>
      </c>
      <c r="C48" s="3" t="s">
        <v>4</v>
      </c>
      <c r="D48" s="3">
        <v>241</v>
      </c>
      <c r="E48" s="3">
        <v>230</v>
      </c>
      <c r="F48" s="3">
        <v>42</v>
      </c>
      <c r="G48" s="3">
        <v>7.5</v>
      </c>
      <c r="H48" s="3">
        <v>7.5</v>
      </c>
      <c r="I48" s="3">
        <v>55810</v>
      </c>
      <c r="J48" s="6">
        <v>13.9</v>
      </c>
      <c r="K48" s="6">
        <v>8.9</v>
      </c>
      <c r="L48" s="3">
        <v>13.3</v>
      </c>
      <c r="M48" s="80">
        <f t="shared" si="1"/>
        <v>1.7733333333333334</v>
      </c>
      <c r="N48" s="1">
        <v>1010</v>
      </c>
      <c r="O48" s="16">
        <v>3620</v>
      </c>
    </row>
    <row r="49" spans="2:15" x14ac:dyDescent="0.3">
      <c r="B49" s="101" t="s">
        <v>39</v>
      </c>
      <c r="C49" s="3" t="s">
        <v>4</v>
      </c>
      <c r="D49" s="3">
        <v>244.6</v>
      </c>
      <c r="E49" s="3">
        <v>233</v>
      </c>
      <c r="F49" s="3">
        <v>42</v>
      </c>
      <c r="G49" s="3">
        <v>5</v>
      </c>
      <c r="H49" s="3">
        <v>7</v>
      </c>
      <c r="I49" s="3">
        <v>46386</v>
      </c>
      <c r="J49" s="6">
        <f>-0.00443905*E49</f>
        <v>-1.03429865</v>
      </c>
      <c r="K49" s="6">
        <f>(G49+H49)/2-(-0.6652115*(G49+H49)/2)</f>
        <v>9.9912689999999991</v>
      </c>
      <c r="L49" s="6">
        <v>7.6</v>
      </c>
      <c r="M49" s="80">
        <f t="shared" si="1"/>
        <v>1.2666666666666666</v>
      </c>
      <c r="N49" s="1">
        <v>1166.7</v>
      </c>
      <c r="O49" s="16">
        <v>4676</v>
      </c>
    </row>
    <row r="50" spans="2:15" x14ac:dyDescent="0.3">
      <c r="B50" s="101" t="s">
        <v>22</v>
      </c>
      <c r="C50" s="3" t="s">
        <v>4</v>
      </c>
      <c r="D50" s="3">
        <v>269</v>
      </c>
      <c r="E50" s="3">
        <v>259</v>
      </c>
      <c r="F50" s="3">
        <v>48</v>
      </c>
      <c r="G50" s="3">
        <v>8</v>
      </c>
      <c r="H50" s="3">
        <v>9.8000000000000007</v>
      </c>
      <c r="I50" s="3">
        <v>88494</v>
      </c>
      <c r="J50" s="6">
        <f>0.04608*E50</f>
        <v>11.93472</v>
      </c>
      <c r="K50" s="6">
        <f>(G50+H50)/2-(-0.6989*(G50+H50)/2)</f>
        <v>15.12021</v>
      </c>
      <c r="L50" s="6">
        <v>4.6100000000000003</v>
      </c>
      <c r="M50" s="80">
        <f t="shared" si="1"/>
        <v>0.51797752808988762</v>
      </c>
      <c r="N50" s="1">
        <v>1000</v>
      </c>
      <c r="O50" s="16">
        <v>4700</v>
      </c>
    </row>
    <row r="51" spans="2:15" x14ac:dyDescent="0.3">
      <c r="B51" s="1" t="s">
        <v>22</v>
      </c>
      <c r="C51" s="3" t="s">
        <v>4</v>
      </c>
      <c r="D51" s="3">
        <v>278</v>
      </c>
      <c r="E51" s="3">
        <v>264</v>
      </c>
      <c r="F51" s="3">
        <v>45</v>
      </c>
      <c r="G51" s="3">
        <v>8.3000000000000007</v>
      </c>
      <c r="H51" s="3">
        <v>8.3000000000000007</v>
      </c>
      <c r="I51" s="3">
        <v>85002</v>
      </c>
      <c r="J51" s="6">
        <v>10.4</v>
      </c>
      <c r="K51" s="6">
        <v>10.1</v>
      </c>
      <c r="L51" s="3">
        <v>13.2</v>
      </c>
      <c r="M51" s="80">
        <f t="shared" si="1"/>
        <v>1.5903614457831323</v>
      </c>
      <c r="N51" s="1">
        <v>1223</v>
      </c>
      <c r="O51" s="16">
        <v>4619</v>
      </c>
    </row>
    <row r="52" spans="2:15" x14ac:dyDescent="0.3">
      <c r="B52" s="1" t="s">
        <v>9</v>
      </c>
      <c r="C52" s="7" t="s">
        <v>4</v>
      </c>
      <c r="D52" s="3">
        <v>290</v>
      </c>
      <c r="E52" s="3">
        <v>275</v>
      </c>
      <c r="F52" s="3">
        <v>45</v>
      </c>
      <c r="G52" s="9">
        <v>10</v>
      </c>
      <c r="H52" s="9">
        <v>10</v>
      </c>
      <c r="I52" s="2">
        <v>95000</v>
      </c>
      <c r="J52" s="6">
        <v>13.95</v>
      </c>
      <c r="K52" s="6">
        <v>12</v>
      </c>
      <c r="L52" s="3">
        <v>10</v>
      </c>
      <c r="M52" s="80">
        <f t="shared" si="1"/>
        <v>1</v>
      </c>
      <c r="N52" s="1">
        <v>1185</v>
      </c>
      <c r="O52" s="16">
        <v>5150</v>
      </c>
    </row>
    <row r="53" spans="2:15" x14ac:dyDescent="0.3">
      <c r="B53" s="101" t="s">
        <v>47</v>
      </c>
      <c r="C53" s="3" t="s">
        <v>4</v>
      </c>
      <c r="D53" s="3">
        <v>322.07</v>
      </c>
      <c r="E53" s="3">
        <v>310</v>
      </c>
      <c r="F53" s="3">
        <v>56</v>
      </c>
      <c r="G53" s="3">
        <v>9.91</v>
      </c>
      <c r="H53" s="3">
        <v>9.91</v>
      </c>
      <c r="I53" s="3">
        <v>133040</v>
      </c>
      <c r="J53" s="6">
        <f>0.0399*E53</f>
        <v>12.369</v>
      </c>
      <c r="K53" s="6"/>
      <c r="L53" s="6">
        <v>12.83</v>
      </c>
      <c r="M53" s="80">
        <f t="shared" si="1"/>
        <v>1.2946518668012108</v>
      </c>
      <c r="N53" s="1">
        <v>1777</v>
      </c>
      <c r="O53" s="16">
        <v>7275</v>
      </c>
    </row>
    <row r="54" spans="2:15" x14ac:dyDescent="0.3">
      <c r="B54" s="101" t="s">
        <v>48</v>
      </c>
      <c r="C54" s="3" t="s">
        <v>60</v>
      </c>
      <c r="D54" s="3">
        <v>332.9</v>
      </c>
      <c r="E54" s="3">
        <v>319.10000000000002</v>
      </c>
      <c r="F54" s="3">
        <v>58</v>
      </c>
      <c r="G54" s="3">
        <v>17</v>
      </c>
      <c r="H54" s="3">
        <v>17</v>
      </c>
      <c r="I54" s="3">
        <v>249693</v>
      </c>
      <c r="J54" s="6">
        <f>0.037731*E54</f>
        <v>12.0399621</v>
      </c>
      <c r="K54" s="6">
        <f>(G54+H54)/2-(-0.00588235*(G54+H54)/2)</f>
        <v>17.099999950000001</v>
      </c>
      <c r="L54" s="6">
        <v>7.14</v>
      </c>
      <c r="M54" s="80">
        <f t="shared" si="1"/>
        <v>0.42</v>
      </c>
      <c r="N54" s="1">
        <v>1531</v>
      </c>
      <c r="O54" s="16">
        <v>5995</v>
      </c>
    </row>
    <row r="55" spans="2:15" x14ac:dyDescent="0.3">
      <c r="B55" s="1" t="s">
        <v>23</v>
      </c>
      <c r="C55" s="3" t="s">
        <v>4</v>
      </c>
      <c r="D55" s="3">
        <v>335</v>
      </c>
      <c r="E55" s="3">
        <v>320</v>
      </c>
      <c r="F55" s="3">
        <v>59</v>
      </c>
      <c r="G55" s="3">
        <f>11-1.25</f>
        <v>9.75</v>
      </c>
      <c r="H55" s="3">
        <f>11+1.25</f>
        <v>12.25</v>
      </c>
      <c r="I55" s="3">
        <v>163500</v>
      </c>
      <c r="J55" s="6">
        <v>6.9</v>
      </c>
      <c r="K55" s="6">
        <v>13.25</v>
      </c>
      <c r="L55" s="3">
        <v>17.5</v>
      </c>
      <c r="M55" s="80">
        <f t="shared" si="1"/>
        <v>1.5909090909090908</v>
      </c>
      <c r="N55" s="1"/>
      <c r="O55" s="16"/>
    </row>
    <row r="56" spans="2:15" x14ac:dyDescent="0.3">
      <c r="B56" s="101" t="s">
        <v>48</v>
      </c>
      <c r="C56" s="3" t="s">
        <v>4</v>
      </c>
      <c r="D56" s="3">
        <v>343.7</v>
      </c>
      <c r="E56" s="3">
        <v>327</v>
      </c>
      <c r="F56" s="3">
        <v>56.4</v>
      </c>
      <c r="G56" s="3">
        <v>10.35</v>
      </c>
      <c r="H56" s="3">
        <v>10.35</v>
      </c>
      <c r="I56" s="3">
        <v>152000</v>
      </c>
      <c r="J56" s="6">
        <f>0.0381*E56</f>
        <v>12.4587</v>
      </c>
      <c r="K56" s="6"/>
      <c r="L56" s="6">
        <v>17.89</v>
      </c>
      <c r="M56" s="80">
        <f t="shared" si="1"/>
        <v>1.7285024154589372</v>
      </c>
      <c r="N56" s="1">
        <v>1742</v>
      </c>
      <c r="O56" s="16">
        <v>7638</v>
      </c>
    </row>
    <row r="57" spans="2:15" ht="15" thickBot="1" x14ac:dyDescent="0.35">
      <c r="B57" s="128" t="s">
        <v>51</v>
      </c>
      <c r="C57" s="12" t="s">
        <v>4</v>
      </c>
      <c r="D57" s="12">
        <v>346.8</v>
      </c>
      <c r="E57" s="12">
        <v>336</v>
      </c>
      <c r="F57" s="12">
        <v>60.5</v>
      </c>
      <c r="G57" s="12">
        <v>9.9</v>
      </c>
      <c r="H57" s="12">
        <v>9.9</v>
      </c>
      <c r="I57" s="12">
        <v>168451</v>
      </c>
      <c r="J57" s="14">
        <f>0.0417*E57</f>
        <v>14.011200000000001</v>
      </c>
      <c r="K57" s="14"/>
      <c r="L57" s="14">
        <v>15.85</v>
      </c>
      <c r="M57" s="87">
        <f t="shared" si="1"/>
        <v>1.601010101010101</v>
      </c>
      <c r="N57" s="11">
        <v>1730</v>
      </c>
      <c r="O57" s="18">
        <v>7300</v>
      </c>
    </row>
    <row r="58" spans="2:15" ht="15" thickBot="1" x14ac:dyDescent="0.35"/>
    <row r="59" spans="2:15" ht="15" thickBot="1" x14ac:dyDescent="0.35">
      <c r="J59" s="129"/>
      <c r="K59" s="129"/>
      <c r="L59" s="131" t="s">
        <v>91</v>
      </c>
      <c r="M59" s="131" t="s">
        <v>92</v>
      </c>
      <c r="N59" s="122" t="s">
        <v>93</v>
      </c>
    </row>
    <row r="60" spans="2:15" ht="16.2" thickBot="1" x14ac:dyDescent="0.35">
      <c r="J60" s="206" t="s">
        <v>82</v>
      </c>
      <c r="K60" s="207"/>
      <c r="L60" s="131">
        <f>MIN(M14:M37)</f>
        <v>9.8709677419354838E-2</v>
      </c>
      <c r="M60" s="131">
        <f>AVERAGE(M14:M37)</f>
        <v>0.28294032200500879</v>
      </c>
      <c r="N60" s="122">
        <f>MAX(M14:M37)</f>
        <v>0.68493150684931503</v>
      </c>
    </row>
    <row r="61" spans="2:15" ht="16.2" thickBot="1" x14ac:dyDescent="0.35">
      <c r="J61" s="206" t="s">
        <v>83</v>
      </c>
      <c r="K61" s="207"/>
      <c r="L61" s="130">
        <f>MIN(M39:M57)</f>
        <v>0.14374999999999999</v>
      </c>
      <c r="M61" s="130">
        <f>AVERAGE(M39:M57)</f>
        <v>0.92494788069260581</v>
      </c>
      <c r="N61" s="122">
        <f>MAX(M39:M57)</f>
        <v>1.7733333333333334</v>
      </c>
    </row>
  </sheetData>
  <sheetProtection sheet="1" objects="1" scenarios="1"/>
  <mergeCells count="10">
    <mergeCell ref="J60:K60"/>
    <mergeCell ref="J61:K61"/>
    <mergeCell ref="B11:M11"/>
    <mergeCell ref="N11:O11"/>
    <mergeCell ref="B12:B13"/>
    <mergeCell ref="C12:C13"/>
    <mergeCell ref="G12:H12"/>
    <mergeCell ref="J12:K12"/>
    <mergeCell ref="B38:M38"/>
    <mergeCell ref="N38:O3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R45"/>
  <sheetViews>
    <sheetView topLeftCell="A14" zoomScale="70" zoomScaleNormal="70" workbookViewId="0">
      <selection activeCell="Q25" sqref="Q25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6" max="6" width="14" customWidth="1"/>
    <col min="9" max="9" width="16" customWidth="1"/>
    <col min="10" max="10" width="21" customWidth="1"/>
    <col min="11" max="11" width="20.44140625" customWidth="1"/>
    <col min="12" max="12" width="14.5546875" customWidth="1"/>
    <col min="13" max="13" width="13.88671875" customWidth="1"/>
    <col min="14" max="14" width="12.44140625" customWidth="1"/>
  </cols>
  <sheetData>
    <row r="9" spans="2:18" ht="15" thickBot="1" x14ac:dyDescent="0.35"/>
    <row r="10" spans="2:18" ht="24" thickBot="1" x14ac:dyDescent="0.5">
      <c r="B10" s="208" t="s">
        <v>94</v>
      </c>
      <c r="C10" s="209"/>
      <c r="D10" s="209"/>
      <c r="E10" s="209"/>
      <c r="F10" s="209"/>
      <c r="G10" s="209"/>
      <c r="H10" s="209"/>
      <c r="I10" s="209"/>
      <c r="J10" s="209"/>
      <c r="K10" s="209"/>
      <c r="L10" s="209"/>
      <c r="M10" s="210"/>
      <c r="N10" s="211" t="s">
        <v>40</v>
      </c>
      <c r="O10" s="212"/>
      <c r="P10" s="8"/>
      <c r="Q10" s="8"/>
      <c r="R10" s="8"/>
    </row>
    <row r="11" spans="2:18" ht="29.1" customHeight="1" x14ac:dyDescent="0.3">
      <c r="B11" s="213" t="s">
        <v>0</v>
      </c>
      <c r="C11" s="215" t="s">
        <v>53</v>
      </c>
      <c r="D11" s="134" t="s">
        <v>54</v>
      </c>
      <c r="E11" s="134" t="s">
        <v>1</v>
      </c>
      <c r="F11" s="134" t="s">
        <v>55</v>
      </c>
      <c r="G11" s="217" t="s">
        <v>61</v>
      </c>
      <c r="H11" s="217"/>
      <c r="I11" s="114" t="s">
        <v>57</v>
      </c>
      <c r="J11" s="215" t="s">
        <v>88</v>
      </c>
      <c r="K11" s="217"/>
      <c r="L11" s="133" t="s">
        <v>63</v>
      </c>
      <c r="M11" s="117" t="s">
        <v>64</v>
      </c>
      <c r="N11" s="116" t="s">
        <v>43</v>
      </c>
      <c r="O11" s="117" t="s">
        <v>41</v>
      </c>
    </row>
    <row r="12" spans="2:18" ht="23.1" customHeight="1" thickBot="1" x14ac:dyDescent="0.35">
      <c r="B12" s="214"/>
      <c r="C12" s="216"/>
      <c r="D12" s="118" t="s">
        <v>2</v>
      </c>
      <c r="E12" s="118" t="s">
        <v>2</v>
      </c>
      <c r="F12" s="118" t="s">
        <v>2</v>
      </c>
      <c r="G12" s="118" t="s">
        <v>62</v>
      </c>
      <c r="H12" s="118" t="s">
        <v>56</v>
      </c>
      <c r="I12" s="119" t="s">
        <v>3</v>
      </c>
      <c r="J12" s="118" t="s">
        <v>8</v>
      </c>
      <c r="K12" s="118" t="s">
        <v>7</v>
      </c>
      <c r="L12" s="118" t="s">
        <v>5</v>
      </c>
      <c r="M12" s="121" t="s">
        <v>12</v>
      </c>
      <c r="N12" s="120" t="s">
        <v>42</v>
      </c>
      <c r="O12" s="121" t="s">
        <v>42</v>
      </c>
    </row>
    <row r="13" spans="2:18" x14ac:dyDescent="0.3">
      <c r="B13" s="32" t="s">
        <v>13</v>
      </c>
      <c r="C13" s="34" t="s">
        <v>58</v>
      </c>
      <c r="D13" s="34">
        <v>120</v>
      </c>
      <c r="E13" s="34">
        <v>108.4</v>
      </c>
      <c r="F13" s="34">
        <v>16.899999999999999</v>
      </c>
      <c r="G13" s="34">
        <v>7.2</v>
      </c>
      <c r="H13" s="34">
        <v>7.2</v>
      </c>
      <c r="I13" s="35">
        <v>9270</v>
      </c>
      <c r="J13" s="36">
        <v>-1.1000000000000001</v>
      </c>
      <c r="K13" s="36">
        <v>5.0999999999999996</v>
      </c>
      <c r="L13" s="34">
        <v>2.2999999999999998</v>
      </c>
      <c r="M13" s="56">
        <f t="shared" ref="M13:M29" si="0">L13/((G13+H13)/2)</f>
        <v>0.31944444444444442</v>
      </c>
      <c r="N13" s="140">
        <v>245</v>
      </c>
      <c r="O13" s="141">
        <v>775</v>
      </c>
    </row>
    <row r="14" spans="2:18" x14ac:dyDescent="0.3">
      <c r="B14" s="1" t="s">
        <v>14</v>
      </c>
      <c r="C14" s="3" t="s">
        <v>58</v>
      </c>
      <c r="D14" s="3">
        <v>107</v>
      </c>
      <c r="E14" s="3">
        <v>103</v>
      </c>
      <c r="F14" s="3">
        <v>18.2</v>
      </c>
      <c r="G14" s="3">
        <v>6.2</v>
      </c>
      <c r="H14" s="3">
        <v>6.2</v>
      </c>
      <c r="I14" s="5">
        <v>8255</v>
      </c>
      <c r="J14" s="6">
        <v>0.39</v>
      </c>
      <c r="K14" s="6">
        <v>4.9400000000000004</v>
      </c>
      <c r="L14" s="3">
        <v>3.37</v>
      </c>
      <c r="M14" s="10">
        <f t="shared" si="0"/>
        <v>0.54354838709677422</v>
      </c>
      <c r="N14" s="142">
        <v>260</v>
      </c>
      <c r="O14" s="143">
        <v>740</v>
      </c>
    </row>
    <row r="15" spans="2:18" x14ac:dyDescent="0.3">
      <c r="B15" s="81" t="s">
        <v>97</v>
      </c>
      <c r="C15" s="3" t="s">
        <v>58</v>
      </c>
      <c r="D15" s="28">
        <v>190</v>
      </c>
      <c r="E15" s="28">
        <v>182</v>
      </c>
      <c r="F15" s="28">
        <v>32.200000000000003</v>
      </c>
      <c r="G15" s="28">
        <v>11.92</v>
      </c>
      <c r="H15" s="28">
        <v>11.92</v>
      </c>
      <c r="I15" s="29">
        <v>57520</v>
      </c>
      <c r="J15" s="30">
        <f>0.0355*E15</f>
        <v>6.4609999999999994</v>
      </c>
      <c r="K15" s="30" t="s">
        <v>9</v>
      </c>
      <c r="L15" s="28">
        <v>2.66</v>
      </c>
      <c r="M15" s="10">
        <f t="shared" si="0"/>
        <v>0.22315436241610739</v>
      </c>
      <c r="N15" s="142">
        <v>450</v>
      </c>
      <c r="O15" s="143">
        <v>2050</v>
      </c>
    </row>
    <row r="16" spans="2:18" x14ac:dyDescent="0.3">
      <c r="B16" s="81" t="s">
        <v>15</v>
      </c>
      <c r="C16" s="3" t="s">
        <v>58</v>
      </c>
      <c r="D16" s="28">
        <v>190</v>
      </c>
      <c r="E16" s="28">
        <v>182</v>
      </c>
      <c r="F16" s="28">
        <v>32.26</v>
      </c>
      <c r="G16" s="28">
        <v>12.5</v>
      </c>
      <c r="H16" s="28">
        <v>12.5</v>
      </c>
      <c r="I16" s="29">
        <v>60000</v>
      </c>
      <c r="J16" s="30">
        <v>2.7</v>
      </c>
      <c r="K16" s="30">
        <v>9.1</v>
      </c>
      <c r="L16" s="28">
        <v>4.2</v>
      </c>
      <c r="M16" s="10">
        <f t="shared" si="0"/>
        <v>0.33600000000000002</v>
      </c>
      <c r="N16" s="142">
        <v>540</v>
      </c>
      <c r="O16" s="143">
        <v>2370</v>
      </c>
    </row>
    <row r="17" spans="2:15" x14ac:dyDescent="0.3">
      <c r="B17" s="1" t="s">
        <v>16</v>
      </c>
      <c r="C17" s="3" t="s">
        <v>58</v>
      </c>
      <c r="D17" s="3">
        <v>225</v>
      </c>
      <c r="E17" s="3">
        <v>215</v>
      </c>
      <c r="F17" s="3">
        <v>32.299999999999997</v>
      </c>
      <c r="G17" s="3">
        <v>13.2</v>
      </c>
      <c r="H17" s="3">
        <v>13.2</v>
      </c>
      <c r="I17" s="5">
        <v>76109</v>
      </c>
      <c r="J17" s="6">
        <v>4.0999999999999996</v>
      </c>
      <c r="K17" s="6">
        <v>9.1</v>
      </c>
      <c r="L17" s="3">
        <v>3.9</v>
      </c>
      <c r="M17" s="10">
        <f t="shared" si="0"/>
        <v>0.29545454545454547</v>
      </c>
      <c r="N17" s="142">
        <v>557</v>
      </c>
      <c r="O17" s="143">
        <v>2232</v>
      </c>
    </row>
    <row r="18" spans="2:15" x14ac:dyDescent="0.3">
      <c r="B18" s="60" t="s">
        <v>33</v>
      </c>
      <c r="C18" s="3" t="s">
        <v>58</v>
      </c>
      <c r="D18" s="44">
        <v>226.8</v>
      </c>
      <c r="E18" s="44">
        <v>216</v>
      </c>
      <c r="F18" s="44">
        <v>32.200000000000003</v>
      </c>
      <c r="G18" s="44">
        <v>11.6</v>
      </c>
      <c r="H18" s="44">
        <v>11.6</v>
      </c>
      <c r="I18" s="45">
        <v>67500</v>
      </c>
      <c r="J18" s="61">
        <v>5.37</v>
      </c>
      <c r="K18" s="61">
        <v>10.050000000000001</v>
      </c>
      <c r="L18" s="3">
        <v>4</v>
      </c>
      <c r="M18" s="10">
        <f t="shared" ref="M18:M23" si="1">L18/((G18+H18)/2)</f>
        <v>0.34482758620689657</v>
      </c>
      <c r="N18" s="1">
        <v>1082</v>
      </c>
      <c r="O18" s="16">
        <v>3766</v>
      </c>
    </row>
    <row r="19" spans="2:15" x14ac:dyDescent="0.3">
      <c r="B19" s="60" t="s">
        <v>33</v>
      </c>
      <c r="C19" s="3" t="s">
        <v>58</v>
      </c>
      <c r="D19" s="44">
        <v>226.8</v>
      </c>
      <c r="E19" s="44">
        <v>216</v>
      </c>
      <c r="F19" s="44">
        <v>32.200000000000003</v>
      </c>
      <c r="G19" s="44">
        <v>12.8</v>
      </c>
      <c r="H19" s="44">
        <v>12.8</v>
      </c>
      <c r="I19" s="45">
        <v>75000</v>
      </c>
      <c r="J19" s="61">
        <v>5.37</v>
      </c>
      <c r="K19" s="61">
        <v>10</v>
      </c>
      <c r="L19" s="3">
        <v>4</v>
      </c>
      <c r="M19" s="10">
        <f t="shared" si="1"/>
        <v>0.3125</v>
      </c>
      <c r="N19" s="1">
        <v>1050</v>
      </c>
      <c r="O19" s="16">
        <v>3500</v>
      </c>
    </row>
    <row r="20" spans="2:15" x14ac:dyDescent="0.3">
      <c r="B20" s="60" t="s">
        <v>96</v>
      </c>
      <c r="C20" s="3" t="s">
        <v>58</v>
      </c>
      <c r="D20" s="44">
        <v>227</v>
      </c>
      <c r="E20" s="44">
        <v>217</v>
      </c>
      <c r="F20" s="44">
        <v>36</v>
      </c>
      <c r="G20" s="44">
        <v>12.8</v>
      </c>
      <c r="H20" s="44">
        <v>12.8</v>
      </c>
      <c r="I20" s="45">
        <v>81785</v>
      </c>
      <c r="J20" s="61">
        <f>0.02*E20</f>
        <v>4.34</v>
      </c>
      <c r="K20" s="61" t="s">
        <v>9</v>
      </c>
      <c r="L20" s="3">
        <v>2.79</v>
      </c>
      <c r="M20" s="10">
        <f t="shared" si="1"/>
        <v>0.21796874999999999</v>
      </c>
      <c r="N20" s="1">
        <v>817</v>
      </c>
      <c r="O20" s="16">
        <v>2952</v>
      </c>
    </row>
    <row r="21" spans="2:15" x14ac:dyDescent="0.3">
      <c r="B21" s="60" t="s">
        <v>95</v>
      </c>
      <c r="C21" s="3" t="s">
        <v>58</v>
      </c>
      <c r="D21" s="44">
        <v>228.6</v>
      </c>
      <c r="E21" s="44">
        <v>218.7</v>
      </c>
      <c r="F21" s="44">
        <v>32.24</v>
      </c>
      <c r="G21" s="44">
        <v>13.1</v>
      </c>
      <c r="H21" s="44">
        <v>13.1</v>
      </c>
      <c r="I21" s="45">
        <v>77100</v>
      </c>
      <c r="J21" s="61">
        <f>0.0008*E21</f>
        <v>0.17496</v>
      </c>
      <c r="K21" s="61" t="s">
        <v>9</v>
      </c>
      <c r="L21" s="3">
        <v>3.86</v>
      </c>
      <c r="M21" s="10">
        <f t="shared" si="1"/>
        <v>0.29465648854961835</v>
      </c>
      <c r="N21" s="1">
        <v>716</v>
      </c>
      <c r="O21" s="16">
        <v>2481</v>
      </c>
    </row>
    <row r="22" spans="2:15" x14ac:dyDescent="0.3">
      <c r="B22" s="60" t="s">
        <v>9</v>
      </c>
      <c r="C22" s="3" t="s">
        <v>58</v>
      </c>
      <c r="D22" s="44">
        <v>235</v>
      </c>
      <c r="E22" s="44">
        <v>226</v>
      </c>
      <c r="F22" s="44">
        <v>38</v>
      </c>
      <c r="G22" s="44">
        <v>12.2</v>
      </c>
      <c r="H22" s="44">
        <v>12.2</v>
      </c>
      <c r="I22" s="45">
        <v>89372</v>
      </c>
      <c r="J22" s="61">
        <f>0.0259*E22</f>
        <v>5.8533999999999997</v>
      </c>
      <c r="K22" s="61" t="s">
        <v>9</v>
      </c>
      <c r="L22" s="3">
        <v>4.17</v>
      </c>
      <c r="M22" s="10">
        <f t="shared" si="1"/>
        <v>0.34180327868852461</v>
      </c>
      <c r="N22" s="1">
        <v>752</v>
      </c>
      <c r="O22" s="16">
        <v>2797</v>
      </c>
    </row>
    <row r="23" spans="2:15" x14ac:dyDescent="0.3">
      <c r="B23" s="60" t="s">
        <v>33</v>
      </c>
      <c r="C23" s="3" t="s">
        <v>58</v>
      </c>
      <c r="D23" s="44">
        <v>260</v>
      </c>
      <c r="E23" s="44">
        <v>248</v>
      </c>
      <c r="F23" s="44">
        <v>32.200000000000003</v>
      </c>
      <c r="G23" s="61">
        <v>12.91</v>
      </c>
      <c r="H23" s="61">
        <v>12.91</v>
      </c>
      <c r="I23" s="45">
        <v>86600</v>
      </c>
      <c r="J23" s="61">
        <v>5.37</v>
      </c>
      <c r="K23" s="61">
        <v>10</v>
      </c>
      <c r="L23" s="3">
        <v>4</v>
      </c>
      <c r="M23" s="10">
        <f t="shared" si="1"/>
        <v>0.30983733539891556</v>
      </c>
      <c r="N23" s="1">
        <v>1050</v>
      </c>
      <c r="O23" s="16">
        <v>3800</v>
      </c>
    </row>
    <row r="24" spans="2:15" x14ac:dyDescent="0.3">
      <c r="B24" s="81" t="s">
        <v>17</v>
      </c>
      <c r="C24" s="3" t="s">
        <v>58</v>
      </c>
      <c r="D24" s="3">
        <v>290</v>
      </c>
      <c r="E24" s="3">
        <v>280.5</v>
      </c>
      <c r="F24" s="3">
        <v>45</v>
      </c>
      <c r="G24" s="3">
        <v>17.5</v>
      </c>
      <c r="H24" s="3">
        <v>17.5</v>
      </c>
      <c r="I24" s="5">
        <v>180300</v>
      </c>
      <c r="J24" s="6">
        <v>4.7</v>
      </c>
      <c r="K24" s="6">
        <v>14.6</v>
      </c>
      <c r="L24" s="3">
        <v>3.9</v>
      </c>
      <c r="M24" s="10">
        <f t="shared" si="0"/>
        <v>0.22285714285714286</v>
      </c>
      <c r="N24" s="142">
        <v>990</v>
      </c>
      <c r="O24" s="143">
        <v>3725</v>
      </c>
    </row>
    <row r="25" spans="2:15" x14ac:dyDescent="0.3">
      <c r="B25" s="58" t="s">
        <v>31</v>
      </c>
      <c r="C25" s="3" t="s">
        <v>58</v>
      </c>
      <c r="D25" s="3">
        <v>300</v>
      </c>
      <c r="E25" s="3">
        <v>292</v>
      </c>
      <c r="F25" s="3">
        <v>49</v>
      </c>
      <c r="G25" s="9">
        <v>16.5</v>
      </c>
      <c r="H25" s="9">
        <v>16.5</v>
      </c>
      <c r="I25" s="5">
        <v>199960</v>
      </c>
      <c r="J25" s="9">
        <v>3.14</v>
      </c>
      <c r="K25" s="9">
        <v>15.5</v>
      </c>
      <c r="L25" s="3">
        <v>5</v>
      </c>
      <c r="M25" s="10">
        <f>L25/((G25+H25)/2)</f>
        <v>0.30303030303030304</v>
      </c>
      <c r="N25" s="1">
        <v>1190</v>
      </c>
      <c r="O25" s="16">
        <v>3700</v>
      </c>
    </row>
    <row r="26" spans="2:15" x14ac:dyDescent="0.3">
      <c r="B26" s="144" t="s">
        <v>32</v>
      </c>
      <c r="C26" s="3" t="s">
        <v>58</v>
      </c>
      <c r="D26" s="28">
        <v>300</v>
      </c>
      <c r="E26" s="28">
        <v>292</v>
      </c>
      <c r="F26" s="28">
        <v>49</v>
      </c>
      <c r="G26" s="139">
        <v>18.5</v>
      </c>
      <c r="H26" s="139">
        <v>18.5</v>
      </c>
      <c r="I26" s="29">
        <v>225522</v>
      </c>
      <c r="J26" s="139">
        <v>3</v>
      </c>
      <c r="K26" s="139">
        <v>16</v>
      </c>
      <c r="L26" s="28">
        <v>4</v>
      </c>
      <c r="M26" s="85">
        <f>L26/((G26+H26)/2)</f>
        <v>0.21621621621621623</v>
      </c>
      <c r="N26" s="81">
        <v>1290</v>
      </c>
      <c r="O26" s="31">
        <v>4300</v>
      </c>
    </row>
    <row r="27" spans="2:15" x14ac:dyDescent="0.3">
      <c r="B27" s="81" t="s">
        <v>18</v>
      </c>
      <c r="C27" s="3" t="s">
        <v>58</v>
      </c>
      <c r="D27" s="3">
        <v>315</v>
      </c>
      <c r="E27" s="3">
        <v>300</v>
      </c>
      <c r="F27" s="3">
        <v>48.5</v>
      </c>
      <c r="G27" s="3">
        <v>19</v>
      </c>
      <c r="H27" s="3">
        <v>19</v>
      </c>
      <c r="I27" s="5">
        <v>235600</v>
      </c>
      <c r="J27" s="6">
        <v>8.8000000000000007</v>
      </c>
      <c r="K27" s="6">
        <v>13.5</v>
      </c>
      <c r="L27" s="3">
        <v>6.3</v>
      </c>
      <c r="M27" s="10">
        <f t="shared" si="0"/>
        <v>0.33157894736842103</v>
      </c>
      <c r="N27" s="142">
        <v>865</v>
      </c>
      <c r="O27" s="143">
        <v>3300</v>
      </c>
    </row>
    <row r="28" spans="2:15" x14ac:dyDescent="0.3">
      <c r="B28" s="81" t="s">
        <v>47</v>
      </c>
      <c r="C28" s="3" t="s">
        <v>58</v>
      </c>
      <c r="D28" s="3">
        <v>325</v>
      </c>
      <c r="E28" s="3">
        <v>315</v>
      </c>
      <c r="F28" s="3">
        <v>52</v>
      </c>
      <c r="G28" s="3">
        <v>20.5</v>
      </c>
      <c r="H28" s="3">
        <v>20.5</v>
      </c>
      <c r="I28" s="5">
        <v>291466</v>
      </c>
      <c r="J28" s="6">
        <f>-0.034*E28</f>
        <v>-10.71</v>
      </c>
      <c r="K28" s="6" t="s">
        <v>9</v>
      </c>
      <c r="L28" s="3">
        <v>2.56</v>
      </c>
      <c r="M28" s="10">
        <f t="shared" si="0"/>
        <v>0.1248780487804878</v>
      </c>
      <c r="N28" s="142">
        <v>950</v>
      </c>
      <c r="O28" s="143">
        <v>2310</v>
      </c>
    </row>
    <row r="29" spans="2:15" ht="15" thickBot="1" x14ac:dyDescent="0.35">
      <c r="B29" s="11" t="s">
        <v>19</v>
      </c>
      <c r="C29" s="12" t="s">
        <v>58</v>
      </c>
      <c r="D29" s="12">
        <v>360</v>
      </c>
      <c r="E29" s="12">
        <v>355</v>
      </c>
      <c r="F29" s="12">
        <v>65</v>
      </c>
      <c r="G29" s="12">
        <v>23</v>
      </c>
      <c r="H29" s="12">
        <v>23</v>
      </c>
      <c r="I29" s="13">
        <v>448000</v>
      </c>
      <c r="J29" s="14">
        <v>9.1999999999999993</v>
      </c>
      <c r="K29" s="14">
        <v>17.8</v>
      </c>
      <c r="L29" s="12">
        <v>8.4</v>
      </c>
      <c r="M29" s="15">
        <f t="shared" si="0"/>
        <v>0.36521739130434783</v>
      </c>
      <c r="N29" s="145">
        <v>1450</v>
      </c>
      <c r="O29" s="146">
        <v>4370</v>
      </c>
    </row>
    <row r="30" spans="2:15" ht="15" thickBot="1" x14ac:dyDescent="0.35">
      <c r="B30" s="223" t="s">
        <v>6</v>
      </c>
      <c r="C30" s="225"/>
      <c r="D30" s="225"/>
      <c r="E30" s="225"/>
      <c r="F30" s="225"/>
      <c r="G30" s="225"/>
      <c r="H30" s="225"/>
      <c r="I30" s="225"/>
      <c r="J30" s="225"/>
      <c r="K30" s="225"/>
      <c r="L30" s="225"/>
      <c r="M30" s="224"/>
      <c r="N30" s="223"/>
      <c r="O30" s="224"/>
    </row>
    <row r="31" spans="2:15" x14ac:dyDescent="0.3">
      <c r="B31" s="32" t="s">
        <v>13</v>
      </c>
      <c r="C31" s="34" t="s">
        <v>4</v>
      </c>
      <c r="D31" s="34">
        <v>120</v>
      </c>
      <c r="E31" s="34">
        <v>108.4</v>
      </c>
      <c r="F31" s="34">
        <v>16.899999999999999</v>
      </c>
      <c r="G31" s="34">
        <v>4.5</v>
      </c>
      <c r="H31" s="34">
        <v>4.5</v>
      </c>
      <c r="I31" s="34">
        <v>5260</v>
      </c>
      <c r="J31" s="36">
        <v>0.3</v>
      </c>
      <c r="K31" s="36">
        <v>4.5</v>
      </c>
      <c r="L31" s="34">
        <v>2.9</v>
      </c>
      <c r="M31" s="77">
        <f t="shared" ref="M31:M41" si="2">L31/((G31+H31)/2)</f>
        <v>0.64444444444444438</v>
      </c>
      <c r="N31" s="32">
        <v>280</v>
      </c>
      <c r="O31" s="37">
        <v>1055</v>
      </c>
    </row>
    <row r="32" spans="2:15" x14ac:dyDescent="0.3">
      <c r="B32" s="43" t="s">
        <v>97</v>
      </c>
      <c r="C32" s="44" t="s">
        <v>4</v>
      </c>
      <c r="D32" s="44">
        <v>190</v>
      </c>
      <c r="E32" s="44">
        <v>182</v>
      </c>
      <c r="F32" s="44">
        <v>32.24</v>
      </c>
      <c r="G32" s="44">
        <v>8</v>
      </c>
      <c r="H32" s="44">
        <v>8</v>
      </c>
      <c r="I32" s="44">
        <v>37084</v>
      </c>
      <c r="J32" s="38">
        <f>0.009*E32</f>
        <v>1.6379999999999999</v>
      </c>
      <c r="K32" s="38" t="s">
        <v>9</v>
      </c>
      <c r="L32" s="44">
        <v>2.1</v>
      </c>
      <c r="M32" s="79">
        <f t="shared" si="2"/>
        <v>0.26250000000000001</v>
      </c>
      <c r="N32" s="43">
        <v>576</v>
      </c>
      <c r="O32" s="69">
        <v>2762</v>
      </c>
    </row>
    <row r="33" spans="2:15" x14ac:dyDescent="0.3">
      <c r="B33" s="1" t="s">
        <v>15</v>
      </c>
      <c r="C33" s="3" t="s">
        <v>4</v>
      </c>
      <c r="D33" s="3">
        <v>190</v>
      </c>
      <c r="E33" s="3">
        <v>182</v>
      </c>
      <c r="F33" s="3">
        <v>32.26</v>
      </c>
      <c r="G33" s="3">
        <v>5.5</v>
      </c>
      <c r="H33" s="3">
        <v>5.5</v>
      </c>
      <c r="I33" s="3">
        <v>24800</v>
      </c>
      <c r="J33" s="6">
        <v>5.2</v>
      </c>
      <c r="K33" s="6">
        <v>8.4</v>
      </c>
      <c r="L33" s="3">
        <v>9.1999999999999993</v>
      </c>
      <c r="M33" s="80">
        <f t="shared" si="2"/>
        <v>1.6727272727272726</v>
      </c>
      <c r="N33" s="1">
        <v>770</v>
      </c>
      <c r="O33" s="16">
        <v>3660</v>
      </c>
    </row>
    <row r="34" spans="2:15" x14ac:dyDescent="0.3">
      <c r="B34" s="1" t="s">
        <v>16</v>
      </c>
      <c r="C34" s="7" t="s">
        <v>59</v>
      </c>
      <c r="D34" s="3">
        <v>225</v>
      </c>
      <c r="E34" s="3">
        <v>215</v>
      </c>
      <c r="F34" s="3">
        <v>32.299999999999997</v>
      </c>
      <c r="G34" s="3">
        <v>10.33</v>
      </c>
      <c r="H34" s="3">
        <v>10.33</v>
      </c>
      <c r="I34" s="3">
        <v>57054</v>
      </c>
      <c r="J34" s="6">
        <v>4.4000000000000004</v>
      </c>
      <c r="K34" s="6">
        <v>9.84</v>
      </c>
      <c r="L34" s="3">
        <v>3.52</v>
      </c>
      <c r="M34" s="80">
        <f t="shared" si="2"/>
        <v>0.34075508228460794</v>
      </c>
      <c r="N34" s="1">
        <v>650</v>
      </c>
      <c r="O34" s="16">
        <v>2450</v>
      </c>
    </row>
    <row r="35" spans="2:15" x14ac:dyDescent="0.3">
      <c r="B35" s="58" t="s">
        <v>33</v>
      </c>
      <c r="C35" s="3" t="s">
        <v>4</v>
      </c>
      <c r="D35" s="3">
        <v>226.8</v>
      </c>
      <c r="E35" s="3">
        <v>216</v>
      </c>
      <c r="F35" s="3">
        <v>32.200000000000003</v>
      </c>
      <c r="G35" s="3">
        <v>5.5</v>
      </c>
      <c r="H35" s="3">
        <v>8.5</v>
      </c>
      <c r="I35" s="3">
        <v>39000</v>
      </c>
      <c r="J35" s="9">
        <v>1</v>
      </c>
      <c r="K35" s="9">
        <v>10.050000000000001</v>
      </c>
      <c r="L35" s="3">
        <v>6</v>
      </c>
      <c r="M35" s="80">
        <f>L35/((G35+H35)/2)</f>
        <v>0.8571428571428571</v>
      </c>
      <c r="N35" s="1">
        <v>1307</v>
      </c>
      <c r="O35" s="16">
        <v>5278</v>
      </c>
    </row>
    <row r="36" spans="2:15" x14ac:dyDescent="0.3">
      <c r="B36" s="60" t="s">
        <v>95</v>
      </c>
      <c r="C36" s="3" t="s">
        <v>4</v>
      </c>
      <c r="D36" s="3">
        <v>228.6</v>
      </c>
      <c r="E36" s="3">
        <v>218.7</v>
      </c>
      <c r="F36" s="3">
        <v>32.24</v>
      </c>
      <c r="G36" s="3">
        <v>8</v>
      </c>
      <c r="H36" s="3">
        <v>8</v>
      </c>
      <c r="I36" s="3">
        <v>45408</v>
      </c>
      <c r="J36" s="9">
        <f>-0.009*E36</f>
        <v>-1.9682999999999997</v>
      </c>
      <c r="K36" s="9" t="s">
        <v>9</v>
      </c>
      <c r="L36" s="3">
        <v>5.19</v>
      </c>
      <c r="M36" s="80">
        <f>L36/((G36+H36)/2)</f>
        <v>0.64875000000000005</v>
      </c>
      <c r="N36" s="1">
        <v>840</v>
      </c>
      <c r="O36" s="16">
        <v>3500</v>
      </c>
    </row>
    <row r="37" spans="2:15" x14ac:dyDescent="0.3">
      <c r="B37" s="58" t="s">
        <v>33</v>
      </c>
      <c r="C37" s="3" t="s">
        <v>4</v>
      </c>
      <c r="D37" s="3">
        <v>260</v>
      </c>
      <c r="E37" s="3">
        <v>248</v>
      </c>
      <c r="F37" s="3">
        <v>32.200000000000003</v>
      </c>
      <c r="G37" s="9">
        <v>5.5</v>
      </c>
      <c r="H37" s="9">
        <v>8.5</v>
      </c>
      <c r="I37" s="3">
        <v>45000</v>
      </c>
      <c r="J37" s="9">
        <v>1</v>
      </c>
      <c r="K37" s="9">
        <v>10.050000000000001</v>
      </c>
      <c r="L37" s="3">
        <v>6</v>
      </c>
      <c r="M37" s="80">
        <f>L37/((G37+H37)/2)</f>
        <v>0.8571428571428571</v>
      </c>
      <c r="N37" s="1">
        <v>1307</v>
      </c>
      <c r="O37" s="16">
        <v>5760</v>
      </c>
    </row>
    <row r="38" spans="2:15" x14ac:dyDescent="0.3">
      <c r="B38" s="1" t="s">
        <v>17</v>
      </c>
      <c r="C38" s="3" t="s">
        <v>4</v>
      </c>
      <c r="D38" s="3">
        <v>290</v>
      </c>
      <c r="E38" s="3">
        <v>280.5</v>
      </c>
      <c r="F38" s="3">
        <v>45</v>
      </c>
      <c r="G38" s="3">
        <v>6</v>
      </c>
      <c r="H38" s="3">
        <v>9</v>
      </c>
      <c r="I38" s="3">
        <v>70900</v>
      </c>
      <c r="J38" s="6">
        <v>0.2</v>
      </c>
      <c r="K38" s="6">
        <v>12.6</v>
      </c>
      <c r="L38" s="3">
        <v>12.6</v>
      </c>
      <c r="M38" s="80">
        <f t="shared" si="2"/>
        <v>1.68</v>
      </c>
      <c r="N38" s="1">
        <v>1302</v>
      </c>
      <c r="O38" s="16">
        <v>6053</v>
      </c>
    </row>
    <row r="39" spans="2:15" x14ac:dyDescent="0.3">
      <c r="B39" s="58" t="s">
        <v>30</v>
      </c>
      <c r="C39" s="3" t="s">
        <v>4</v>
      </c>
      <c r="D39" s="3">
        <v>300</v>
      </c>
      <c r="E39" s="3">
        <v>292</v>
      </c>
      <c r="F39" s="3">
        <v>49</v>
      </c>
      <c r="G39" s="9">
        <v>9</v>
      </c>
      <c r="H39" s="9">
        <v>10.5</v>
      </c>
      <c r="I39" s="3">
        <v>107500</v>
      </c>
      <c r="J39" s="9">
        <v>-3.7</v>
      </c>
      <c r="K39" s="9">
        <v>15.5</v>
      </c>
      <c r="L39" s="3">
        <v>5</v>
      </c>
      <c r="M39" s="80">
        <f>L39/((G39+H39)/2)</f>
        <v>0.51282051282051277</v>
      </c>
      <c r="N39" s="1">
        <v>1500</v>
      </c>
      <c r="O39" s="16">
        <v>5700</v>
      </c>
    </row>
    <row r="40" spans="2:15" x14ac:dyDescent="0.3">
      <c r="B40" s="1" t="s">
        <v>18</v>
      </c>
      <c r="C40" s="3" t="s">
        <v>4</v>
      </c>
      <c r="D40" s="3">
        <v>315</v>
      </c>
      <c r="E40" s="3">
        <v>300</v>
      </c>
      <c r="F40" s="3">
        <v>45</v>
      </c>
      <c r="G40" s="3">
        <v>7.6</v>
      </c>
      <c r="H40" s="3">
        <v>7.6</v>
      </c>
      <c r="I40" s="3">
        <v>88300</v>
      </c>
      <c r="J40" s="6">
        <v>12.6</v>
      </c>
      <c r="K40" s="6">
        <v>12.7</v>
      </c>
      <c r="L40" s="3">
        <v>15.6</v>
      </c>
      <c r="M40" s="80">
        <f t="shared" si="2"/>
        <v>2.0526315789473686</v>
      </c>
      <c r="N40" s="1">
        <v>1380</v>
      </c>
      <c r="O40" s="16">
        <v>6430</v>
      </c>
    </row>
    <row r="41" spans="2:15" ht="15" thickBot="1" x14ac:dyDescent="0.35">
      <c r="B41" s="11" t="s">
        <v>19</v>
      </c>
      <c r="C41" s="12" t="s">
        <v>4</v>
      </c>
      <c r="D41" s="12">
        <v>360</v>
      </c>
      <c r="E41" s="12">
        <v>355</v>
      </c>
      <c r="F41" s="12">
        <v>65</v>
      </c>
      <c r="G41" s="12">
        <v>15</v>
      </c>
      <c r="H41" s="12">
        <v>15</v>
      </c>
      <c r="I41" s="12">
        <v>286000</v>
      </c>
      <c r="J41" s="14">
        <v>11.1</v>
      </c>
      <c r="K41" s="14">
        <v>19.600000000000001</v>
      </c>
      <c r="L41" s="12">
        <v>9.9</v>
      </c>
      <c r="M41" s="87">
        <f t="shared" si="2"/>
        <v>0.66</v>
      </c>
      <c r="N41" s="11">
        <v>1970</v>
      </c>
      <c r="O41" s="18">
        <v>7250</v>
      </c>
    </row>
    <row r="42" spans="2:15" ht="15" thickBot="1" x14ac:dyDescent="0.35"/>
    <row r="43" spans="2:15" ht="15" thickBot="1" x14ac:dyDescent="0.35">
      <c r="J43" s="129"/>
      <c r="K43" s="129"/>
      <c r="L43" s="131" t="s">
        <v>91</v>
      </c>
      <c r="M43" s="131" t="s">
        <v>92</v>
      </c>
      <c r="N43" s="122" t="s">
        <v>93</v>
      </c>
    </row>
    <row r="44" spans="2:15" ht="16.2" thickBot="1" x14ac:dyDescent="0.35">
      <c r="J44" s="206" t="s">
        <v>82</v>
      </c>
      <c r="K44" s="207"/>
      <c r="L44" s="131">
        <f>MIN(M13:M29)</f>
        <v>0.1248780487804878</v>
      </c>
      <c r="M44" s="131">
        <f>AVERAGE(M13:M29)</f>
        <v>0.30017489575369088</v>
      </c>
      <c r="N44" s="122">
        <f>MAX(M13:M29)</f>
        <v>0.54354838709677422</v>
      </c>
    </row>
    <row r="45" spans="2:15" ht="16.2" thickBot="1" x14ac:dyDescent="0.35">
      <c r="J45" s="206" t="s">
        <v>83</v>
      </c>
      <c r="K45" s="207"/>
      <c r="L45" s="130">
        <f>MIN(M31:M41)</f>
        <v>0.26250000000000001</v>
      </c>
      <c r="M45" s="130">
        <f>AVERAGE(M31:M41)</f>
        <v>0.92626496413726545</v>
      </c>
      <c r="N45" s="122">
        <f>MAX(M31:M41)</f>
        <v>2.0526315789473686</v>
      </c>
    </row>
  </sheetData>
  <sheetProtection sheet="1" objects="1" scenarios="1"/>
  <mergeCells count="10">
    <mergeCell ref="B10:M10"/>
    <mergeCell ref="N10:O10"/>
    <mergeCell ref="J44:K44"/>
    <mergeCell ref="J45:K45"/>
    <mergeCell ref="B11:B12"/>
    <mergeCell ref="C11:C12"/>
    <mergeCell ref="G11:H11"/>
    <mergeCell ref="J11:K11"/>
    <mergeCell ref="B30:M30"/>
    <mergeCell ref="N30:O30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Q31"/>
  <sheetViews>
    <sheetView zoomScale="60" zoomScaleNormal="60" workbookViewId="0">
      <selection activeCell="F29" sqref="F2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2.33203125" customWidth="1"/>
    <col min="13" max="13" width="13.109375" customWidth="1"/>
    <col min="14" max="14" width="12.44140625" customWidth="1"/>
  </cols>
  <sheetData>
    <row r="9" spans="2:15" x14ac:dyDescent="0.3">
      <c r="B9" s="4"/>
    </row>
    <row r="10" spans="2:15" ht="9" customHeight="1" thickBot="1" x14ac:dyDescent="0.35"/>
    <row r="11" spans="2:15" ht="24" thickBot="1" x14ac:dyDescent="0.5">
      <c r="B11" s="208" t="s">
        <v>100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39" customHeight="1" x14ac:dyDescent="0.3">
      <c r="B12" s="213" t="s">
        <v>0</v>
      </c>
      <c r="C12" s="215" t="s">
        <v>53</v>
      </c>
      <c r="D12" s="134" t="s">
        <v>54</v>
      </c>
      <c r="E12" s="134" t="s">
        <v>1</v>
      </c>
      <c r="F12" s="134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33" t="s">
        <v>63</v>
      </c>
      <c r="M12" s="117" t="s">
        <v>64</v>
      </c>
      <c r="N12" s="116" t="s">
        <v>43</v>
      </c>
      <c r="O12" s="117" t="s">
        <v>41</v>
      </c>
    </row>
    <row r="13" spans="2:15" ht="27.75" customHeight="1" thickBot="1" x14ac:dyDescent="0.35">
      <c r="B13" s="218"/>
      <c r="C13" s="219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5" t="s">
        <v>42</v>
      </c>
      <c r="O13" s="127" t="s">
        <v>42</v>
      </c>
    </row>
    <row r="14" spans="2:15" ht="15" customHeight="1" x14ac:dyDescent="0.3">
      <c r="B14" s="63" t="s">
        <v>100</v>
      </c>
      <c r="C14" s="65" t="s">
        <v>58</v>
      </c>
      <c r="D14" s="64">
        <v>361.9</v>
      </c>
      <c r="E14" s="64">
        <v>329.98</v>
      </c>
      <c r="F14" s="64">
        <v>47</v>
      </c>
      <c r="G14" s="64">
        <v>9.15</v>
      </c>
      <c r="H14" s="64">
        <v>9.15</v>
      </c>
      <c r="I14" s="64">
        <v>101244</v>
      </c>
      <c r="J14" s="84">
        <f>-0.035*E14</f>
        <v>-11.549300000000002</v>
      </c>
      <c r="K14" s="66" t="s">
        <v>9</v>
      </c>
      <c r="L14" s="66">
        <v>4.7</v>
      </c>
      <c r="M14" s="77">
        <f t="shared" ref="M14:M27" si="0">L14/((G14+H14)/2)</f>
        <v>0.51366120218579236</v>
      </c>
      <c r="N14" s="32">
        <v>15290</v>
      </c>
      <c r="O14" s="37">
        <v>3050</v>
      </c>
    </row>
    <row r="15" spans="2:15" ht="15" customHeight="1" x14ac:dyDescent="0.3">
      <c r="B15" s="24" t="s">
        <v>100</v>
      </c>
      <c r="C15" s="26" t="s">
        <v>58</v>
      </c>
      <c r="D15" s="25">
        <v>360.5</v>
      </c>
      <c r="E15" s="25">
        <v>330</v>
      </c>
      <c r="F15" s="25">
        <v>47</v>
      </c>
      <c r="G15" s="25">
        <v>9.15</v>
      </c>
      <c r="H15" s="25">
        <v>9.15</v>
      </c>
      <c r="I15" s="25">
        <v>101316</v>
      </c>
      <c r="J15" s="83">
        <f>-0.0359*E15</f>
        <v>-11.847000000000001</v>
      </c>
      <c r="K15" s="27" t="s">
        <v>9</v>
      </c>
      <c r="L15" s="27">
        <v>2.79</v>
      </c>
      <c r="M15" s="80">
        <f t="shared" si="0"/>
        <v>0.30491803278688523</v>
      </c>
      <c r="N15" s="1">
        <v>15218</v>
      </c>
      <c r="O15" s="16">
        <v>2632</v>
      </c>
    </row>
    <row r="16" spans="2:15" ht="15" customHeight="1" x14ac:dyDescent="0.3">
      <c r="B16" s="24" t="s">
        <v>100</v>
      </c>
      <c r="C16" s="26" t="s">
        <v>58</v>
      </c>
      <c r="D16" s="25">
        <v>350</v>
      </c>
      <c r="E16" s="25">
        <v>315</v>
      </c>
      <c r="F16" s="25">
        <v>45</v>
      </c>
      <c r="G16" s="25">
        <v>10</v>
      </c>
      <c r="H16" s="25">
        <v>10</v>
      </c>
      <c r="I16" s="25">
        <v>93000</v>
      </c>
      <c r="J16" s="83">
        <f>-0.0444*E16</f>
        <v>-13.986000000000001</v>
      </c>
      <c r="K16" s="27" t="s">
        <v>9</v>
      </c>
      <c r="L16" s="27">
        <v>3.64</v>
      </c>
      <c r="M16" s="80">
        <f t="shared" si="0"/>
        <v>0.36399999999999999</v>
      </c>
      <c r="N16" s="1">
        <v>16000</v>
      </c>
      <c r="O16" s="16">
        <v>3000</v>
      </c>
    </row>
    <row r="17" spans="2:17" ht="15" customHeight="1" x14ac:dyDescent="0.3">
      <c r="B17" s="24" t="s">
        <v>100</v>
      </c>
      <c r="C17" s="26" t="s">
        <v>58</v>
      </c>
      <c r="D17" s="25">
        <v>345</v>
      </c>
      <c r="E17" s="25">
        <v>301.39999999999998</v>
      </c>
      <c r="F17" s="25">
        <v>41</v>
      </c>
      <c r="G17" s="25">
        <v>10.1</v>
      </c>
      <c r="H17" s="25">
        <v>10.3</v>
      </c>
      <c r="I17" s="25">
        <v>76750</v>
      </c>
      <c r="J17" s="83">
        <f>-0.0571*E17</f>
        <v>-17.20994</v>
      </c>
      <c r="K17" s="27" t="s">
        <v>9</v>
      </c>
      <c r="L17" s="27">
        <v>11.74</v>
      </c>
      <c r="M17" s="80">
        <f t="shared" si="0"/>
        <v>1.1509803921568629</v>
      </c>
      <c r="N17" s="1">
        <v>12980</v>
      </c>
      <c r="O17" s="16">
        <v>1845</v>
      </c>
    </row>
    <row r="18" spans="2:17" ht="15" customHeight="1" x14ac:dyDescent="0.3">
      <c r="B18" s="24" t="s">
        <v>100</v>
      </c>
      <c r="C18" s="26" t="s">
        <v>58</v>
      </c>
      <c r="D18" s="25">
        <v>333.3</v>
      </c>
      <c r="E18" s="25">
        <v>296</v>
      </c>
      <c r="F18" s="25">
        <v>37.92</v>
      </c>
      <c r="G18" s="25">
        <v>8.42</v>
      </c>
      <c r="H18" s="25">
        <v>8.16</v>
      </c>
      <c r="I18" s="25">
        <v>63326.3</v>
      </c>
      <c r="J18" s="83">
        <f>-0.0518*E18</f>
        <v>-15.332799999999999</v>
      </c>
      <c r="K18" s="27" t="s">
        <v>9</v>
      </c>
      <c r="L18" s="27">
        <v>2.4329999999999998</v>
      </c>
      <c r="M18" s="80">
        <f t="shared" si="0"/>
        <v>0.29348612786489747</v>
      </c>
      <c r="N18" s="1">
        <v>13572</v>
      </c>
      <c r="O18" s="16">
        <v>1932</v>
      </c>
    </row>
    <row r="19" spans="2:17" ht="15" customHeight="1" x14ac:dyDescent="0.3">
      <c r="B19" s="24" t="s">
        <v>100</v>
      </c>
      <c r="C19" s="26" t="s">
        <v>58</v>
      </c>
      <c r="D19" s="25">
        <v>330</v>
      </c>
      <c r="E19" s="25">
        <v>306</v>
      </c>
      <c r="F19" s="25">
        <v>38.4</v>
      </c>
      <c r="G19" s="25">
        <v>8.3000000000000007</v>
      </c>
      <c r="H19" s="25">
        <v>8.3000000000000007</v>
      </c>
      <c r="I19" s="25">
        <v>66498</v>
      </c>
      <c r="J19" s="83">
        <f>-0.0274*E19</f>
        <v>-8.3843999999999994</v>
      </c>
      <c r="K19" s="27" t="s">
        <v>9</v>
      </c>
      <c r="L19" s="27">
        <v>2.98</v>
      </c>
      <c r="M19" s="80">
        <f t="shared" si="0"/>
        <v>0.35903614457831323</v>
      </c>
      <c r="N19" s="1">
        <v>13446</v>
      </c>
      <c r="O19" s="16">
        <v>1720</v>
      </c>
    </row>
    <row r="20" spans="2:17" ht="15" customHeight="1" x14ac:dyDescent="0.3">
      <c r="B20" s="24" t="s">
        <v>100</v>
      </c>
      <c r="C20" s="26" t="s">
        <v>58</v>
      </c>
      <c r="D20" s="25">
        <v>329.45</v>
      </c>
      <c r="E20" s="25">
        <v>288.8</v>
      </c>
      <c r="F20" s="25">
        <v>40.64</v>
      </c>
      <c r="G20" s="25">
        <v>8.6999999999999993</v>
      </c>
      <c r="H20" s="25">
        <v>8.6999999999999993</v>
      </c>
      <c r="I20" s="25">
        <v>73537</v>
      </c>
      <c r="J20" s="83">
        <f>-0.0422*E20</f>
        <v>-12.187360000000002</v>
      </c>
      <c r="K20" s="27" t="s">
        <v>9</v>
      </c>
      <c r="L20" s="27">
        <v>3.2</v>
      </c>
      <c r="M20" s="80">
        <f t="shared" si="0"/>
        <v>0.36781609195402304</v>
      </c>
      <c r="N20" s="1">
        <v>13554</v>
      </c>
      <c r="O20" s="16">
        <v>2243</v>
      </c>
    </row>
    <row r="21" spans="2:17" x14ac:dyDescent="0.3">
      <c r="B21" s="24" t="s">
        <v>100</v>
      </c>
      <c r="C21" s="26" t="s">
        <v>58</v>
      </c>
      <c r="D21" s="98">
        <v>300</v>
      </c>
      <c r="E21" s="98">
        <v>270</v>
      </c>
      <c r="F21" s="25">
        <v>35</v>
      </c>
      <c r="G21" s="25">
        <v>9</v>
      </c>
      <c r="H21" s="25">
        <v>9</v>
      </c>
      <c r="I21" s="98">
        <v>55000</v>
      </c>
      <c r="J21" s="27">
        <v>-10</v>
      </c>
      <c r="K21" s="27">
        <v>15.5</v>
      </c>
      <c r="L21" s="147">
        <v>2</v>
      </c>
      <c r="M21" s="80">
        <f t="shared" si="0"/>
        <v>0.22222222222222221</v>
      </c>
      <c r="N21" s="1">
        <v>9740</v>
      </c>
      <c r="O21" s="16">
        <v>1420</v>
      </c>
    </row>
    <row r="22" spans="2:17" ht="15" customHeight="1" x14ac:dyDescent="0.3">
      <c r="B22" s="24" t="s">
        <v>100</v>
      </c>
      <c r="C22" s="26" t="s">
        <v>58</v>
      </c>
      <c r="D22" s="25">
        <v>289.60000000000002</v>
      </c>
      <c r="E22" s="25">
        <v>242.28</v>
      </c>
      <c r="F22" s="25">
        <v>36.049999999999997</v>
      </c>
      <c r="G22" s="25">
        <v>8.5</v>
      </c>
      <c r="H22" s="25">
        <v>8.5</v>
      </c>
      <c r="I22" s="25">
        <v>53719</v>
      </c>
      <c r="J22" s="83">
        <f>0.0422*E22</f>
        <v>10.224216</v>
      </c>
      <c r="K22" s="27" t="s">
        <v>9</v>
      </c>
      <c r="L22" s="27">
        <v>1.4079999999999999</v>
      </c>
      <c r="M22" s="80">
        <f t="shared" si="0"/>
        <v>0.1656470588235294</v>
      </c>
      <c r="N22" s="1" t="s">
        <v>9</v>
      </c>
      <c r="O22" s="16" t="s">
        <v>9</v>
      </c>
    </row>
    <row r="23" spans="2:17" ht="15" customHeight="1" x14ac:dyDescent="0.3">
      <c r="B23" s="24" t="s">
        <v>100</v>
      </c>
      <c r="C23" s="26" t="s">
        <v>58</v>
      </c>
      <c r="D23" s="25">
        <v>289.60000000000002</v>
      </c>
      <c r="E23" s="25">
        <v>247.7</v>
      </c>
      <c r="F23" s="25">
        <v>35.5</v>
      </c>
      <c r="G23" s="25">
        <v>8.1999999999999993</v>
      </c>
      <c r="H23" s="25">
        <v>8.1999999999999993</v>
      </c>
      <c r="I23" s="25">
        <v>53930</v>
      </c>
      <c r="J23" s="83">
        <f>-0.0268*E23</f>
        <v>-6.6383599999999996</v>
      </c>
      <c r="K23" s="27" t="s">
        <v>9</v>
      </c>
      <c r="L23" s="27">
        <v>1.4870000000000001</v>
      </c>
      <c r="M23" s="80">
        <f t="shared" si="0"/>
        <v>0.18134146341463417</v>
      </c>
      <c r="N23" s="1" t="s">
        <v>9</v>
      </c>
      <c r="O23" s="16" t="s">
        <v>9</v>
      </c>
    </row>
    <row r="24" spans="2:17" x14ac:dyDescent="0.3">
      <c r="B24" s="24" t="s">
        <v>100</v>
      </c>
      <c r="C24" s="26" t="s">
        <v>58</v>
      </c>
      <c r="D24" s="3">
        <v>260.97000000000003</v>
      </c>
      <c r="E24" s="3">
        <v>224.05</v>
      </c>
      <c r="F24" s="3">
        <v>32.200000000000003</v>
      </c>
      <c r="G24" s="3">
        <v>8.1999999999999993</v>
      </c>
      <c r="H24" s="3">
        <v>8.1999999999999993</v>
      </c>
      <c r="I24" s="3">
        <v>36826</v>
      </c>
      <c r="J24" s="9">
        <f>0.0187*E24</f>
        <v>4.1897350000000007</v>
      </c>
      <c r="K24" s="6" t="s">
        <v>9</v>
      </c>
      <c r="L24" s="6">
        <v>1.79</v>
      </c>
      <c r="M24" s="80">
        <f t="shared" si="0"/>
        <v>0.2182926829268293</v>
      </c>
      <c r="N24" s="1">
        <v>7500</v>
      </c>
      <c r="O24" s="16">
        <v>1267</v>
      </c>
      <c r="Q24" s="51"/>
    </row>
    <row r="25" spans="2:17" ht="15" customHeight="1" x14ac:dyDescent="0.3">
      <c r="B25" s="24" t="s">
        <v>100</v>
      </c>
      <c r="C25" s="26" t="s">
        <v>58</v>
      </c>
      <c r="D25" s="25">
        <v>257</v>
      </c>
      <c r="E25" s="25">
        <v>221.4</v>
      </c>
      <c r="F25" s="25">
        <v>32.299999999999997</v>
      </c>
      <c r="G25" s="25">
        <v>7.95</v>
      </c>
      <c r="H25" s="25">
        <v>7.95</v>
      </c>
      <c r="I25" s="25">
        <v>37890</v>
      </c>
      <c r="J25" s="83">
        <f>0.042*E25</f>
        <v>9.2988</v>
      </c>
      <c r="K25" s="6" t="s">
        <v>9</v>
      </c>
      <c r="L25" s="27">
        <v>1.48</v>
      </c>
      <c r="M25" s="80">
        <f t="shared" si="0"/>
        <v>0.1861635220125786</v>
      </c>
      <c r="N25" s="1">
        <v>8012</v>
      </c>
      <c r="O25" s="16">
        <v>1112</v>
      </c>
      <c r="Q25" s="51"/>
    </row>
    <row r="26" spans="2:17" x14ac:dyDescent="0.3">
      <c r="B26" s="24" t="s">
        <v>100</v>
      </c>
      <c r="C26" s="26" t="s">
        <v>58</v>
      </c>
      <c r="D26" s="25">
        <v>223</v>
      </c>
      <c r="E26" s="25">
        <v>190</v>
      </c>
      <c r="F26" s="25">
        <v>28.4</v>
      </c>
      <c r="G26" s="25">
        <v>7.6</v>
      </c>
      <c r="H26" s="25">
        <v>7.6</v>
      </c>
      <c r="I26" s="98">
        <v>24100</v>
      </c>
      <c r="J26" s="27">
        <v>0</v>
      </c>
      <c r="K26" s="27">
        <v>13.9</v>
      </c>
      <c r="L26" s="27">
        <v>1.8</v>
      </c>
      <c r="M26" s="80">
        <f t="shared" si="0"/>
        <v>0.23684210526315791</v>
      </c>
      <c r="N26" s="1">
        <v>4332</v>
      </c>
      <c r="O26" s="16">
        <v>807</v>
      </c>
    </row>
    <row r="27" spans="2:17" ht="15" thickBot="1" x14ac:dyDescent="0.35">
      <c r="B27" s="148" t="s">
        <v>100</v>
      </c>
      <c r="C27" s="149" t="s">
        <v>58</v>
      </c>
      <c r="D27" s="103">
        <v>216</v>
      </c>
      <c r="E27" s="103">
        <v>178</v>
      </c>
      <c r="F27" s="103">
        <v>28.4</v>
      </c>
      <c r="G27" s="103">
        <v>6.8</v>
      </c>
      <c r="H27" s="103">
        <v>6.8</v>
      </c>
      <c r="I27" s="102">
        <v>19810</v>
      </c>
      <c r="J27" s="104">
        <v>0</v>
      </c>
      <c r="K27" s="104">
        <v>13.9</v>
      </c>
      <c r="L27" s="104">
        <v>1.8</v>
      </c>
      <c r="M27" s="87">
        <f t="shared" si="0"/>
        <v>0.26470588235294118</v>
      </c>
      <c r="N27" s="11">
        <v>3802</v>
      </c>
      <c r="O27" s="18">
        <v>807</v>
      </c>
    </row>
    <row r="28" spans="2:17" ht="15" thickBot="1" x14ac:dyDescent="0.35"/>
    <row r="29" spans="2:17" ht="15" thickBot="1" x14ac:dyDescent="0.35">
      <c r="J29" s="129"/>
      <c r="K29" s="129"/>
      <c r="L29" s="131" t="s">
        <v>91</v>
      </c>
      <c r="M29" s="131" t="s">
        <v>92</v>
      </c>
      <c r="N29" s="122" t="s">
        <v>93</v>
      </c>
    </row>
    <row r="30" spans="2:17" ht="16.2" thickBot="1" x14ac:dyDescent="0.35">
      <c r="J30" s="206" t="s">
        <v>82</v>
      </c>
      <c r="K30" s="207"/>
      <c r="L30" s="131">
        <f>MIN(M14:M27)</f>
        <v>0.1656470588235294</v>
      </c>
      <c r="M30" s="131">
        <f>AVERAGE(M14:M27)</f>
        <v>0.34493663775304756</v>
      </c>
      <c r="N30" s="122">
        <f>MAX(M14:M27)</f>
        <v>1.1509803921568629</v>
      </c>
    </row>
    <row r="31" spans="2:17" ht="16.2" thickBot="1" x14ac:dyDescent="0.35">
      <c r="J31" s="206" t="s">
        <v>83</v>
      </c>
      <c r="K31" s="207"/>
      <c r="L31" s="130" t="s">
        <v>9</v>
      </c>
      <c r="M31" s="130" t="s">
        <v>9</v>
      </c>
      <c r="N31" s="122" t="s">
        <v>9</v>
      </c>
    </row>
  </sheetData>
  <sheetProtection sheet="1" objects="1" scenarios="1"/>
  <mergeCells count="8">
    <mergeCell ref="J30:K30"/>
    <mergeCell ref="J31:K31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29"/>
  <sheetViews>
    <sheetView topLeftCell="A7" zoomScale="70" zoomScaleNormal="70" workbookViewId="0">
      <selection activeCell="C29" sqref="C29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6640625" customWidth="1"/>
    <col min="13" max="13" width="12.5546875" customWidth="1"/>
    <col min="14" max="14" width="12.44140625" customWidth="1"/>
  </cols>
  <sheetData>
    <row r="9" spans="2:15" x14ac:dyDescent="0.3">
      <c r="B9" s="4" t="s">
        <v>6</v>
      </c>
    </row>
    <row r="10" spans="2:15" ht="15" thickBot="1" x14ac:dyDescent="0.35"/>
    <row r="11" spans="2:15" ht="24" thickBot="1" x14ac:dyDescent="0.5">
      <c r="B11" s="208" t="s">
        <v>101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39" customHeight="1" x14ac:dyDescent="0.3">
      <c r="B12" s="213" t="s">
        <v>0</v>
      </c>
      <c r="C12" s="215" t="s">
        <v>53</v>
      </c>
      <c r="D12" s="137" t="s">
        <v>54</v>
      </c>
      <c r="E12" s="137" t="s">
        <v>1</v>
      </c>
      <c r="F12" s="137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36" t="s">
        <v>63</v>
      </c>
      <c r="M12" s="117" t="s">
        <v>64</v>
      </c>
      <c r="N12" s="116" t="s">
        <v>41</v>
      </c>
      <c r="O12" s="117" t="s">
        <v>43</v>
      </c>
    </row>
    <row r="13" spans="2:15" ht="15" thickBot="1" x14ac:dyDescent="0.35">
      <c r="B13" s="218"/>
      <c r="C13" s="219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8" t="s">
        <v>42</v>
      </c>
      <c r="O13" s="127" t="s">
        <v>42</v>
      </c>
    </row>
    <row r="14" spans="2:15" x14ac:dyDescent="0.3">
      <c r="B14" s="32" t="s">
        <v>101</v>
      </c>
      <c r="C14" s="34" t="s">
        <v>58</v>
      </c>
      <c r="D14" s="34">
        <v>55</v>
      </c>
      <c r="E14" s="34">
        <v>50</v>
      </c>
      <c r="F14" s="34">
        <v>9.3000000000000007</v>
      </c>
      <c r="G14" s="34">
        <v>3.45</v>
      </c>
      <c r="H14" s="34">
        <v>3.45</v>
      </c>
      <c r="I14" s="34">
        <v>1200</v>
      </c>
      <c r="J14" s="36">
        <f>-0.01*E14</f>
        <v>-0.5</v>
      </c>
      <c r="K14" s="36" t="s">
        <v>9</v>
      </c>
      <c r="L14" s="36">
        <v>0.29399999999999998</v>
      </c>
      <c r="M14" s="56">
        <f t="shared" ref="M14:M21" si="0">L14/((G14+H14)/2)</f>
        <v>8.5217391304347814E-2</v>
      </c>
      <c r="N14" s="32">
        <v>306</v>
      </c>
      <c r="O14" s="37">
        <v>65</v>
      </c>
    </row>
    <row r="15" spans="2:15" x14ac:dyDescent="0.3">
      <c r="B15" s="1" t="s">
        <v>101</v>
      </c>
      <c r="C15" s="3" t="s">
        <v>58</v>
      </c>
      <c r="D15" s="25">
        <v>60</v>
      </c>
      <c r="E15" s="25">
        <v>52.8</v>
      </c>
      <c r="F15" s="25">
        <v>15</v>
      </c>
      <c r="G15" s="25">
        <v>5</v>
      </c>
      <c r="H15" s="25">
        <v>5</v>
      </c>
      <c r="I15" s="25">
        <v>2700</v>
      </c>
      <c r="J15" s="27">
        <v>5</v>
      </c>
      <c r="K15" s="27">
        <v>6.5</v>
      </c>
      <c r="L15" s="27">
        <v>1.2</v>
      </c>
      <c r="M15" s="10">
        <f t="shared" si="0"/>
        <v>0.24</v>
      </c>
      <c r="N15" s="1">
        <v>420</v>
      </c>
      <c r="O15" s="16">
        <v>180</v>
      </c>
    </row>
    <row r="16" spans="2:15" x14ac:dyDescent="0.3">
      <c r="B16" s="1" t="s">
        <v>101</v>
      </c>
      <c r="C16" s="3" t="s">
        <v>58</v>
      </c>
      <c r="D16" s="3">
        <v>87.65</v>
      </c>
      <c r="E16" s="3">
        <v>82.53</v>
      </c>
      <c r="F16" s="3">
        <v>11</v>
      </c>
      <c r="G16" s="3">
        <v>3.8</v>
      </c>
      <c r="H16" s="3">
        <v>4.0199999999999996</v>
      </c>
      <c r="I16" s="3">
        <v>3223</v>
      </c>
      <c r="J16" s="9">
        <v>-0.18</v>
      </c>
      <c r="K16" s="9">
        <v>3.62</v>
      </c>
      <c r="L16" s="3">
        <v>1</v>
      </c>
      <c r="M16" s="10">
        <f t="shared" si="0"/>
        <v>0.25575447570332482</v>
      </c>
      <c r="N16" s="1">
        <v>460</v>
      </c>
      <c r="O16" s="16">
        <v>102</v>
      </c>
    </row>
    <row r="17" spans="2:15" x14ac:dyDescent="0.3">
      <c r="B17" s="1" t="s">
        <v>101</v>
      </c>
      <c r="C17" s="3" t="s">
        <v>58</v>
      </c>
      <c r="D17" s="3">
        <v>117.38</v>
      </c>
      <c r="E17" s="3">
        <v>111.4</v>
      </c>
      <c r="F17" s="3">
        <v>16.64</v>
      </c>
      <c r="G17" s="9">
        <v>4.71</v>
      </c>
      <c r="H17" s="9">
        <v>4.71</v>
      </c>
      <c r="I17" s="3">
        <v>7050</v>
      </c>
      <c r="J17" s="9">
        <v>1.7</v>
      </c>
      <c r="K17" s="9">
        <v>6.5</v>
      </c>
      <c r="L17" s="3">
        <v>1.5</v>
      </c>
      <c r="M17" s="10">
        <f t="shared" si="0"/>
        <v>0.31847133757961782</v>
      </c>
      <c r="N17" s="1">
        <v>1450</v>
      </c>
      <c r="O17" s="16">
        <v>260</v>
      </c>
    </row>
    <row r="18" spans="2:15" x14ac:dyDescent="0.3">
      <c r="B18" s="1" t="s">
        <v>101</v>
      </c>
      <c r="C18" s="3" t="s">
        <v>58</v>
      </c>
      <c r="D18" s="3">
        <v>120</v>
      </c>
      <c r="E18" s="3">
        <v>112</v>
      </c>
      <c r="F18" s="3">
        <v>18.5</v>
      </c>
      <c r="G18" s="9">
        <v>7.5</v>
      </c>
      <c r="H18" s="9">
        <v>7.5</v>
      </c>
      <c r="I18" s="3">
        <v>10000</v>
      </c>
      <c r="J18" s="9">
        <v>-2</v>
      </c>
      <c r="K18" s="9">
        <v>6</v>
      </c>
      <c r="L18" s="3">
        <v>1.5</v>
      </c>
      <c r="M18" s="10">
        <f t="shared" si="0"/>
        <v>0.2</v>
      </c>
      <c r="N18" s="1">
        <v>1460</v>
      </c>
      <c r="O18" s="16">
        <v>330</v>
      </c>
    </row>
    <row r="19" spans="2:15" x14ac:dyDescent="0.3">
      <c r="B19" s="1" t="s">
        <v>101</v>
      </c>
      <c r="C19" s="3" t="s">
        <v>58</v>
      </c>
      <c r="D19" s="3">
        <v>140.36000000000001</v>
      </c>
      <c r="E19" s="3">
        <v>132</v>
      </c>
      <c r="F19" s="3">
        <v>21.5</v>
      </c>
      <c r="G19" s="3">
        <v>8.3000000000000007</v>
      </c>
      <c r="H19" s="3">
        <v>8.3000000000000007</v>
      </c>
      <c r="I19" s="3">
        <v>17800</v>
      </c>
      <c r="J19" s="6">
        <v>0.76</v>
      </c>
      <c r="K19" s="6">
        <v>7.4130000000000003</v>
      </c>
      <c r="L19" s="3">
        <v>1.73</v>
      </c>
      <c r="M19" s="10">
        <f t="shared" si="0"/>
        <v>0.20843373493975903</v>
      </c>
      <c r="N19" s="153"/>
      <c r="O19" s="154"/>
    </row>
    <row r="20" spans="2:15" x14ac:dyDescent="0.3">
      <c r="B20" s="1" t="s">
        <v>101</v>
      </c>
      <c r="C20" s="3" t="s">
        <v>58</v>
      </c>
      <c r="D20" s="3">
        <v>174</v>
      </c>
      <c r="E20" s="3">
        <v>160.4</v>
      </c>
      <c r="F20" s="3">
        <v>24</v>
      </c>
      <c r="G20" s="9">
        <v>8.1</v>
      </c>
      <c r="H20" s="9">
        <v>8.1</v>
      </c>
      <c r="I20" s="3">
        <v>19212</v>
      </c>
      <c r="J20" s="9">
        <v>-4.03</v>
      </c>
      <c r="K20" s="9">
        <v>10.46</v>
      </c>
      <c r="L20" s="3">
        <v>1.17</v>
      </c>
      <c r="M20" s="10">
        <f t="shared" si="0"/>
        <v>0.14444444444444443</v>
      </c>
      <c r="N20" s="1">
        <v>2466</v>
      </c>
      <c r="O20" s="16">
        <v>540</v>
      </c>
    </row>
    <row r="21" spans="2:15" x14ac:dyDescent="0.3">
      <c r="B21" s="1" t="s">
        <v>101</v>
      </c>
      <c r="C21" s="3" t="s">
        <v>58</v>
      </c>
      <c r="D21" s="3">
        <v>178.2</v>
      </c>
      <c r="E21" s="3">
        <v>165</v>
      </c>
      <c r="F21" s="3">
        <v>27.5</v>
      </c>
      <c r="G21" s="3">
        <v>9.6999999999999993</v>
      </c>
      <c r="H21" s="3">
        <v>9.6999999999999993</v>
      </c>
      <c r="I21" s="3">
        <v>33900</v>
      </c>
      <c r="J21" s="6">
        <v>2.25</v>
      </c>
      <c r="K21" s="6">
        <v>8.66</v>
      </c>
      <c r="L21" s="3">
        <v>2.58</v>
      </c>
      <c r="M21" s="10">
        <f t="shared" si="0"/>
        <v>0.26597938144329902</v>
      </c>
      <c r="N21" s="153"/>
      <c r="O21" s="154"/>
    </row>
    <row r="22" spans="2:15" x14ac:dyDescent="0.3">
      <c r="B22" s="226" t="s">
        <v>6</v>
      </c>
      <c r="C22" s="227"/>
      <c r="D22" s="227"/>
      <c r="E22" s="227"/>
      <c r="F22" s="227"/>
      <c r="G22" s="227"/>
      <c r="H22" s="227"/>
      <c r="I22" s="227"/>
      <c r="J22" s="227"/>
      <c r="K22" s="227"/>
      <c r="L22" s="227"/>
      <c r="M22" s="228"/>
      <c r="N22" s="229"/>
      <c r="O22" s="230"/>
    </row>
    <row r="23" spans="2:15" x14ac:dyDescent="0.3">
      <c r="B23" s="1" t="s">
        <v>101</v>
      </c>
      <c r="C23" s="44" t="s">
        <v>4</v>
      </c>
      <c r="D23" s="44">
        <v>87.65</v>
      </c>
      <c r="E23" s="44">
        <v>82.53</v>
      </c>
      <c r="F23" s="44">
        <v>11</v>
      </c>
      <c r="G23" s="44">
        <v>2.06</v>
      </c>
      <c r="H23" s="44">
        <v>3.3</v>
      </c>
      <c r="I23" s="45">
        <v>2138</v>
      </c>
      <c r="J23" s="61">
        <v>-1.77</v>
      </c>
      <c r="K23" s="61">
        <v>2.59</v>
      </c>
      <c r="L23" s="44">
        <v>3</v>
      </c>
      <c r="M23" s="10">
        <f>L23/((G23+H23)/2)</f>
        <v>1.119402985074627</v>
      </c>
      <c r="N23" s="1">
        <v>565</v>
      </c>
      <c r="O23" s="16">
        <v>116</v>
      </c>
    </row>
    <row r="24" spans="2:15" x14ac:dyDescent="0.3">
      <c r="B24" s="1" t="s">
        <v>101</v>
      </c>
      <c r="C24" s="3" t="s">
        <v>4</v>
      </c>
      <c r="D24" s="3">
        <v>117.38</v>
      </c>
      <c r="E24" s="3">
        <v>111.4</v>
      </c>
      <c r="F24" s="3">
        <v>16.64</v>
      </c>
      <c r="G24" s="9">
        <v>2.5</v>
      </c>
      <c r="H24" s="3">
        <v>4</v>
      </c>
      <c r="I24" s="5">
        <v>4700</v>
      </c>
      <c r="J24" s="9">
        <v>-1.6</v>
      </c>
      <c r="K24" s="9">
        <v>5</v>
      </c>
      <c r="L24" s="3">
        <v>3.5</v>
      </c>
      <c r="M24" s="10">
        <f>L24/((G24+H24)/2)</f>
        <v>1.0769230769230769</v>
      </c>
      <c r="N24" s="1">
        <v>1610</v>
      </c>
      <c r="O24" s="16">
        <v>275</v>
      </c>
    </row>
    <row r="25" spans="2:15" ht="15" thickBot="1" x14ac:dyDescent="0.35">
      <c r="B25" s="11" t="s">
        <v>101</v>
      </c>
      <c r="C25" s="21" t="s">
        <v>11</v>
      </c>
      <c r="D25" s="21">
        <v>174</v>
      </c>
      <c r="E25" s="21">
        <v>160.4</v>
      </c>
      <c r="F25" s="21">
        <v>24</v>
      </c>
      <c r="G25" s="62">
        <v>4.83</v>
      </c>
      <c r="H25" s="62">
        <v>7.14</v>
      </c>
      <c r="I25" s="22">
        <v>12605</v>
      </c>
      <c r="J25" s="62">
        <v>-6.92</v>
      </c>
      <c r="K25" s="62">
        <v>7.53</v>
      </c>
      <c r="L25" s="21">
        <v>4.28</v>
      </c>
      <c r="M25" s="23">
        <f>L25/((G25+H25)/2)</f>
        <v>0.71512113617376782</v>
      </c>
      <c r="N25" s="11">
        <v>1807</v>
      </c>
      <c r="O25" s="18">
        <v>576</v>
      </c>
    </row>
    <row r="26" spans="2:15" ht="15" thickBot="1" x14ac:dyDescent="0.35"/>
    <row r="27" spans="2:15" ht="15" thickBot="1" x14ac:dyDescent="0.35">
      <c r="J27" s="129"/>
      <c r="K27" s="129"/>
      <c r="L27" s="131" t="s">
        <v>91</v>
      </c>
      <c r="M27" s="131" t="s">
        <v>92</v>
      </c>
      <c r="N27" s="122" t="s">
        <v>93</v>
      </c>
    </row>
    <row r="28" spans="2:15" ht="16.2" thickBot="1" x14ac:dyDescent="0.35">
      <c r="J28" s="206" t="s">
        <v>82</v>
      </c>
      <c r="K28" s="207"/>
      <c r="L28" s="131">
        <f>MIN(M14:M21)</f>
        <v>8.5217391304347814E-2</v>
      </c>
      <c r="M28" s="131">
        <f>AVERAGE(M14:M21)</f>
        <v>0.21478759567684907</v>
      </c>
      <c r="N28" s="122">
        <f>MAX(M14:M21)</f>
        <v>0.31847133757961782</v>
      </c>
    </row>
    <row r="29" spans="2:15" ht="16.2" thickBot="1" x14ac:dyDescent="0.35">
      <c r="J29" s="206" t="s">
        <v>83</v>
      </c>
      <c r="K29" s="207"/>
      <c r="L29" s="131">
        <f>MIN(M23:M25)</f>
        <v>0.71512113617376782</v>
      </c>
      <c r="M29" s="131">
        <f>AVERAGE(M23:M25)</f>
        <v>0.97048239939049052</v>
      </c>
      <c r="N29" s="122">
        <f>MAX(M23:M25)</f>
        <v>1.119402985074627</v>
      </c>
    </row>
  </sheetData>
  <sheetProtection sheet="1" objects="1" scenarios="1"/>
  <mergeCells count="10">
    <mergeCell ref="J28:K28"/>
    <mergeCell ref="J29:K29"/>
    <mergeCell ref="B22:M22"/>
    <mergeCell ref="N22:O22"/>
    <mergeCell ref="B11:M11"/>
    <mergeCell ref="N11:O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O24"/>
  <sheetViews>
    <sheetView topLeftCell="A8" zoomScale="70" zoomScaleNormal="70" workbookViewId="0">
      <selection activeCell="J22" sqref="J22:N24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5.5546875" customWidth="1"/>
    <col min="9" max="9" width="13.109375" customWidth="1"/>
    <col min="10" max="10" width="21" customWidth="1"/>
    <col min="11" max="11" width="20.44140625" customWidth="1"/>
    <col min="12" max="12" width="11.77734375" customWidth="1"/>
    <col min="13" max="13" width="11.109375" customWidth="1"/>
    <col min="14" max="14" width="12.44140625" customWidth="1"/>
  </cols>
  <sheetData>
    <row r="9" spans="2:15" x14ac:dyDescent="0.3">
      <c r="B9" s="4"/>
    </row>
    <row r="10" spans="2:15" ht="15" thickBot="1" x14ac:dyDescent="0.35"/>
    <row r="11" spans="2:15" ht="24" thickBot="1" x14ac:dyDescent="0.5">
      <c r="B11" s="208" t="s">
        <v>104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10"/>
      <c r="N11" s="211" t="s">
        <v>40</v>
      </c>
      <c r="O11" s="212"/>
    </row>
    <row r="12" spans="2:15" ht="39" customHeight="1" x14ac:dyDescent="0.3">
      <c r="B12" s="213" t="s">
        <v>0</v>
      </c>
      <c r="C12" s="215" t="s">
        <v>53</v>
      </c>
      <c r="D12" s="137" t="s">
        <v>54</v>
      </c>
      <c r="E12" s="137" t="s">
        <v>1</v>
      </c>
      <c r="F12" s="137" t="s">
        <v>55</v>
      </c>
      <c r="G12" s="217" t="s">
        <v>61</v>
      </c>
      <c r="H12" s="217"/>
      <c r="I12" s="114" t="s">
        <v>57</v>
      </c>
      <c r="J12" s="215" t="s">
        <v>88</v>
      </c>
      <c r="K12" s="217"/>
      <c r="L12" s="136" t="s">
        <v>63</v>
      </c>
      <c r="M12" s="117" t="s">
        <v>64</v>
      </c>
      <c r="N12" s="116" t="s">
        <v>41</v>
      </c>
      <c r="O12" s="117" t="s">
        <v>43</v>
      </c>
    </row>
    <row r="13" spans="2:15" ht="15" thickBot="1" x14ac:dyDescent="0.35">
      <c r="B13" s="218"/>
      <c r="C13" s="219"/>
      <c r="D13" s="123" t="s">
        <v>2</v>
      </c>
      <c r="E13" s="123" t="s">
        <v>2</v>
      </c>
      <c r="F13" s="123" t="s">
        <v>2</v>
      </c>
      <c r="G13" s="123" t="s">
        <v>62</v>
      </c>
      <c r="H13" s="123" t="s">
        <v>56</v>
      </c>
      <c r="I13" s="124" t="s">
        <v>3</v>
      </c>
      <c r="J13" s="123" t="s">
        <v>8</v>
      </c>
      <c r="K13" s="123" t="s">
        <v>7</v>
      </c>
      <c r="L13" s="123" t="s">
        <v>5</v>
      </c>
      <c r="M13" s="127" t="s">
        <v>12</v>
      </c>
      <c r="N13" s="138" t="s">
        <v>42</v>
      </c>
      <c r="O13" s="127" t="s">
        <v>42</v>
      </c>
    </row>
    <row r="14" spans="2:15" x14ac:dyDescent="0.3">
      <c r="B14" s="32" t="s">
        <v>9</v>
      </c>
      <c r="C14" s="34" t="s">
        <v>58</v>
      </c>
      <c r="D14" s="34">
        <v>228</v>
      </c>
      <c r="E14" s="34">
        <v>213</v>
      </c>
      <c r="F14" s="34">
        <v>35.5</v>
      </c>
      <c r="G14" s="34">
        <v>12.5</v>
      </c>
      <c r="H14" s="34">
        <v>12.5</v>
      </c>
      <c r="I14" s="34">
        <v>68054</v>
      </c>
      <c r="J14" s="36" t="s">
        <v>9</v>
      </c>
      <c r="K14" s="36" t="s">
        <v>9</v>
      </c>
      <c r="L14" s="34">
        <v>1.44</v>
      </c>
      <c r="M14" s="56">
        <f>L14/((G14+H14)/2)</f>
        <v>0.1152</v>
      </c>
      <c r="N14" s="155"/>
      <c r="O14" s="156"/>
    </row>
    <row r="15" spans="2:15" x14ac:dyDescent="0.3">
      <c r="B15" s="58" t="s">
        <v>102</v>
      </c>
      <c r="C15" s="3" t="s">
        <v>58</v>
      </c>
      <c r="D15" s="3">
        <v>230</v>
      </c>
      <c r="E15" s="3">
        <v>219</v>
      </c>
      <c r="F15" s="3">
        <v>36.6</v>
      </c>
      <c r="G15" s="3">
        <v>13.5</v>
      </c>
      <c r="H15" s="3">
        <v>13.5</v>
      </c>
      <c r="I15" s="3">
        <v>83650</v>
      </c>
      <c r="J15" s="9">
        <v>-1.3</v>
      </c>
      <c r="K15" s="9">
        <v>14</v>
      </c>
      <c r="L15" s="3">
        <v>1.7</v>
      </c>
      <c r="M15" s="10">
        <f>L15/((G15+H15)/2)</f>
        <v>0.12592592592592591</v>
      </c>
      <c r="N15" s="1">
        <v>2290</v>
      </c>
      <c r="O15" s="16">
        <v>708</v>
      </c>
    </row>
    <row r="16" spans="2:15" x14ac:dyDescent="0.3">
      <c r="B16" s="46"/>
      <c r="C16" s="47"/>
      <c r="D16" s="48"/>
      <c r="E16" s="48"/>
      <c r="F16" s="48"/>
      <c r="G16" s="48"/>
      <c r="H16" s="48"/>
      <c r="I16" s="48"/>
      <c r="J16" s="49"/>
      <c r="K16" s="49"/>
      <c r="L16" s="48"/>
      <c r="M16" s="54"/>
      <c r="N16" s="46"/>
      <c r="O16" s="50"/>
    </row>
    <row r="17" spans="2:15" x14ac:dyDescent="0.3">
      <c r="B17" s="1" t="s">
        <v>103</v>
      </c>
      <c r="C17" s="3" t="s">
        <v>4</v>
      </c>
      <c r="D17" s="3">
        <v>207</v>
      </c>
      <c r="E17" s="3">
        <v>195.5</v>
      </c>
      <c r="F17" s="3">
        <v>27.5</v>
      </c>
      <c r="G17" s="3">
        <v>8</v>
      </c>
      <c r="H17" s="3">
        <v>8</v>
      </c>
      <c r="I17" s="3">
        <v>30765</v>
      </c>
      <c r="J17" s="6">
        <v>1.7</v>
      </c>
      <c r="K17" s="6">
        <v>10.24</v>
      </c>
      <c r="L17" s="3">
        <v>1.62</v>
      </c>
      <c r="M17" s="10">
        <f>L17/((G17+H17)/2)</f>
        <v>0.20250000000000001</v>
      </c>
      <c r="N17" s="1">
        <v>3152</v>
      </c>
      <c r="O17" s="16">
        <v>752</v>
      </c>
    </row>
    <row r="18" spans="2:15" x14ac:dyDescent="0.3">
      <c r="B18" s="58" t="s">
        <v>102</v>
      </c>
      <c r="C18" s="3" t="s">
        <v>4</v>
      </c>
      <c r="D18" s="3">
        <v>230</v>
      </c>
      <c r="E18" s="3">
        <v>219</v>
      </c>
      <c r="F18" s="3">
        <v>36.6</v>
      </c>
      <c r="G18" s="3">
        <v>5.6</v>
      </c>
      <c r="H18" s="3">
        <v>8.5</v>
      </c>
      <c r="I18" s="3">
        <v>41000</v>
      </c>
      <c r="J18" s="9">
        <v>-2</v>
      </c>
      <c r="K18" s="9">
        <v>11</v>
      </c>
      <c r="L18" s="3">
        <v>6</v>
      </c>
      <c r="M18" s="10">
        <f>L18/((G18+H18)/2)</f>
        <v>0.85106382978723405</v>
      </c>
      <c r="N18" s="1">
        <v>3713</v>
      </c>
      <c r="O18" s="16">
        <v>891</v>
      </c>
    </row>
    <row r="19" spans="2:15" x14ac:dyDescent="0.3">
      <c r="B19" s="1" t="s">
        <v>35</v>
      </c>
      <c r="C19" s="7" t="s">
        <v>59</v>
      </c>
      <c r="D19" s="3">
        <v>235</v>
      </c>
      <c r="E19" s="3">
        <v>225</v>
      </c>
      <c r="F19" s="3">
        <v>36</v>
      </c>
      <c r="G19" s="3">
        <v>8.5</v>
      </c>
      <c r="H19" s="3">
        <v>8.5</v>
      </c>
      <c r="I19" s="3">
        <v>54472</v>
      </c>
      <c r="J19" s="6">
        <v>5.5</v>
      </c>
      <c r="K19" s="6">
        <v>11.3</v>
      </c>
      <c r="L19" s="3">
        <v>5.2</v>
      </c>
      <c r="M19" s="10">
        <f>L19/((G19+H19)/2)</f>
        <v>0.61176470588235299</v>
      </c>
      <c r="N19" s="1">
        <v>4535</v>
      </c>
      <c r="O19" s="16">
        <v>1040</v>
      </c>
    </row>
    <row r="20" spans="2:15" ht="15" thickBot="1" x14ac:dyDescent="0.35">
      <c r="B20" s="11" t="s">
        <v>35</v>
      </c>
      <c r="C20" s="17" t="s">
        <v>59</v>
      </c>
      <c r="D20" s="12">
        <v>235</v>
      </c>
      <c r="E20" s="12">
        <v>225</v>
      </c>
      <c r="F20" s="12">
        <v>36</v>
      </c>
      <c r="G20" s="12">
        <v>10.5</v>
      </c>
      <c r="H20" s="12">
        <v>10.5</v>
      </c>
      <c r="I20" s="12">
        <v>68025</v>
      </c>
      <c r="J20" s="14">
        <v>4.8</v>
      </c>
      <c r="K20" s="14">
        <v>11.6</v>
      </c>
      <c r="L20" s="12">
        <v>3.7</v>
      </c>
      <c r="M20" s="15">
        <f>L20/((G20+H20)/2)</f>
        <v>0.35238095238095241</v>
      </c>
      <c r="N20" s="11">
        <v>3990</v>
      </c>
      <c r="O20" s="18">
        <v>978</v>
      </c>
    </row>
    <row r="21" spans="2:15" ht="15" thickBot="1" x14ac:dyDescent="0.35"/>
    <row r="22" spans="2:15" ht="15" thickBot="1" x14ac:dyDescent="0.35">
      <c r="J22" s="129"/>
      <c r="K22" s="129"/>
      <c r="L22" s="131" t="s">
        <v>91</v>
      </c>
      <c r="M22" s="131" t="s">
        <v>92</v>
      </c>
      <c r="N22" s="122" t="s">
        <v>93</v>
      </c>
    </row>
    <row r="23" spans="2:15" ht="16.2" thickBot="1" x14ac:dyDescent="0.35">
      <c r="J23" s="206" t="s">
        <v>82</v>
      </c>
      <c r="K23" s="207"/>
      <c r="L23" s="131">
        <f>MIN(M14:M15)</f>
        <v>0.1152</v>
      </c>
      <c r="M23" s="131">
        <f>AVERAGE(M14:M15)</f>
        <v>0.12056296296296296</v>
      </c>
      <c r="N23" s="122">
        <f>MAX(M14:M15)</f>
        <v>0.12592592592592591</v>
      </c>
    </row>
    <row r="24" spans="2:15" ht="16.2" thickBot="1" x14ac:dyDescent="0.35">
      <c r="J24" s="206" t="s">
        <v>83</v>
      </c>
      <c r="K24" s="207"/>
      <c r="L24" s="131">
        <f>MIN(M17:M20)</f>
        <v>0.20250000000000001</v>
      </c>
      <c r="M24" s="131">
        <f>AVERAGE(M17:M20)</f>
        <v>0.50442737201263488</v>
      </c>
      <c r="N24" s="122">
        <f>MAX(M17:M20)</f>
        <v>0.85106382978723405</v>
      </c>
    </row>
  </sheetData>
  <sheetProtection sheet="1" objects="1" scenarios="1"/>
  <mergeCells count="8">
    <mergeCell ref="J24:K24"/>
    <mergeCell ref="N11:O11"/>
    <mergeCell ref="J23:K23"/>
    <mergeCell ref="B11:M11"/>
    <mergeCell ref="B12:B13"/>
    <mergeCell ref="C12:C13"/>
    <mergeCell ref="G12:H12"/>
    <mergeCell ref="J12:K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P58"/>
  <sheetViews>
    <sheetView topLeftCell="A7" zoomScale="70" zoomScaleNormal="70" workbookViewId="0">
      <selection activeCell="R32" sqref="R32"/>
    </sheetView>
  </sheetViews>
  <sheetFormatPr baseColWidth="10" defaultRowHeight="14.4" x14ac:dyDescent="0.3"/>
  <cols>
    <col min="1" max="1" width="6.109375" customWidth="1"/>
    <col min="2" max="2" width="27.5546875" customWidth="1"/>
    <col min="3" max="3" width="18.44140625" customWidth="1"/>
    <col min="4" max="4" width="15.5546875" customWidth="1"/>
    <col min="10" max="10" width="16.44140625" customWidth="1"/>
    <col min="11" max="11" width="21" customWidth="1"/>
    <col min="12" max="12" width="20.44140625" customWidth="1"/>
    <col min="13" max="13" width="11.5546875" customWidth="1"/>
    <col min="14" max="14" width="16" customWidth="1"/>
    <col min="15" max="15" width="12.44140625" customWidth="1"/>
  </cols>
  <sheetData>
    <row r="9" spans="2:16" x14ac:dyDescent="0.3">
      <c r="B9" s="4"/>
      <c r="C9" s="4"/>
    </row>
    <row r="10" spans="2:16" ht="15" thickBot="1" x14ac:dyDescent="0.35"/>
    <row r="11" spans="2:16" ht="31.2" customHeight="1" thickBot="1" x14ac:dyDescent="0.5">
      <c r="B11" s="208" t="s">
        <v>123</v>
      </c>
      <c r="C11" s="209"/>
      <c r="D11" s="209"/>
      <c r="E11" s="209"/>
      <c r="F11" s="209"/>
      <c r="G11" s="209"/>
      <c r="H11" s="209"/>
      <c r="I11" s="209"/>
      <c r="J11" s="209"/>
      <c r="K11" s="209"/>
      <c r="L11" s="209"/>
      <c r="M11" s="209"/>
      <c r="N11" s="210"/>
      <c r="O11" s="211" t="s">
        <v>40</v>
      </c>
      <c r="P11" s="212"/>
    </row>
    <row r="12" spans="2:16" ht="39" customHeight="1" x14ac:dyDescent="0.3">
      <c r="B12" s="231" t="s">
        <v>0</v>
      </c>
      <c r="C12" s="232"/>
      <c r="D12" s="215" t="s">
        <v>53</v>
      </c>
      <c r="E12" s="152" t="s">
        <v>54</v>
      </c>
      <c r="F12" s="152" t="s">
        <v>1</v>
      </c>
      <c r="G12" s="152" t="s">
        <v>55</v>
      </c>
      <c r="H12" s="217" t="s">
        <v>61</v>
      </c>
      <c r="I12" s="217"/>
      <c r="J12" s="114" t="s">
        <v>57</v>
      </c>
      <c r="K12" s="215" t="s">
        <v>88</v>
      </c>
      <c r="L12" s="217"/>
      <c r="M12" s="151" t="s">
        <v>63</v>
      </c>
      <c r="N12" s="117" t="s">
        <v>64</v>
      </c>
      <c r="O12" s="116" t="s">
        <v>41</v>
      </c>
      <c r="P12" s="117" t="s">
        <v>43</v>
      </c>
    </row>
    <row r="13" spans="2:16" ht="15" thickBot="1" x14ac:dyDescent="0.35">
      <c r="B13" s="233"/>
      <c r="C13" s="234"/>
      <c r="D13" s="216"/>
      <c r="E13" s="118" t="s">
        <v>2</v>
      </c>
      <c r="F13" s="118" t="s">
        <v>2</v>
      </c>
      <c r="G13" s="118" t="s">
        <v>2</v>
      </c>
      <c r="H13" s="118" t="s">
        <v>62</v>
      </c>
      <c r="I13" s="118" t="s">
        <v>56</v>
      </c>
      <c r="J13" s="119" t="s">
        <v>3</v>
      </c>
      <c r="K13" s="118" t="s">
        <v>8</v>
      </c>
      <c r="L13" s="118" t="s">
        <v>7</v>
      </c>
      <c r="M13" s="118" t="s">
        <v>5</v>
      </c>
      <c r="N13" s="121" t="s">
        <v>12</v>
      </c>
      <c r="O13" s="150" t="s">
        <v>42</v>
      </c>
      <c r="P13" s="121" t="s">
        <v>42</v>
      </c>
    </row>
    <row r="14" spans="2:16" x14ac:dyDescent="0.3">
      <c r="B14" s="32" t="s">
        <v>117</v>
      </c>
      <c r="C14" s="33" t="s">
        <v>106</v>
      </c>
      <c r="D14" s="34" t="s">
        <v>58</v>
      </c>
      <c r="E14" s="34">
        <v>345</v>
      </c>
      <c r="F14" s="34">
        <v>332</v>
      </c>
      <c r="G14" s="34">
        <v>55</v>
      </c>
      <c r="H14" s="34">
        <v>12</v>
      </c>
      <c r="I14" s="34">
        <v>12</v>
      </c>
      <c r="J14" s="34">
        <v>171500</v>
      </c>
      <c r="K14" s="36">
        <v>0.6</v>
      </c>
      <c r="L14" s="36">
        <v>18.399999999999999</v>
      </c>
      <c r="M14" s="34">
        <v>8</v>
      </c>
      <c r="N14" s="56">
        <f>M14/((H14+I14)/2)</f>
        <v>0.66666666666666663</v>
      </c>
      <c r="O14" s="32">
        <v>8790</v>
      </c>
      <c r="P14" s="37">
        <v>1780</v>
      </c>
    </row>
    <row r="15" spans="2:16" x14ac:dyDescent="0.3">
      <c r="B15" s="1" t="s">
        <v>112</v>
      </c>
      <c r="C15" s="2" t="s">
        <v>106</v>
      </c>
      <c r="D15" s="3" t="s">
        <v>58</v>
      </c>
      <c r="E15" s="3">
        <v>345</v>
      </c>
      <c r="F15" s="3">
        <v>332</v>
      </c>
      <c r="G15" s="3">
        <v>53.8</v>
      </c>
      <c r="H15" s="3">
        <v>12</v>
      </c>
      <c r="I15" s="3">
        <v>12</v>
      </c>
      <c r="J15" s="3">
        <v>170780</v>
      </c>
      <c r="K15" s="6">
        <f>-0.09*F15/100</f>
        <v>-0.29880000000000001</v>
      </c>
      <c r="L15" s="6" t="s">
        <v>9</v>
      </c>
      <c r="M15" s="3">
        <v>9.26</v>
      </c>
      <c r="N15" s="10">
        <f>M15/((H15+I15)/2)</f>
        <v>0.77166666666666661</v>
      </c>
      <c r="O15" s="1">
        <v>8065</v>
      </c>
      <c r="P15" s="16">
        <v>1668</v>
      </c>
    </row>
    <row r="16" spans="2:16" x14ac:dyDescent="0.3">
      <c r="B16" s="1" t="s">
        <v>110</v>
      </c>
      <c r="C16" s="2" t="s">
        <v>106</v>
      </c>
      <c r="D16" s="3" t="s">
        <v>58</v>
      </c>
      <c r="E16" s="3">
        <v>345</v>
      </c>
      <c r="F16" s="3">
        <v>332</v>
      </c>
      <c r="G16" s="3">
        <v>55</v>
      </c>
      <c r="H16" s="3">
        <v>12</v>
      </c>
      <c r="I16" s="3">
        <v>12</v>
      </c>
      <c r="J16" s="3">
        <v>167245</v>
      </c>
      <c r="K16" s="6">
        <f>-0.45*F16/100</f>
        <v>-1.494</v>
      </c>
      <c r="L16" s="6" t="s">
        <v>9</v>
      </c>
      <c r="M16" s="3">
        <v>2.91</v>
      </c>
      <c r="N16" s="10">
        <f t="shared" ref="N16" si="0">M16/((H16+I16)/2)</f>
        <v>0.24250000000000002</v>
      </c>
      <c r="O16" s="1">
        <v>7355</v>
      </c>
      <c r="P16" s="16">
        <v>1585</v>
      </c>
    </row>
    <row r="17" spans="2:16" x14ac:dyDescent="0.3">
      <c r="B17" s="58" t="s">
        <v>122</v>
      </c>
      <c r="C17" s="2" t="s">
        <v>106</v>
      </c>
      <c r="D17" s="26" t="s">
        <v>58</v>
      </c>
      <c r="E17" s="3">
        <v>345</v>
      </c>
      <c r="F17" s="3">
        <v>332</v>
      </c>
      <c r="G17" s="3">
        <v>55</v>
      </c>
      <c r="H17" s="3">
        <v>12</v>
      </c>
      <c r="I17" s="3">
        <v>12</v>
      </c>
      <c r="J17" s="3">
        <v>161950</v>
      </c>
      <c r="K17" s="9">
        <v>-1</v>
      </c>
      <c r="L17" s="9">
        <v>18</v>
      </c>
      <c r="M17" s="3">
        <v>5.4</v>
      </c>
      <c r="N17" s="10">
        <f>M17/((H17+I17)/2)</f>
        <v>0.45</v>
      </c>
      <c r="O17" s="1">
        <v>8500</v>
      </c>
      <c r="P17" s="16">
        <v>1700</v>
      </c>
    </row>
    <row r="18" spans="2:16" x14ac:dyDescent="0.3">
      <c r="B18" s="1" t="s">
        <v>109</v>
      </c>
      <c r="C18" s="2" t="s">
        <v>106</v>
      </c>
      <c r="D18" s="3" t="s">
        <v>58</v>
      </c>
      <c r="E18" s="3">
        <v>315</v>
      </c>
      <c r="F18" s="3">
        <v>305</v>
      </c>
      <c r="G18" s="3">
        <v>50</v>
      </c>
      <c r="H18" s="3">
        <v>12</v>
      </c>
      <c r="I18" s="3">
        <v>12</v>
      </c>
      <c r="J18" s="3">
        <v>138073</v>
      </c>
      <c r="K18" s="6">
        <f>-0.33*F18/100</f>
        <v>-1.0065</v>
      </c>
      <c r="L18" s="6" t="s">
        <v>9</v>
      </c>
      <c r="M18" s="3">
        <v>4.9800000000000004</v>
      </c>
      <c r="N18" s="10">
        <f>M18/((H18+I18)/2)</f>
        <v>0.41500000000000004</v>
      </c>
      <c r="O18" s="1">
        <v>6666</v>
      </c>
      <c r="P18" s="16">
        <v>1380</v>
      </c>
    </row>
    <row r="19" spans="2:16" x14ac:dyDescent="0.3">
      <c r="B19" s="1" t="s">
        <v>109</v>
      </c>
      <c r="C19" s="2" t="s">
        <v>106</v>
      </c>
      <c r="D19" s="3" t="s">
        <v>58</v>
      </c>
      <c r="E19" s="3">
        <v>315</v>
      </c>
      <c r="F19" s="3">
        <v>303</v>
      </c>
      <c r="G19" s="3">
        <v>50</v>
      </c>
      <c r="H19" s="3">
        <v>12</v>
      </c>
      <c r="I19" s="3">
        <v>12</v>
      </c>
      <c r="J19" s="3">
        <v>138700</v>
      </c>
      <c r="K19" s="6">
        <f>-0.08*F19/100</f>
        <v>-0.24240000000000003</v>
      </c>
      <c r="L19" s="6" t="s">
        <v>9</v>
      </c>
      <c r="M19" s="3">
        <v>4.9000000000000004</v>
      </c>
      <c r="N19" s="10">
        <f>M19/((H19+I19)/2)</f>
        <v>0.40833333333333338</v>
      </c>
      <c r="O19" s="1" t="s">
        <v>9</v>
      </c>
      <c r="P19" s="16" t="s">
        <v>9</v>
      </c>
    </row>
    <row r="20" spans="2:16" x14ac:dyDescent="0.3">
      <c r="B20" s="58" t="s">
        <v>118</v>
      </c>
      <c r="C20" s="2" t="s">
        <v>106</v>
      </c>
      <c r="D20" s="26" t="s">
        <v>58</v>
      </c>
      <c r="E20" s="3">
        <v>319.5</v>
      </c>
      <c r="F20" s="3">
        <v>303</v>
      </c>
      <c r="G20" s="3">
        <v>50</v>
      </c>
      <c r="H20" s="3">
        <v>12</v>
      </c>
      <c r="I20" s="3">
        <v>12</v>
      </c>
      <c r="J20" s="3">
        <v>141270</v>
      </c>
      <c r="K20" s="9">
        <v>-1</v>
      </c>
      <c r="L20" s="9">
        <v>18.66</v>
      </c>
      <c r="M20" s="3">
        <v>5.0999999999999996</v>
      </c>
      <c r="N20" s="10">
        <f>M20/((H20+I20)/2)</f>
        <v>0.42499999999999999</v>
      </c>
      <c r="O20" s="1">
        <v>6900</v>
      </c>
      <c r="P20" s="16">
        <v>1300</v>
      </c>
    </row>
    <row r="21" spans="2:16" x14ac:dyDescent="0.3">
      <c r="B21" s="1" t="s">
        <v>111</v>
      </c>
      <c r="C21" s="2" t="s">
        <v>105</v>
      </c>
      <c r="D21" s="3" t="s">
        <v>58</v>
      </c>
      <c r="E21" s="3">
        <v>346</v>
      </c>
      <c r="F21" s="3">
        <v>327</v>
      </c>
      <c r="G21" s="3">
        <v>51</v>
      </c>
      <c r="H21" s="3">
        <v>12</v>
      </c>
      <c r="I21" s="3">
        <v>12</v>
      </c>
      <c r="J21" s="3">
        <v>148000</v>
      </c>
      <c r="K21" s="6">
        <f>0.99*F21/100</f>
        <v>3.2373000000000003</v>
      </c>
      <c r="L21" s="6" t="s">
        <v>9</v>
      </c>
      <c r="M21" s="3">
        <v>3.02</v>
      </c>
      <c r="N21" s="10">
        <f>M21/((H21+I21)/2)</f>
        <v>0.25166666666666665</v>
      </c>
      <c r="O21" s="1">
        <v>10000</v>
      </c>
      <c r="P21" s="16">
        <v>1850</v>
      </c>
    </row>
    <row r="22" spans="2:16" x14ac:dyDescent="0.3">
      <c r="B22" s="161" t="s">
        <v>108</v>
      </c>
      <c r="C22" s="2" t="s">
        <v>106</v>
      </c>
      <c r="D22" s="3" t="s">
        <v>58</v>
      </c>
      <c r="E22" s="3">
        <v>299.89999999999998</v>
      </c>
      <c r="F22" s="3">
        <v>288</v>
      </c>
      <c r="G22" s="3">
        <v>45.8</v>
      </c>
      <c r="H22" s="3">
        <v>11.5</v>
      </c>
      <c r="I22" s="3">
        <v>11.5</v>
      </c>
      <c r="J22" s="3">
        <v>114829</v>
      </c>
      <c r="K22" s="6">
        <f>1.65*F22/100</f>
        <v>4.7519999999999998</v>
      </c>
      <c r="L22" s="6" t="s">
        <v>9</v>
      </c>
      <c r="M22" s="3">
        <v>4.55</v>
      </c>
      <c r="N22" s="10">
        <f t="shared" ref="N22:N23" si="1">M22/((H22+I22)/2)</f>
        <v>0.39565217391304347</v>
      </c>
      <c r="O22" s="1">
        <v>6670</v>
      </c>
      <c r="P22" s="16">
        <v>1330</v>
      </c>
    </row>
    <row r="23" spans="2:16" x14ac:dyDescent="0.3">
      <c r="B23" s="161" t="s">
        <v>119</v>
      </c>
      <c r="C23" s="2" t="s">
        <v>106</v>
      </c>
      <c r="D23" s="3" t="s">
        <v>58</v>
      </c>
      <c r="E23" s="3">
        <v>299.89999999999998</v>
      </c>
      <c r="F23" s="3">
        <v>288</v>
      </c>
      <c r="G23" s="3">
        <v>45.8</v>
      </c>
      <c r="H23" s="3">
        <v>11.5</v>
      </c>
      <c r="I23" s="3">
        <v>11.5</v>
      </c>
      <c r="J23" s="3">
        <v>119572</v>
      </c>
      <c r="K23" s="6">
        <f>-0.97*F23/100</f>
        <v>-2.7936000000000001</v>
      </c>
      <c r="L23" s="6" t="s">
        <v>9</v>
      </c>
      <c r="M23" s="3">
        <v>10.68</v>
      </c>
      <c r="N23" s="10">
        <f t="shared" si="1"/>
        <v>0.92869565217391303</v>
      </c>
      <c r="O23" s="1">
        <v>6729</v>
      </c>
      <c r="P23" s="16">
        <v>1411</v>
      </c>
    </row>
    <row r="24" spans="2:16" x14ac:dyDescent="0.3">
      <c r="B24" s="1" t="s">
        <v>116</v>
      </c>
      <c r="C24" s="2" t="s">
        <v>106</v>
      </c>
      <c r="D24" s="3" t="s">
        <v>58</v>
      </c>
      <c r="E24" s="3">
        <v>293.10000000000002</v>
      </c>
      <c r="F24" s="3">
        <v>277.39999999999998</v>
      </c>
      <c r="G24" s="3">
        <v>45.25</v>
      </c>
      <c r="H24" s="3">
        <v>11.65</v>
      </c>
      <c r="I24" s="3">
        <v>11.65</v>
      </c>
      <c r="J24" s="3">
        <v>113080</v>
      </c>
      <c r="K24" s="6">
        <v>-0.3</v>
      </c>
      <c r="L24" s="6">
        <v>14.5</v>
      </c>
      <c r="M24" s="3">
        <v>3.4</v>
      </c>
      <c r="N24" s="10">
        <f t="shared" ref="N24:N33" si="2">M24/((H24+I24)/2)</f>
        <v>0.29184549356223172</v>
      </c>
      <c r="O24" s="1">
        <v>6350</v>
      </c>
      <c r="P24" s="16">
        <v>1320</v>
      </c>
    </row>
    <row r="25" spans="2:16" x14ac:dyDescent="0.3">
      <c r="B25" s="1" t="s">
        <v>107</v>
      </c>
      <c r="C25" s="2" t="s">
        <v>105</v>
      </c>
      <c r="D25" s="3" t="s">
        <v>58</v>
      </c>
      <c r="E25" s="3">
        <v>289.5</v>
      </c>
      <c r="F25" s="3">
        <v>277</v>
      </c>
      <c r="G25" s="3">
        <v>49</v>
      </c>
      <c r="H25" s="3">
        <v>11.4</v>
      </c>
      <c r="I25" s="3">
        <v>11.4</v>
      </c>
      <c r="J25" s="3">
        <v>102439</v>
      </c>
      <c r="K25" s="6">
        <f>-1.3*F25/100</f>
        <v>-3.6010000000000004</v>
      </c>
      <c r="L25" s="6" t="s">
        <v>9</v>
      </c>
      <c r="M25" s="3">
        <v>4.22</v>
      </c>
      <c r="N25" s="10">
        <f t="shared" si="2"/>
        <v>0.37017543859649121</v>
      </c>
      <c r="O25" s="1">
        <v>8023</v>
      </c>
      <c r="P25" s="16">
        <v>1752</v>
      </c>
    </row>
    <row r="26" spans="2:16" x14ac:dyDescent="0.3">
      <c r="B26" s="1" t="s">
        <v>9</v>
      </c>
      <c r="C26" s="2" t="s">
        <v>106</v>
      </c>
      <c r="D26" s="3" t="s">
        <v>58</v>
      </c>
      <c r="E26" s="3">
        <v>280.60000000000002</v>
      </c>
      <c r="F26" s="3">
        <v>266</v>
      </c>
      <c r="G26" s="3">
        <v>41.64</v>
      </c>
      <c r="H26" s="3">
        <v>11.2</v>
      </c>
      <c r="I26" s="3">
        <v>11.2</v>
      </c>
      <c r="J26" s="3">
        <v>96340</v>
      </c>
      <c r="K26" s="6">
        <v>0.57199999999999995</v>
      </c>
      <c r="L26" s="6">
        <v>14.65</v>
      </c>
      <c r="M26" s="3">
        <v>4.1500000000000004</v>
      </c>
      <c r="N26" s="10">
        <f t="shared" si="2"/>
        <v>0.37053571428571436</v>
      </c>
      <c r="O26" s="1" t="s">
        <v>9</v>
      </c>
      <c r="P26" s="16" t="s">
        <v>9</v>
      </c>
    </row>
    <row r="27" spans="2:16" x14ac:dyDescent="0.3">
      <c r="B27" s="1" t="s">
        <v>115</v>
      </c>
      <c r="C27" s="2" t="s">
        <v>106</v>
      </c>
      <c r="D27" s="3" t="s">
        <v>58</v>
      </c>
      <c r="E27" s="3">
        <v>277</v>
      </c>
      <c r="F27" s="3">
        <v>266</v>
      </c>
      <c r="G27" s="3">
        <v>43.4</v>
      </c>
      <c r="H27" s="3">
        <v>12.5</v>
      </c>
      <c r="I27" s="3">
        <v>12.5</v>
      </c>
      <c r="J27" s="3">
        <v>113150</v>
      </c>
      <c r="K27" s="6">
        <v>-0.28000000000000003</v>
      </c>
      <c r="L27" s="6">
        <v>14.4</v>
      </c>
      <c r="M27" s="3">
        <v>2.2999999999999998</v>
      </c>
      <c r="N27" s="10">
        <f t="shared" si="2"/>
        <v>0.184</v>
      </c>
      <c r="O27" s="1">
        <v>6513</v>
      </c>
      <c r="P27" s="16">
        <v>1083</v>
      </c>
    </row>
    <row r="28" spans="2:16" x14ac:dyDescent="0.3">
      <c r="B28" s="58" t="s">
        <v>115</v>
      </c>
      <c r="C28" s="59" t="s">
        <v>106</v>
      </c>
      <c r="D28" s="26" t="s">
        <v>58</v>
      </c>
      <c r="E28" s="3">
        <v>277</v>
      </c>
      <c r="F28" s="3">
        <v>266</v>
      </c>
      <c r="G28" s="3">
        <v>43.4</v>
      </c>
      <c r="H28" s="3">
        <v>12.5</v>
      </c>
      <c r="I28" s="3">
        <v>12.5</v>
      </c>
      <c r="J28" s="3">
        <v>108365</v>
      </c>
      <c r="K28" s="9">
        <v>0.69399999999999995</v>
      </c>
      <c r="L28" s="9">
        <v>14.38</v>
      </c>
      <c r="M28" s="3">
        <v>2.742</v>
      </c>
      <c r="N28" s="10">
        <f t="shared" si="2"/>
        <v>0.21936</v>
      </c>
      <c r="O28" s="1">
        <v>5667</v>
      </c>
      <c r="P28" s="16">
        <v>1279</v>
      </c>
    </row>
    <row r="29" spans="2:16" x14ac:dyDescent="0.3">
      <c r="B29" s="1" t="s">
        <v>114</v>
      </c>
      <c r="C29" s="2" t="s">
        <v>105</v>
      </c>
      <c r="D29" s="3" t="s">
        <v>58</v>
      </c>
      <c r="E29" s="3">
        <v>285</v>
      </c>
      <c r="F29" s="3">
        <v>270</v>
      </c>
      <c r="G29" s="3">
        <v>48</v>
      </c>
      <c r="H29" s="3">
        <v>11.5</v>
      </c>
      <c r="I29" s="3">
        <v>11.5</v>
      </c>
      <c r="J29" s="3">
        <v>101275</v>
      </c>
      <c r="K29" s="6">
        <v>-3.2</v>
      </c>
      <c r="L29" s="6">
        <v>19.5</v>
      </c>
      <c r="M29" s="3">
        <v>4.0999999999999996</v>
      </c>
      <c r="N29" s="10">
        <f t="shared" si="2"/>
        <v>0.35652173913043478</v>
      </c>
      <c r="O29" s="1">
        <v>7800</v>
      </c>
      <c r="P29" s="16">
        <v>1650</v>
      </c>
    </row>
    <row r="30" spans="2:16" x14ac:dyDescent="0.3">
      <c r="B30" s="58" t="s">
        <v>114</v>
      </c>
      <c r="C30" s="2" t="s">
        <v>105</v>
      </c>
      <c r="D30" s="26" t="s">
        <v>58</v>
      </c>
      <c r="E30" s="3">
        <v>289</v>
      </c>
      <c r="F30" s="3">
        <v>275</v>
      </c>
      <c r="G30" s="3">
        <v>48.1</v>
      </c>
      <c r="H30" s="9">
        <v>11.3</v>
      </c>
      <c r="I30" s="9">
        <v>11.3</v>
      </c>
      <c r="J30" s="3">
        <v>99900</v>
      </c>
      <c r="K30" s="9">
        <v>0.15</v>
      </c>
      <c r="L30" s="9">
        <v>24.8</v>
      </c>
      <c r="M30" s="3">
        <v>4.0999999999999996</v>
      </c>
      <c r="N30" s="10">
        <f t="shared" si="2"/>
        <v>0.3628318584070796</v>
      </c>
      <c r="O30" s="1">
        <v>7700</v>
      </c>
      <c r="P30" s="16">
        <v>1500</v>
      </c>
    </row>
    <row r="31" spans="2:16" x14ac:dyDescent="0.3">
      <c r="B31" s="58" t="s">
        <v>102</v>
      </c>
      <c r="C31" s="59" t="s">
        <v>106</v>
      </c>
      <c r="D31" s="26" t="s">
        <v>58</v>
      </c>
      <c r="E31" s="3">
        <v>230</v>
      </c>
      <c r="F31" s="3">
        <v>219</v>
      </c>
      <c r="G31" s="3">
        <v>35</v>
      </c>
      <c r="H31" s="3">
        <v>9.5</v>
      </c>
      <c r="I31" s="3">
        <v>9.5</v>
      </c>
      <c r="J31" s="3">
        <v>55292</v>
      </c>
      <c r="K31" s="9">
        <v>-1.3</v>
      </c>
      <c r="L31" s="9">
        <v>14</v>
      </c>
      <c r="M31" s="3">
        <v>1.7</v>
      </c>
      <c r="N31" s="10">
        <f t="shared" si="2"/>
        <v>0.17894736842105263</v>
      </c>
      <c r="O31" s="1">
        <v>3960</v>
      </c>
      <c r="P31" s="16">
        <v>1030</v>
      </c>
    </row>
    <row r="32" spans="2:16" x14ac:dyDescent="0.3">
      <c r="B32" s="24" t="s">
        <v>121</v>
      </c>
      <c r="C32" s="25" t="s">
        <v>9</v>
      </c>
      <c r="D32" s="26" t="s">
        <v>58</v>
      </c>
      <c r="E32" s="25">
        <v>130</v>
      </c>
      <c r="F32" s="25">
        <v>125</v>
      </c>
      <c r="G32" s="25">
        <v>25.7</v>
      </c>
      <c r="H32" s="25">
        <v>7.1</v>
      </c>
      <c r="I32" s="25">
        <v>7.1</v>
      </c>
      <c r="J32" s="25">
        <v>17735</v>
      </c>
      <c r="K32" s="27">
        <v>1</v>
      </c>
      <c r="L32" s="27">
        <v>9</v>
      </c>
      <c r="M32" s="3">
        <v>1.5</v>
      </c>
      <c r="N32" s="10">
        <f t="shared" si="2"/>
        <v>0.21126760563380284</v>
      </c>
      <c r="O32" s="89">
        <v>1957</v>
      </c>
      <c r="P32" s="90">
        <v>544</v>
      </c>
    </row>
    <row r="33" spans="2:16" x14ac:dyDescent="0.3">
      <c r="B33" s="24" t="s">
        <v>120</v>
      </c>
      <c r="C33" s="25" t="s">
        <v>9</v>
      </c>
      <c r="D33" s="26" t="s">
        <v>58</v>
      </c>
      <c r="E33" s="25">
        <v>99.4</v>
      </c>
      <c r="F33" s="25">
        <v>93</v>
      </c>
      <c r="G33" s="25">
        <v>17.2</v>
      </c>
      <c r="H33" s="25">
        <v>4.5999999999999996</v>
      </c>
      <c r="I33" s="25">
        <v>4.5999999999999996</v>
      </c>
      <c r="J33" s="25">
        <v>5408</v>
      </c>
      <c r="K33" s="27">
        <v>0.1</v>
      </c>
      <c r="L33" s="27">
        <v>5.5</v>
      </c>
      <c r="M33" s="3">
        <v>1.1000000000000001</v>
      </c>
      <c r="N33" s="10">
        <f t="shared" si="2"/>
        <v>0.23913043478260873</v>
      </c>
      <c r="O33" s="1">
        <v>691</v>
      </c>
      <c r="P33" s="16">
        <v>164</v>
      </c>
    </row>
    <row r="34" spans="2:16" x14ac:dyDescent="0.3">
      <c r="B34" s="162"/>
      <c r="C34" s="160"/>
      <c r="D34" s="160"/>
      <c r="E34" s="160"/>
      <c r="F34" s="160"/>
      <c r="G34" s="160"/>
      <c r="H34" s="160"/>
      <c r="I34" s="160"/>
      <c r="J34" s="160"/>
      <c r="K34" s="160"/>
      <c r="L34" s="160"/>
      <c r="M34" s="160"/>
      <c r="N34" s="163"/>
      <c r="O34" s="88"/>
      <c r="P34" s="54"/>
    </row>
    <row r="35" spans="2:16" x14ac:dyDescent="0.3">
      <c r="B35" s="1" t="s">
        <v>117</v>
      </c>
      <c r="C35" s="2" t="s">
        <v>106</v>
      </c>
      <c r="D35" s="3" t="s">
        <v>4</v>
      </c>
      <c r="E35" s="3">
        <v>345</v>
      </c>
      <c r="F35" s="3">
        <v>332</v>
      </c>
      <c r="G35" s="3">
        <v>55</v>
      </c>
      <c r="H35" s="3">
        <v>9.6999999999999993</v>
      </c>
      <c r="I35" s="3">
        <v>9.6999999999999993</v>
      </c>
      <c r="J35" s="3">
        <v>136200</v>
      </c>
      <c r="K35" s="6">
        <v>1.3</v>
      </c>
      <c r="L35" s="6">
        <v>14.6</v>
      </c>
      <c r="M35" s="3">
        <v>14.8</v>
      </c>
      <c r="N35" s="10">
        <f>M35/((H35+I35)/2)</f>
        <v>1.5257731958762888</v>
      </c>
      <c r="O35" s="1">
        <v>9566</v>
      </c>
      <c r="P35" s="16">
        <v>1905</v>
      </c>
    </row>
    <row r="36" spans="2:16" x14ac:dyDescent="0.3">
      <c r="B36" s="1" t="s">
        <v>112</v>
      </c>
      <c r="C36" s="2" t="s">
        <v>106</v>
      </c>
      <c r="D36" s="3" t="s">
        <v>4</v>
      </c>
      <c r="E36" s="3">
        <v>345</v>
      </c>
      <c r="F36" s="3">
        <v>332</v>
      </c>
      <c r="G36" s="3">
        <v>53.8</v>
      </c>
      <c r="H36" s="3">
        <v>9.6</v>
      </c>
      <c r="I36" s="3">
        <v>9.6</v>
      </c>
      <c r="J36" s="3">
        <v>132033</v>
      </c>
      <c r="K36" s="6">
        <f>-0.03*F36/100</f>
        <v>-9.9599999999999994E-2</v>
      </c>
      <c r="L36" s="6" t="s">
        <v>9</v>
      </c>
      <c r="M36" s="3">
        <v>16.8</v>
      </c>
      <c r="N36" s="10">
        <f>M36/((H36+I36)/2)</f>
        <v>1.7500000000000002</v>
      </c>
      <c r="O36" s="1" t="s">
        <v>9</v>
      </c>
      <c r="P36" s="16" t="s">
        <v>9</v>
      </c>
    </row>
    <row r="37" spans="2:16" x14ac:dyDescent="0.3">
      <c r="B37" s="161" t="s">
        <v>113</v>
      </c>
      <c r="C37" s="2" t="s">
        <v>106</v>
      </c>
      <c r="D37" s="3" t="s">
        <v>4</v>
      </c>
      <c r="E37" s="3">
        <v>345</v>
      </c>
      <c r="F37" s="3">
        <v>332</v>
      </c>
      <c r="G37" s="3">
        <v>55</v>
      </c>
      <c r="H37" s="3">
        <v>9.73</v>
      </c>
      <c r="I37" s="3">
        <v>9.73</v>
      </c>
      <c r="J37" s="3">
        <v>131957</v>
      </c>
      <c r="K37" s="6">
        <f>-0.96*F37/100</f>
        <v>-3.1871999999999998</v>
      </c>
      <c r="L37" s="6" t="s">
        <v>9</v>
      </c>
      <c r="M37" s="3">
        <v>12.7</v>
      </c>
      <c r="N37" s="10">
        <f>M37/((H37+I37)/2)</f>
        <v>1.305241521068859</v>
      </c>
      <c r="O37" s="1">
        <v>8109</v>
      </c>
      <c r="P37" s="16">
        <v>1710</v>
      </c>
    </row>
    <row r="38" spans="2:16" x14ac:dyDescent="0.3">
      <c r="B38" s="58" t="s">
        <v>122</v>
      </c>
      <c r="C38" s="2" t="s">
        <v>106</v>
      </c>
      <c r="D38" s="3" t="s">
        <v>4</v>
      </c>
      <c r="E38" s="3">
        <v>345</v>
      </c>
      <c r="F38" s="3">
        <v>332</v>
      </c>
      <c r="G38" s="3">
        <v>55</v>
      </c>
      <c r="H38" s="3">
        <v>9.6</v>
      </c>
      <c r="I38" s="3">
        <v>9.6</v>
      </c>
      <c r="J38" s="3">
        <v>126660</v>
      </c>
      <c r="K38" s="9">
        <v>-0.2</v>
      </c>
      <c r="L38" s="9">
        <v>13</v>
      </c>
      <c r="M38" s="3">
        <v>15</v>
      </c>
      <c r="N38" s="10">
        <f>M38/((H38+I38)/2)</f>
        <v>1.5625</v>
      </c>
      <c r="O38" s="1">
        <v>9400</v>
      </c>
      <c r="P38" s="16">
        <v>1850</v>
      </c>
    </row>
    <row r="39" spans="2:16" x14ac:dyDescent="0.3">
      <c r="B39" s="1" t="s">
        <v>109</v>
      </c>
      <c r="C39" s="2" t="s">
        <v>106</v>
      </c>
      <c r="D39" s="3" t="s">
        <v>4</v>
      </c>
      <c r="E39" s="3">
        <v>315</v>
      </c>
      <c r="F39" s="3">
        <v>305</v>
      </c>
      <c r="G39" s="3">
        <v>50</v>
      </c>
      <c r="H39" s="3">
        <v>9.35</v>
      </c>
      <c r="I39" s="3">
        <v>9.35</v>
      </c>
      <c r="J39" s="3">
        <v>105536</v>
      </c>
      <c r="K39" s="6">
        <f>-0.33*F39/100</f>
        <v>-1.0065</v>
      </c>
      <c r="L39" s="6" t="s">
        <v>9</v>
      </c>
      <c r="M39" s="3">
        <v>18.059999999999999</v>
      </c>
      <c r="N39" s="10">
        <f t="shared" ref="N39:N47" si="3">M39/((H39+I39)/2)</f>
        <v>1.9315508021390373</v>
      </c>
      <c r="O39" s="1">
        <v>7427</v>
      </c>
      <c r="P39" s="16">
        <v>1510</v>
      </c>
    </row>
    <row r="40" spans="2:16" x14ac:dyDescent="0.3">
      <c r="B40" s="1" t="s">
        <v>118</v>
      </c>
      <c r="C40" s="2" t="s">
        <v>106</v>
      </c>
      <c r="D40" s="3" t="s">
        <v>4</v>
      </c>
      <c r="E40" s="3">
        <v>312.5</v>
      </c>
      <c r="F40" s="3">
        <v>296</v>
      </c>
      <c r="G40" s="3">
        <v>48.3</v>
      </c>
      <c r="H40" s="3">
        <v>10.3</v>
      </c>
      <c r="I40" s="3">
        <v>10.3</v>
      </c>
      <c r="J40" s="3">
        <v>108586</v>
      </c>
      <c r="K40" s="6">
        <v>0.3</v>
      </c>
      <c r="L40" s="6">
        <v>15.6</v>
      </c>
      <c r="M40" s="3">
        <v>7.1</v>
      </c>
      <c r="N40" s="10">
        <f>M40/((H40+I40)/2)</f>
        <v>0.68932038834951448</v>
      </c>
      <c r="O40" s="1">
        <v>7500</v>
      </c>
      <c r="P40" s="16">
        <v>1400</v>
      </c>
    </row>
    <row r="41" spans="2:16" x14ac:dyDescent="0.3">
      <c r="B41" s="58" t="s">
        <v>118</v>
      </c>
      <c r="C41" s="2" t="s">
        <v>106</v>
      </c>
      <c r="D41" s="3" t="s">
        <v>4</v>
      </c>
      <c r="E41" s="3">
        <v>319.5</v>
      </c>
      <c r="F41" s="3">
        <v>303</v>
      </c>
      <c r="G41" s="3">
        <v>50</v>
      </c>
      <c r="H41" s="3">
        <v>10.3</v>
      </c>
      <c r="I41" s="3">
        <v>10.3</v>
      </c>
      <c r="J41" s="3">
        <v>106500</v>
      </c>
      <c r="K41" s="9">
        <v>-0.2</v>
      </c>
      <c r="L41" s="9">
        <v>12.5</v>
      </c>
      <c r="M41" s="3">
        <v>14.1</v>
      </c>
      <c r="N41" s="10">
        <f>M41/((H41+I41)/2)</f>
        <v>1.3689320388349513</v>
      </c>
      <c r="O41" s="1">
        <v>7500</v>
      </c>
      <c r="P41" s="16">
        <v>1400</v>
      </c>
    </row>
    <row r="42" spans="2:16" x14ac:dyDescent="0.3">
      <c r="B42" s="1" t="s">
        <v>111</v>
      </c>
      <c r="C42" s="2" t="s">
        <v>105</v>
      </c>
      <c r="D42" s="3" t="s">
        <v>4</v>
      </c>
      <c r="E42" s="3">
        <v>346</v>
      </c>
      <c r="F42" s="3">
        <v>327</v>
      </c>
      <c r="G42" s="3">
        <v>51</v>
      </c>
      <c r="H42" s="3">
        <v>10</v>
      </c>
      <c r="I42" s="3">
        <v>10</v>
      </c>
      <c r="J42" s="3">
        <v>114035</v>
      </c>
      <c r="K42" s="6">
        <f>0.99*F42/100</f>
        <v>3.2373000000000003</v>
      </c>
      <c r="L42" s="6" t="s">
        <v>9</v>
      </c>
      <c r="M42" s="3">
        <v>13.06</v>
      </c>
      <c r="N42" s="10">
        <f t="shared" si="3"/>
        <v>1.306</v>
      </c>
      <c r="O42" s="1">
        <v>10800</v>
      </c>
      <c r="P42" s="16">
        <v>1945</v>
      </c>
    </row>
    <row r="43" spans="2:16" x14ac:dyDescent="0.3">
      <c r="B43" s="161" t="s">
        <v>108</v>
      </c>
      <c r="C43" s="2" t="s">
        <v>106</v>
      </c>
      <c r="D43" s="3" t="s">
        <v>4</v>
      </c>
      <c r="E43" s="3">
        <v>299.89999999999998</v>
      </c>
      <c r="F43" s="3">
        <v>288</v>
      </c>
      <c r="G43" s="3">
        <v>45.8</v>
      </c>
      <c r="H43" s="3">
        <v>9.94</v>
      </c>
      <c r="I43" s="3">
        <v>9.94</v>
      </c>
      <c r="J43" s="3">
        <v>99121</v>
      </c>
      <c r="K43" s="6">
        <f>1.65*F43/100</f>
        <v>4.7519999999999998</v>
      </c>
      <c r="L43" s="6" t="s">
        <v>9</v>
      </c>
      <c r="M43" s="3">
        <v>10.1</v>
      </c>
      <c r="N43" s="10">
        <f t="shared" si="3"/>
        <v>1.0160965794768613</v>
      </c>
      <c r="O43" s="1">
        <v>7100</v>
      </c>
      <c r="P43" s="16">
        <v>1395</v>
      </c>
    </row>
    <row r="44" spans="2:16" x14ac:dyDescent="0.3">
      <c r="B44" s="161" t="s">
        <v>119</v>
      </c>
      <c r="C44" s="2" t="s">
        <v>106</v>
      </c>
      <c r="D44" s="3" t="s">
        <v>4</v>
      </c>
      <c r="E44" s="3">
        <v>299.89999999999998</v>
      </c>
      <c r="F44" s="3">
        <v>288</v>
      </c>
      <c r="G44" s="3">
        <v>45.8</v>
      </c>
      <c r="H44" s="3">
        <v>9.94</v>
      </c>
      <c r="I44" s="3">
        <v>9.94</v>
      </c>
      <c r="J44" s="3">
        <v>101804</v>
      </c>
      <c r="K44" s="6">
        <f>-0.97*F44/100</f>
        <v>-2.7936000000000001</v>
      </c>
      <c r="L44" s="6" t="s">
        <v>9</v>
      </c>
      <c r="M44" s="3">
        <v>11.79</v>
      </c>
      <c r="N44" s="10">
        <f t="shared" si="3"/>
        <v>1.1861167002012072</v>
      </c>
      <c r="O44" s="1">
        <v>6729</v>
      </c>
      <c r="P44" s="16">
        <v>1411</v>
      </c>
    </row>
    <row r="45" spans="2:16" x14ac:dyDescent="0.3">
      <c r="B45" s="1" t="s">
        <v>116</v>
      </c>
      <c r="C45" s="2" t="s">
        <v>106</v>
      </c>
      <c r="D45" s="3" t="s">
        <v>4</v>
      </c>
      <c r="E45" s="3">
        <v>293.10000000000002</v>
      </c>
      <c r="F45" s="3">
        <v>277.39999999999998</v>
      </c>
      <c r="G45" s="3">
        <v>45.25</v>
      </c>
      <c r="H45" s="3">
        <v>9.9</v>
      </c>
      <c r="I45" s="3">
        <v>9.9</v>
      </c>
      <c r="J45" s="3">
        <v>93248</v>
      </c>
      <c r="K45" s="6">
        <v>0.3</v>
      </c>
      <c r="L45" s="6">
        <v>14.2</v>
      </c>
      <c r="M45" s="3">
        <v>7</v>
      </c>
      <c r="N45" s="10">
        <f>M45/((H45+I45)/2)</f>
        <v>0.70707070707070707</v>
      </c>
      <c r="O45" s="1">
        <v>6820</v>
      </c>
      <c r="P45" s="16">
        <v>1405</v>
      </c>
    </row>
    <row r="46" spans="2:16" x14ac:dyDescent="0.3">
      <c r="B46" s="1" t="s">
        <v>107</v>
      </c>
      <c r="C46" s="2" t="s">
        <v>105</v>
      </c>
      <c r="D46" s="3" t="s">
        <v>4</v>
      </c>
      <c r="E46" s="3">
        <v>289.5</v>
      </c>
      <c r="F46" s="3">
        <v>277</v>
      </c>
      <c r="G46" s="3">
        <v>49</v>
      </c>
      <c r="H46" s="3">
        <v>9.4</v>
      </c>
      <c r="I46" s="3">
        <v>9.4</v>
      </c>
      <c r="J46" s="3">
        <v>85326</v>
      </c>
      <c r="K46" s="6">
        <f>-1.38*F46/100</f>
        <v>-3.8226</v>
      </c>
      <c r="L46" s="6" t="s">
        <v>9</v>
      </c>
      <c r="M46" s="6">
        <v>13.73</v>
      </c>
      <c r="N46" s="10">
        <f t="shared" si="3"/>
        <v>1.4606382978723405</v>
      </c>
      <c r="O46" s="1">
        <v>7179</v>
      </c>
      <c r="P46" s="16">
        <v>1482</v>
      </c>
    </row>
    <row r="47" spans="2:16" x14ac:dyDescent="0.3">
      <c r="B47" s="1" t="s">
        <v>9</v>
      </c>
      <c r="C47" s="2" t="s">
        <v>106</v>
      </c>
      <c r="D47" s="3" t="s">
        <v>4</v>
      </c>
      <c r="E47" s="3">
        <v>279.8</v>
      </c>
      <c r="F47" s="3">
        <v>268.8</v>
      </c>
      <c r="G47" s="3">
        <v>43.4</v>
      </c>
      <c r="H47" s="3">
        <v>9.5</v>
      </c>
      <c r="I47" s="3">
        <v>9.5</v>
      </c>
      <c r="J47" s="3">
        <v>80881</v>
      </c>
      <c r="K47" s="6">
        <f>1.2*F47/100</f>
        <v>3.2256</v>
      </c>
      <c r="L47" s="6" t="s">
        <v>9</v>
      </c>
      <c r="M47" s="6">
        <v>9.06</v>
      </c>
      <c r="N47" s="10">
        <f t="shared" si="3"/>
        <v>0.9536842105263158</v>
      </c>
      <c r="O47" s="1">
        <v>6816</v>
      </c>
      <c r="P47" s="16">
        <v>1328</v>
      </c>
    </row>
    <row r="48" spans="2:16" x14ac:dyDescent="0.3">
      <c r="B48" s="1" t="s">
        <v>115</v>
      </c>
      <c r="C48" s="2" t="s">
        <v>106</v>
      </c>
      <c r="D48" s="3" t="s">
        <v>4</v>
      </c>
      <c r="E48" s="3">
        <v>277</v>
      </c>
      <c r="F48" s="3">
        <v>266</v>
      </c>
      <c r="G48" s="3">
        <v>43.4</v>
      </c>
      <c r="H48" s="3">
        <v>8.42</v>
      </c>
      <c r="I48" s="3">
        <v>8.42</v>
      </c>
      <c r="J48" s="3">
        <v>72458</v>
      </c>
      <c r="K48" s="6">
        <v>2.88</v>
      </c>
      <c r="L48" s="6">
        <v>13.78</v>
      </c>
      <c r="M48" s="9">
        <v>8.93</v>
      </c>
      <c r="N48" s="10">
        <f t="shared" ref="N48:N54" si="4">M48/((H48+I48)/2)</f>
        <v>1.0605700712589072</v>
      </c>
      <c r="O48" s="1">
        <v>6950</v>
      </c>
      <c r="P48" s="16">
        <v>1550</v>
      </c>
    </row>
    <row r="49" spans="2:16" x14ac:dyDescent="0.3">
      <c r="B49" s="58" t="s">
        <v>115</v>
      </c>
      <c r="C49" s="59" t="s">
        <v>106</v>
      </c>
      <c r="D49" s="3" t="s">
        <v>4</v>
      </c>
      <c r="E49" s="3">
        <v>277</v>
      </c>
      <c r="F49" s="3">
        <v>266</v>
      </c>
      <c r="G49" s="3">
        <v>43.4</v>
      </c>
      <c r="H49" s="9">
        <v>6.95</v>
      </c>
      <c r="I49" s="9">
        <v>9.0399999999999991</v>
      </c>
      <c r="J49" s="3">
        <v>65972</v>
      </c>
      <c r="K49" s="9">
        <v>-1.0129999999999999</v>
      </c>
      <c r="L49" s="9">
        <v>14.13</v>
      </c>
      <c r="M49" s="3">
        <v>6.6669999999999998</v>
      </c>
      <c r="N49" s="10">
        <f t="shared" si="4"/>
        <v>0.83389618511569741</v>
      </c>
      <c r="O49" s="1">
        <v>6816</v>
      </c>
      <c r="P49" s="16">
        <v>1519</v>
      </c>
    </row>
    <row r="50" spans="2:16" x14ac:dyDescent="0.3">
      <c r="B50" s="58" t="s">
        <v>114</v>
      </c>
      <c r="C50" s="2" t="s">
        <v>105</v>
      </c>
      <c r="D50" s="3" t="s">
        <v>4</v>
      </c>
      <c r="E50" s="3">
        <v>289</v>
      </c>
      <c r="F50" s="3">
        <v>275</v>
      </c>
      <c r="G50" s="3">
        <v>48.1</v>
      </c>
      <c r="H50" s="9">
        <v>10.3</v>
      </c>
      <c r="I50" s="9">
        <v>10.3</v>
      </c>
      <c r="J50" s="3">
        <v>88600</v>
      </c>
      <c r="K50" s="9">
        <v>1.3</v>
      </c>
      <c r="L50" s="9">
        <v>20</v>
      </c>
      <c r="M50" s="3">
        <v>8.5</v>
      </c>
      <c r="N50" s="10">
        <f t="shared" si="4"/>
        <v>0.82524271844660191</v>
      </c>
      <c r="O50" s="1">
        <v>9075</v>
      </c>
      <c r="P50" s="16">
        <v>1600</v>
      </c>
    </row>
    <row r="51" spans="2:16" x14ac:dyDescent="0.3">
      <c r="B51" s="1" t="s">
        <v>114</v>
      </c>
      <c r="C51" s="2" t="s">
        <v>105</v>
      </c>
      <c r="D51" s="3" t="s">
        <v>4</v>
      </c>
      <c r="E51" s="3">
        <v>285</v>
      </c>
      <c r="F51" s="3">
        <v>270</v>
      </c>
      <c r="G51" s="3">
        <v>48</v>
      </c>
      <c r="H51" s="3">
        <v>10.25</v>
      </c>
      <c r="I51" s="3">
        <v>10.25</v>
      </c>
      <c r="J51" s="3">
        <v>89405</v>
      </c>
      <c r="K51" s="6">
        <v>-2.6</v>
      </c>
      <c r="L51" s="6">
        <v>14.4</v>
      </c>
      <c r="M51" s="3">
        <v>10</v>
      </c>
      <c r="N51" s="10">
        <f t="shared" si="4"/>
        <v>0.97560975609756095</v>
      </c>
      <c r="O51" s="1">
        <v>8138</v>
      </c>
      <c r="P51" s="16">
        <v>1710</v>
      </c>
    </row>
    <row r="52" spans="2:16" x14ac:dyDescent="0.3">
      <c r="B52" s="58" t="s">
        <v>102</v>
      </c>
      <c r="C52" s="59" t="s">
        <v>106</v>
      </c>
      <c r="D52" s="3" t="s">
        <v>4</v>
      </c>
      <c r="E52" s="3">
        <v>230</v>
      </c>
      <c r="F52" s="3">
        <v>219</v>
      </c>
      <c r="G52" s="3">
        <v>35</v>
      </c>
      <c r="H52" s="3">
        <v>8.6</v>
      </c>
      <c r="I52" s="3">
        <v>8.6</v>
      </c>
      <c r="J52" s="3">
        <v>53000</v>
      </c>
      <c r="K52" s="9">
        <v>-2.7</v>
      </c>
      <c r="L52" s="9">
        <v>14</v>
      </c>
      <c r="M52" s="3">
        <v>1.7</v>
      </c>
      <c r="N52" s="10">
        <f t="shared" si="4"/>
        <v>0.19767441860465115</v>
      </c>
      <c r="O52" s="1">
        <v>4158</v>
      </c>
      <c r="P52" s="16">
        <v>1062</v>
      </c>
    </row>
    <row r="53" spans="2:16" x14ac:dyDescent="0.3">
      <c r="B53" s="24" t="s">
        <v>121</v>
      </c>
      <c r="C53" s="25" t="s">
        <v>9</v>
      </c>
      <c r="D53" s="26" t="s">
        <v>4</v>
      </c>
      <c r="E53" s="25">
        <v>130</v>
      </c>
      <c r="F53" s="25">
        <v>125</v>
      </c>
      <c r="G53" s="25">
        <v>25.7</v>
      </c>
      <c r="H53" s="25">
        <v>3.7</v>
      </c>
      <c r="I53" s="25">
        <v>6.5</v>
      </c>
      <c r="J53" s="25">
        <v>12515</v>
      </c>
      <c r="K53" s="27">
        <v>-3.3</v>
      </c>
      <c r="L53" s="27">
        <v>9</v>
      </c>
      <c r="M53" s="3">
        <v>1.5</v>
      </c>
      <c r="N53" s="10">
        <f t="shared" si="4"/>
        <v>0.29411764705882354</v>
      </c>
      <c r="O53" s="1">
        <v>2200</v>
      </c>
      <c r="P53" s="16">
        <v>595</v>
      </c>
    </row>
    <row r="54" spans="2:16" ht="15" thickBot="1" x14ac:dyDescent="0.35">
      <c r="B54" s="148" t="s">
        <v>120</v>
      </c>
      <c r="C54" s="103" t="s">
        <v>9</v>
      </c>
      <c r="D54" s="149" t="s">
        <v>4</v>
      </c>
      <c r="E54" s="103">
        <v>99.4</v>
      </c>
      <c r="F54" s="103">
        <v>93</v>
      </c>
      <c r="G54" s="103">
        <v>17.2</v>
      </c>
      <c r="H54" s="103">
        <v>2.7</v>
      </c>
      <c r="I54" s="103">
        <v>4.5</v>
      </c>
      <c r="J54" s="103">
        <v>4175</v>
      </c>
      <c r="K54" s="104">
        <v>-2.5</v>
      </c>
      <c r="L54" s="104">
        <v>5.5</v>
      </c>
      <c r="M54" s="12">
        <v>1.1000000000000001</v>
      </c>
      <c r="N54" s="15">
        <f t="shared" si="4"/>
        <v>0.30555555555555558</v>
      </c>
      <c r="O54" s="11">
        <v>790</v>
      </c>
      <c r="P54" s="18">
        <v>182</v>
      </c>
    </row>
    <row r="55" spans="2:16" ht="15" thickBot="1" x14ac:dyDescent="0.35"/>
    <row r="56" spans="2:16" ht="15" thickBot="1" x14ac:dyDescent="0.35">
      <c r="K56" s="129"/>
      <c r="L56" s="129"/>
      <c r="M56" s="131" t="s">
        <v>91</v>
      </c>
      <c r="N56" s="131" t="s">
        <v>92</v>
      </c>
      <c r="O56" s="122" t="s">
        <v>93</v>
      </c>
    </row>
    <row r="57" spans="2:16" ht="16.2" thickBot="1" x14ac:dyDescent="0.35">
      <c r="K57" s="206" t="s">
        <v>82</v>
      </c>
      <c r="L57" s="207"/>
      <c r="M57" s="131">
        <f>MIN(N14:N33)</f>
        <v>0.17894736842105263</v>
      </c>
      <c r="N57" s="131">
        <f>AVERAGE(N14:N33)</f>
        <v>0.38698984061198527</v>
      </c>
      <c r="O57" s="122">
        <f>MAX(N14:N33)</f>
        <v>0.92869565217391303</v>
      </c>
    </row>
    <row r="58" spans="2:16" ht="16.2" thickBot="1" x14ac:dyDescent="0.35">
      <c r="K58" s="206" t="s">
        <v>83</v>
      </c>
      <c r="L58" s="207"/>
      <c r="M58" s="131">
        <f>MIN(N35:N54)</f>
        <v>0.19767441860465115</v>
      </c>
      <c r="N58" s="131">
        <f>AVERAGE(N35:N54)</f>
        <v>1.0627795396776945</v>
      </c>
      <c r="O58" s="122">
        <f>MAX(N35:N54)</f>
        <v>1.9315508021390373</v>
      </c>
    </row>
  </sheetData>
  <sheetProtection sheet="1" objects="1" scenarios="1"/>
  <mergeCells count="8">
    <mergeCell ref="B12:C13"/>
    <mergeCell ref="K58:L58"/>
    <mergeCell ref="B11:N11"/>
    <mergeCell ref="O11:P11"/>
    <mergeCell ref="D12:D13"/>
    <mergeCell ref="H12:I12"/>
    <mergeCell ref="K12:L12"/>
    <mergeCell ref="K57:L5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NOTICE</vt:lpstr>
      <vt:lpstr>General</vt:lpstr>
      <vt:lpstr>Container_Ship</vt:lpstr>
      <vt:lpstr>Tanker</vt:lpstr>
      <vt:lpstr>Bulk_carrier</vt:lpstr>
      <vt:lpstr>Cruise_Ship</vt:lpstr>
      <vt:lpstr>Coaster</vt:lpstr>
      <vt:lpstr>LPG_Carrier</vt:lpstr>
      <vt:lpstr>LNG_Carrier</vt:lpstr>
      <vt:lpstr>Ferry_RoRo</vt:lpstr>
      <vt:lpstr>River_Boat</vt:lpstr>
    </vt:vector>
  </TitlesOfParts>
  <Company>Sogreah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DEMENET Pierre-François</cp:lastModifiedBy>
  <dcterms:created xsi:type="dcterms:W3CDTF">2011-01-15T18:01:03Z</dcterms:created>
  <dcterms:modified xsi:type="dcterms:W3CDTF">2023-09-04T12:52:31Z</dcterms:modified>
</cp:coreProperties>
</file>