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zy\Python\Investment\"/>
    </mc:Choice>
  </mc:AlternateContent>
  <xr:revisionPtr revIDLastSave="0" documentId="13_ncr:1_{956EB382-E836-4446-BAC1-ECF7FCB29D73}" xr6:coauthVersionLast="45" xr6:coauthVersionMax="45" xr10:uidLastSave="{00000000-0000-0000-0000-000000000000}"/>
  <bookViews>
    <workbookView xWindow="3030" yWindow="1605" windowWidth="31650" windowHeight="16725" activeTab="3" xr2:uid="{AC92DC69-0ADF-DF4F-ABE7-F2CC23157859}"/>
  </bookViews>
  <sheets>
    <sheet name="基金" sheetId="1" r:id="rId1"/>
    <sheet name="理财" sheetId="2" r:id="rId2"/>
    <sheet name="总结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/>
  <c r="B14" i="5"/>
  <c r="M6" i="5"/>
  <c r="B18" i="5" s="1"/>
  <c r="B15" i="5"/>
  <c r="M5" i="5"/>
  <c r="O4" i="5"/>
  <c r="R4" i="5" l="1"/>
  <c r="C5" i="5"/>
  <c r="O6" i="4" l="1"/>
  <c r="B1" i="4"/>
  <c r="J6" i="5"/>
  <c r="J7" i="5"/>
  <c r="C7" i="5"/>
  <c r="B7" i="5"/>
  <c r="B6" i="5"/>
  <c r="G5" i="5"/>
  <c r="G6" i="4"/>
  <c r="E1" i="4"/>
  <c r="M7" i="5" l="1"/>
  <c r="G7" i="5"/>
  <c r="O7" i="4"/>
  <c r="U7" i="4"/>
  <c r="U8" i="4"/>
  <c r="U9" i="4"/>
  <c r="U10" i="4"/>
  <c r="U11" i="4"/>
  <c r="U12" i="4"/>
  <c r="H1" i="4" l="1"/>
  <c r="S12" i="4" l="1"/>
  <c r="S9" i="4" l="1"/>
  <c r="S7" i="4" l="1"/>
  <c r="S8" i="4"/>
  <c r="L14" i="4" l="1"/>
  <c r="L6" i="4"/>
  <c r="L9" i="4" l="1"/>
  <c r="L7" i="4"/>
  <c r="L8" i="4"/>
  <c r="K11" i="4"/>
  <c r="K12" i="4"/>
  <c r="K9" i="4"/>
  <c r="K10" i="4"/>
  <c r="L15" i="4"/>
  <c r="L13" i="4"/>
  <c r="L12" i="4"/>
  <c r="L11" i="4"/>
  <c r="E19" i="2"/>
  <c r="E21" i="2"/>
  <c r="F12" i="2" l="1"/>
  <c r="F11" i="2"/>
  <c r="F13" i="2"/>
  <c r="C13" i="2"/>
  <c r="C11" i="2" l="1"/>
  <c r="C12" i="2"/>
  <c r="G9" i="1" l="1"/>
  <c r="D9" i="1"/>
  <c r="G8" i="1"/>
  <c r="D8" i="1"/>
  <c r="G3" i="1"/>
  <c r="D3" i="1"/>
  <c r="G4" i="1"/>
  <c r="D4" i="1"/>
  <c r="F10" i="2"/>
  <c r="I2" i="2" l="1"/>
  <c r="F6" i="2" s="1"/>
  <c r="F9" i="2" l="1"/>
  <c r="F5" i="2"/>
</calcChain>
</file>

<file path=xl/sharedStrings.xml><?xml version="1.0" encoding="utf-8"?>
<sst xmlns="http://schemas.openxmlformats.org/spreadsheetml/2006/main" count="111" uniqueCount="58">
  <si>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</si>
  <si>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</si>
  <si>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</si>
  <si>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</si>
  <si>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</si>
  <si>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</si>
  <si>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</si>
  <si>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</si>
  <si>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</si>
  <si>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</si>
  <si>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</si>
  <si>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</si>
  <si>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</si>
  <si>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</si>
  <si>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</si>
  <si>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</si>
  <si>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</si>
  <si>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</si>
  <si>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</si>
  <si>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</si>
  <si>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卖出时间</t>
  </si>
  <si>
    <t>景顺新兴成长</t>
  </si>
  <si>
    <t>招行</t>
  </si>
  <si>
    <t>天天</t>
  </si>
  <si>
    <t>度小满</t>
  </si>
  <si>
    <t>聚益生金91天A款</t>
  </si>
  <si>
    <t>聚益生金63天B款</t>
  </si>
  <si>
    <t>天天金稳健型</t>
  </si>
  <si>
    <t>聚益生金90天B款</t>
  </si>
  <si>
    <t>总共</t>
  </si>
  <si>
    <t>景顺长城新兴成长</t>
  </si>
  <si>
    <t>安信价值精选</t>
  </si>
  <si>
    <t>易方达增强回报</t>
  </si>
  <si>
    <t>东方红信用债A</t>
  </si>
  <si>
    <t>招商产业</t>
  </si>
  <si>
    <t>交银先进制造前段</t>
  </si>
  <si>
    <t>交银新生活力灵活配置</t>
  </si>
  <si>
    <t>安信新回报混合C</t>
  </si>
  <si>
    <t>中邮未来新蓝筹混合</t>
  </si>
  <si>
    <t>长安鑫富领先混合</t>
  </si>
  <si>
    <t>享存S-1个月</t>
  </si>
  <si>
    <t>新安新春盈30天</t>
  </si>
  <si>
    <t>金裕存2号</t>
  </si>
  <si>
    <t>资产</t>
  </si>
  <si>
    <t>收益率</t>
  </si>
  <si>
    <t>交银新生活力灵活配置混合</t>
  </si>
  <si>
    <t>中银珍利混合C</t>
  </si>
  <si>
    <t>长信乐信灵活配置混合C</t>
  </si>
  <si>
    <t>广发趋势优选灵活配置混合A</t>
  </si>
  <si>
    <t xml:space="preserve">天添金稳健型		</t>
  </si>
  <si>
    <t>现金</t>
  </si>
  <si>
    <t>理财</t>
  </si>
  <si>
    <t>基金</t>
  </si>
  <si>
    <t>股票</t>
  </si>
  <si>
    <t>收益</t>
  </si>
  <si>
    <t>成本</t>
  </si>
  <si>
    <t xml:space="preserve">                                                                                                                                                                    </t>
  </si>
  <si>
    <t xml:space="preserve">成本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</si>
</sst>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¥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G9"/>
  <sheetViews>
    <sheetView workbookViewId="0">
      <selection activeCell="B34" sqref="B34"/>
    </sheetView>
  </sheetViews>
  <sheetFormatPr defaultColWidth="11" defaultRowHeight="15.75" x14ac:dyDescent="0.25"/>
  <cols>
    <col min="1" max="1" width="18" customWidth="1"/>
    <col min="5" max="6" width="13.125" customWidth="1"/>
  </cols>
  <sheetData>
    <row r="1" spans="1:7" x14ac:dyDescent="0.25"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4</v>
      </c>
    </row>
    <row r="2" spans="1:7" x14ac:dyDescent="0.25">
      <c r="A2" t="s">
        <v>0</v>
      </c>
    </row>
    <row r="3" spans="1:7" x14ac:dyDescent="0.25">
      <c r="A3" t="s">
        <v>5</v>
      </c>
      <c r="B3">
        <v>38000</v>
      </c>
      <c r="C3">
        <v>42329.81</v>
      </c>
      <c r="D3">
        <f>C3-B3</f>
        <v>4329.8099999999977</v>
      </c>
      <c r="E3" s="2">
        <v>43563</v>
      </c>
      <c r="F3" s="2">
        <v>43895</v>
      </c>
      <c r="G3" s="3">
        <f>D3/B3*252/(F3-E3)</f>
        <v>8.648637603043749E-2</v>
      </c>
    </row>
    <row r="4" spans="1:7" x14ac:dyDescent="0.25">
      <c r="A4" t="s">
        <v>6</v>
      </c>
      <c r="B4">
        <v>30000</v>
      </c>
      <c r="C4">
        <v>37203.81</v>
      </c>
      <c r="D4">
        <f>C4-B4+1265.27+860.38</f>
        <v>9329.4599999999973</v>
      </c>
      <c r="E4" s="2">
        <v>43563</v>
      </c>
      <c r="F4" s="2">
        <v>43895</v>
      </c>
      <c r="G4" s="3">
        <f>D4/B4*252/(F4-E4)</f>
        <v>0.23604657831325296</v>
      </c>
    </row>
    <row r="5" spans="1:7" x14ac:dyDescent="0.25">
      <c r="A5" t="s">
        <v>7</v>
      </c>
      <c r="B5">
        <v>40000</v>
      </c>
      <c r="D5">
        <v>308.39999999999998</v>
      </c>
      <c r="G5" s="3"/>
    </row>
    <row r="6" spans="1:7" x14ac:dyDescent="0.25">
      <c r="A6" t="s">
        <v>8</v>
      </c>
      <c r="B6">
        <v>20000</v>
      </c>
      <c r="D6">
        <v>-158.72999999999999</v>
      </c>
      <c r="G6" s="3"/>
    </row>
    <row r="7" spans="1:7" x14ac:dyDescent="0.25">
      <c r="A7" t="s">
        <v>9</v>
      </c>
      <c r="B7">
        <v>50000</v>
      </c>
      <c r="D7">
        <v>15.67</v>
      </c>
      <c r="G7" s="3"/>
    </row>
    <row r="8" spans="1:7" x14ac:dyDescent="0.25">
      <c r="A8" t="s">
        <v>10</v>
      </c>
      <c r="B8">
        <v>60000</v>
      </c>
      <c r="C8">
        <v>60253.62</v>
      </c>
      <c r="D8">
        <f>C8-B8</f>
        <v>253.62000000000262</v>
      </c>
      <c r="E8" s="2">
        <v>43724</v>
      </c>
      <c r="F8" s="2">
        <v>43833</v>
      </c>
      <c r="G8" s="3">
        <f t="shared" ref="G8:G9" si="0">D8/B8*252/(F8-E8)</f>
        <v>9.7725137614679894E-3</v>
      </c>
    </row>
    <row r="9" spans="1:7" x14ac:dyDescent="0.25">
      <c r="A9" t="s">
        <v>21</v>
      </c>
      <c r="B9">
        <v>60000</v>
      </c>
      <c r="C9">
        <v>65762</v>
      </c>
      <c r="D9">
        <f>C9-B9</f>
        <v>5762</v>
      </c>
      <c r="E9" s="2">
        <v>43563</v>
      </c>
      <c r="F9" s="2">
        <v>43715</v>
      </c>
      <c r="G9" s="3">
        <f t="shared" si="0"/>
        <v>0.15921315789473683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21"/>
  <sheetViews>
    <sheetView workbookViewId="0">
      <selection activeCell="G18" sqref="G18"/>
    </sheetView>
  </sheetViews>
  <sheetFormatPr defaultColWidth="11" defaultRowHeight="15.75" x14ac:dyDescent="0.25"/>
  <cols>
    <col min="1" max="1" width="20.375" customWidth="1"/>
    <col min="6" max="6" width="15.125" customWidth="1"/>
    <col min="9" max="9" width="15.875" bestFit="1" customWidth="1"/>
  </cols>
  <sheetData>
    <row r="1" spans="1:9" x14ac:dyDescent="0.25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5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44087.223678472219</v>
      </c>
    </row>
    <row r="3" spans="1:9" x14ac:dyDescent="0.25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5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5">
      <c r="A5" t="s">
        <v>13</v>
      </c>
      <c r="B5">
        <v>50000</v>
      </c>
      <c r="C5" s="2">
        <v>43704</v>
      </c>
      <c r="E5">
        <v>1164.6500000000001</v>
      </c>
      <c r="F5">
        <f ca="1">E5/B5 * 360 /($I$2-C5) * 100</f>
        <v>2.1881424533656229</v>
      </c>
    </row>
    <row r="6" spans="1:9" x14ac:dyDescent="0.25">
      <c r="A6" t="s">
        <v>14</v>
      </c>
      <c r="B6">
        <v>200000</v>
      </c>
      <c r="C6" s="2">
        <v>43728</v>
      </c>
      <c r="E6">
        <v>5474.35</v>
      </c>
      <c r="F6">
        <f ca="1">E6/B6 * 360 /($I$2-C6) * 100</f>
        <v>2.7430903335516224</v>
      </c>
    </row>
    <row r="9" spans="1:9" x14ac:dyDescent="0.25">
      <c r="A9" t="s">
        <v>19</v>
      </c>
      <c r="B9">
        <v>56000</v>
      </c>
      <c r="C9" s="2">
        <v>43839</v>
      </c>
      <c r="E9">
        <v>499.9</v>
      </c>
      <c r="F9">
        <f ca="1">E9/B9 * 360 /($I$2-C9) * 100</f>
        <v>1.294656044468588</v>
      </c>
    </row>
    <row r="10" spans="1:9" x14ac:dyDescent="0.25">
      <c r="A10" t="s">
        <v>18</v>
      </c>
      <c r="B10">
        <v>50000</v>
      </c>
      <c r="C10" s="2">
        <v>43840</v>
      </c>
      <c r="D10" s="2">
        <v>43903</v>
      </c>
      <c r="E10">
        <v>336.6</v>
      </c>
      <c r="F10">
        <f>E10/B10 * 360 /(D10-C10) * 100</f>
        <v>3.846857142857143</v>
      </c>
    </row>
    <row r="11" spans="1:9" x14ac:dyDescent="0.25">
      <c r="A11" t="s">
        <v>18</v>
      </c>
      <c r="B11">
        <v>100000</v>
      </c>
      <c r="C11" s="2">
        <f>D11-63</f>
        <v>43853</v>
      </c>
      <c r="D11" s="2">
        <v>43916</v>
      </c>
      <c r="E11">
        <v>673.2</v>
      </c>
      <c r="F11">
        <f>E11/B11 * 360 /(D11-C11) * 100</f>
        <v>3.846857142857143</v>
      </c>
    </row>
    <row r="12" spans="1:9" x14ac:dyDescent="0.25">
      <c r="A12" t="s">
        <v>12</v>
      </c>
      <c r="B12">
        <v>20000</v>
      </c>
      <c r="C12" s="2">
        <f>D12-91</f>
        <v>43833</v>
      </c>
      <c r="D12" s="2">
        <v>43924</v>
      </c>
      <c r="E12">
        <v>194.46</v>
      </c>
      <c r="F12">
        <f>E12/B12 * 360 /(D12-C12) * 100</f>
        <v>3.8464615384615382</v>
      </c>
    </row>
    <row r="13" spans="1:9" x14ac:dyDescent="0.25">
      <c r="A13" t="s">
        <v>12</v>
      </c>
      <c r="B13">
        <v>200000</v>
      </c>
      <c r="C13" s="2">
        <f>D13-91</f>
        <v>43840</v>
      </c>
      <c r="D13" s="2">
        <v>43931</v>
      </c>
      <c r="E13">
        <v>1944.6</v>
      </c>
      <c r="F13">
        <f t="shared" ref="F13" si="0">E13/B13 * 360 /(D13-C13) * 100</f>
        <v>3.8464615384615382</v>
      </c>
    </row>
    <row r="19" spans="5:5" x14ac:dyDescent="0.25">
      <c r="E19">
        <f>SUM(E9:E13)</f>
        <v>3648.76</v>
      </c>
    </row>
    <row r="21" spans="5:5" x14ac:dyDescent="0.25">
      <c r="E21">
        <f>SUM(E2:E13)</f>
        <v>17975.96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2EA3-944D-C34F-8CA8-F18138FCC448}">
  <dimension ref="A1:AD27"/>
  <sheetViews>
    <sheetView workbookViewId="0">
      <selection activeCell="E1" sqref="E1"/>
    </sheetView>
  </sheetViews>
  <sheetFormatPr defaultColWidth="11" defaultRowHeight="15.75" x14ac:dyDescent="0.25"/>
  <cols>
    <col min="1" max="1" width="18.375" customWidth="1"/>
    <col min="9" max="9" width="22.125" customWidth="1"/>
    <col min="17" max="17" width="24.875" customWidth="1"/>
    <col min="19" max="19" width="12.625" bestFit="1" customWidth="1"/>
    <col min="25" max="25" width="14.625" customWidth="1"/>
  </cols>
  <sheetData>
    <row r="1" spans="1:30" x14ac:dyDescent="0.25">
      <c r="A1" t="s">
        <v>29</v>
      </c>
      <c r="B1">
        <f>G6+O6+W6+AD6</f>
        <v>74337.100000000006</v>
      </c>
      <c r="D1" t="s">
        <v>43</v>
      </c>
      <c r="E1">
        <f>O7+W7+AD7</f>
        <v>1182592.7</v>
      </c>
      <c r="G1" t="s">
        <v>44</v>
      </c>
      <c r="H1" s="3">
        <f>B1/E1</f>
        <v>6.2859427425858469E-2</v>
      </c>
    </row>
    <row r="5" spans="1:30" x14ac:dyDescent="0.25">
      <c r="A5" s="4" t="s">
        <v>22</v>
      </c>
      <c r="B5" s="4"/>
      <c r="C5" s="4"/>
      <c r="Q5" s="4" t="s">
        <v>23</v>
      </c>
      <c r="Y5" s="4" t="s">
        <v>24</v>
      </c>
    </row>
    <row r="6" spans="1:30" x14ac:dyDescent="0.25">
      <c r="A6" t="s">
        <v>25</v>
      </c>
      <c r="B6" s="2">
        <v>43598</v>
      </c>
      <c r="C6">
        <v>90000</v>
      </c>
      <c r="D6">
        <v>915.48</v>
      </c>
      <c r="F6" t="s">
        <v>29</v>
      </c>
      <c r="G6">
        <f>SUM(D:D)</f>
        <v>27619.46</v>
      </c>
      <c r="I6" t="s">
        <v>30</v>
      </c>
      <c r="J6">
        <v>60000</v>
      </c>
      <c r="K6">
        <v>65762.03</v>
      </c>
      <c r="L6">
        <f>K6-J6 - 443.35*2</f>
        <v>4875.329999999999</v>
      </c>
      <c r="M6">
        <v>8443.75</v>
      </c>
      <c r="N6" t="s">
        <v>29</v>
      </c>
      <c r="O6">
        <f>SUM(L:L) +M6</f>
        <v>25267.84</v>
      </c>
      <c r="Q6" t="s">
        <v>37</v>
      </c>
      <c r="R6">
        <v>49000</v>
      </c>
      <c r="T6">
        <v>6079.31</v>
      </c>
      <c r="U6">
        <v>9596.65</v>
      </c>
      <c r="V6" t="s">
        <v>29</v>
      </c>
      <c r="W6">
        <v>19046.560000000001</v>
      </c>
      <c r="Y6" t="s">
        <v>40</v>
      </c>
      <c r="Z6">
        <v>110000</v>
      </c>
      <c r="AA6">
        <v>735.78</v>
      </c>
      <c r="AC6" t="s">
        <v>29</v>
      </c>
      <c r="AD6">
        <v>2403.2399999999998</v>
      </c>
    </row>
    <row r="7" spans="1:30" x14ac:dyDescent="0.25">
      <c r="A7" t="s">
        <v>26</v>
      </c>
      <c r="B7" s="2">
        <v>43665</v>
      </c>
      <c r="C7">
        <v>70000</v>
      </c>
      <c r="D7">
        <v>480.9</v>
      </c>
      <c r="F7" t="s">
        <v>43</v>
      </c>
      <c r="I7" t="s">
        <v>10</v>
      </c>
      <c r="J7">
        <v>60000</v>
      </c>
      <c r="K7">
        <v>60253.62</v>
      </c>
      <c r="L7">
        <f>K7-J7-594.06</f>
        <v>-340.43999999999733</v>
      </c>
      <c r="N7" t="s">
        <v>43</v>
      </c>
      <c r="O7">
        <f>813077.18-143160.54</f>
        <v>669916.64</v>
      </c>
      <c r="Q7" t="s">
        <v>38</v>
      </c>
      <c r="R7">
        <v>30000</v>
      </c>
      <c r="S7">
        <f>-22.47*2</f>
        <v>-44.94</v>
      </c>
      <c r="T7">
        <v>2750.68</v>
      </c>
      <c r="U7">
        <f t="shared" ref="U7:U8" si="0">T7+S7</f>
        <v>2705.74</v>
      </c>
      <c r="V7" t="s">
        <v>43</v>
      </c>
      <c r="W7">
        <v>201676.06</v>
      </c>
      <c r="Y7" t="s">
        <v>41</v>
      </c>
      <c r="Z7">
        <v>141000</v>
      </c>
      <c r="AA7">
        <v>480.06</v>
      </c>
      <c r="AC7" t="s">
        <v>43</v>
      </c>
      <c r="AD7">
        <v>311000</v>
      </c>
    </row>
    <row r="8" spans="1:30" x14ac:dyDescent="0.25">
      <c r="A8" t="s">
        <v>27</v>
      </c>
      <c r="B8" s="2">
        <v>43688</v>
      </c>
      <c r="C8">
        <v>50000</v>
      </c>
      <c r="D8">
        <v>726.59</v>
      </c>
      <c r="I8" t="s">
        <v>31</v>
      </c>
      <c r="J8">
        <v>38000</v>
      </c>
      <c r="K8">
        <v>42329.81</v>
      </c>
      <c r="L8">
        <f>-561.58 + K8-J8</f>
        <v>3768.2299999999959</v>
      </c>
      <c r="Q8" t="s">
        <v>39</v>
      </c>
      <c r="R8">
        <v>21000</v>
      </c>
      <c r="S8">
        <f>-31.45</f>
        <v>-31.45</v>
      </c>
      <c r="T8">
        <v>2054.7199999999998</v>
      </c>
      <c r="U8">
        <f t="shared" si="0"/>
        <v>2023.2699999999998</v>
      </c>
      <c r="Y8" t="s">
        <v>42</v>
      </c>
      <c r="Z8">
        <v>60000</v>
      </c>
      <c r="AA8">
        <v>651.66999999999996</v>
      </c>
    </row>
    <row r="9" spans="1:30" x14ac:dyDescent="0.25">
      <c r="A9" t="s">
        <v>25</v>
      </c>
      <c r="B9" s="2">
        <v>43746</v>
      </c>
      <c r="C9">
        <v>100000</v>
      </c>
      <c r="D9">
        <v>979.8</v>
      </c>
      <c r="I9" t="s">
        <v>6</v>
      </c>
      <c r="J9">
        <v>30000</v>
      </c>
      <c r="K9">
        <f>860.38+1265.27 + 37203.81</f>
        <v>39329.46</v>
      </c>
      <c r="L9">
        <f>-443.35 + K9 - J9</f>
        <v>8886.11</v>
      </c>
      <c r="Q9" t="s">
        <v>45</v>
      </c>
      <c r="R9">
        <v>27266.98</v>
      </c>
      <c r="S9">
        <f>-18.37-30</f>
        <v>-48.370000000000005</v>
      </c>
      <c r="T9">
        <v>2.6</v>
      </c>
      <c r="U9">
        <f>T9+S9</f>
        <v>-45.77</v>
      </c>
    </row>
    <row r="10" spans="1:30" x14ac:dyDescent="0.25">
      <c r="A10" t="s">
        <v>28</v>
      </c>
      <c r="B10" s="2">
        <v>43748</v>
      </c>
      <c r="C10">
        <v>140000</v>
      </c>
      <c r="D10">
        <v>1422.26</v>
      </c>
      <c r="I10" t="s">
        <v>7</v>
      </c>
      <c r="J10">
        <v>40000</v>
      </c>
      <c r="K10">
        <f>1630.96 + 1215.81</f>
        <v>2846.77</v>
      </c>
      <c r="Q10" t="s">
        <v>46</v>
      </c>
      <c r="R10">
        <v>18879.490000000002</v>
      </c>
      <c r="S10">
        <v>0</v>
      </c>
      <c r="U10">
        <f t="shared" ref="U10:U12" si="1">T10+S10</f>
        <v>0</v>
      </c>
    </row>
    <row r="11" spans="1:30" x14ac:dyDescent="0.25">
      <c r="A11" t="s">
        <v>28</v>
      </c>
      <c r="B11" s="2">
        <v>43762</v>
      </c>
      <c r="C11">
        <v>70000</v>
      </c>
      <c r="D11">
        <v>704.2</v>
      </c>
      <c r="I11" t="s">
        <v>32</v>
      </c>
      <c r="J11">
        <v>20000</v>
      </c>
      <c r="K11">
        <f>1098.17 + 578.77</f>
        <v>1676.94</v>
      </c>
      <c r="L11">
        <f>-158.73</f>
        <v>-158.72999999999999</v>
      </c>
      <c r="Q11" t="s">
        <v>47</v>
      </c>
      <c r="R11">
        <v>11326.75</v>
      </c>
      <c r="S11">
        <v>0</v>
      </c>
      <c r="U11">
        <f t="shared" si="1"/>
        <v>0</v>
      </c>
    </row>
    <row r="12" spans="1:30" x14ac:dyDescent="0.25">
      <c r="A12" t="s">
        <v>11</v>
      </c>
      <c r="B12" s="2">
        <v>43833</v>
      </c>
      <c r="C12">
        <v>300000</v>
      </c>
      <c r="D12">
        <v>5998.5</v>
      </c>
      <c r="I12" t="s">
        <v>33</v>
      </c>
      <c r="J12">
        <v>30000</v>
      </c>
      <c r="K12">
        <f>524.9 + 262.45</f>
        <v>787.34999999999991</v>
      </c>
      <c r="L12">
        <f>-238.1</f>
        <v>-238.1</v>
      </c>
      <c r="Q12" t="s">
        <v>48</v>
      </c>
      <c r="R12">
        <v>7544.21</v>
      </c>
      <c r="S12" s="5">
        <f>-R12*0.15/100</f>
        <v>-11.316314999999999</v>
      </c>
      <c r="U12">
        <f t="shared" si="1"/>
        <v>-11.316314999999999</v>
      </c>
    </row>
    <row r="13" spans="1:30" x14ac:dyDescent="0.25">
      <c r="A13" t="s">
        <v>12</v>
      </c>
      <c r="B13" s="2">
        <v>43847</v>
      </c>
      <c r="C13">
        <v>100000</v>
      </c>
      <c r="D13">
        <v>984.8</v>
      </c>
      <c r="I13" t="s">
        <v>34</v>
      </c>
      <c r="J13">
        <v>50000</v>
      </c>
      <c r="L13">
        <f>-396.82</f>
        <v>-396.82</v>
      </c>
    </row>
    <row r="14" spans="1:30" x14ac:dyDescent="0.25">
      <c r="A14" t="s">
        <v>12</v>
      </c>
      <c r="B14" s="2">
        <v>43864</v>
      </c>
      <c r="C14">
        <v>70000</v>
      </c>
      <c r="D14">
        <v>704.9</v>
      </c>
      <c r="I14" t="s">
        <v>35</v>
      </c>
      <c r="J14">
        <v>30000</v>
      </c>
      <c r="K14">
        <v>31315.21</v>
      </c>
      <c r="L14">
        <f>K14-J14-443.35</f>
        <v>871.8599999999991</v>
      </c>
    </row>
    <row r="15" spans="1:30" x14ac:dyDescent="0.25">
      <c r="A15" t="s">
        <v>18</v>
      </c>
      <c r="B15" s="2">
        <v>43903</v>
      </c>
      <c r="C15">
        <v>50000</v>
      </c>
      <c r="D15">
        <v>336.6</v>
      </c>
      <c r="I15" t="s">
        <v>36</v>
      </c>
      <c r="J15">
        <v>30000</v>
      </c>
      <c r="L15">
        <f>-443.35</f>
        <v>-443.35</v>
      </c>
    </row>
    <row r="16" spans="1:30" x14ac:dyDescent="0.25">
      <c r="A16" t="s">
        <v>18</v>
      </c>
      <c r="B16" s="2">
        <v>43916</v>
      </c>
      <c r="C16">
        <v>100000</v>
      </c>
      <c r="D16">
        <v>673.2</v>
      </c>
    </row>
    <row r="17" spans="1:4" x14ac:dyDescent="0.25">
      <c r="A17" t="s">
        <v>12</v>
      </c>
      <c r="B17" s="2">
        <v>43924</v>
      </c>
      <c r="C17">
        <v>20000</v>
      </c>
      <c r="D17">
        <v>194.46</v>
      </c>
    </row>
    <row r="18" spans="1:4" x14ac:dyDescent="0.25">
      <c r="A18" t="s">
        <v>12</v>
      </c>
      <c r="B18" s="2">
        <v>43931</v>
      </c>
      <c r="C18">
        <v>200000</v>
      </c>
      <c r="D18">
        <v>1994.6</v>
      </c>
    </row>
    <row r="19" spans="1:4" x14ac:dyDescent="0.25">
      <c r="A19" t="s">
        <v>18</v>
      </c>
      <c r="B19" s="2">
        <v>43971</v>
      </c>
      <c r="C19">
        <v>50000</v>
      </c>
      <c r="D19">
        <v>345.2</v>
      </c>
    </row>
    <row r="20" spans="1:4" x14ac:dyDescent="0.25">
      <c r="A20" t="s">
        <v>25</v>
      </c>
      <c r="B20" s="2">
        <v>43976</v>
      </c>
      <c r="C20">
        <v>90000</v>
      </c>
      <c r="D20">
        <v>845.55</v>
      </c>
    </row>
    <row r="21" spans="1:4" x14ac:dyDescent="0.25">
      <c r="A21" t="s">
        <v>25</v>
      </c>
      <c r="B21" s="2">
        <v>44001</v>
      </c>
      <c r="C21">
        <v>160000</v>
      </c>
      <c r="D21">
        <v>1049.44</v>
      </c>
    </row>
    <row r="22" spans="1:4" x14ac:dyDescent="0.25">
      <c r="A22" t="s">
        <v>49</v>
      </c>
      <c r="B22" s="2">
        <v>47300</v>
      </c>
      <c r="C22">
        <v>50000</v>
      </c>
      <c r="D22">
        <v>1497.31</v>
      </c>
    </row>
    <row r="26" spans="1:4" x14ac:dyDescent="0.25">
      <c r="A26" t="s">
        <v>14</v>
      </c>
      <c r="C26">
        <v>200000</v>
      </c>
      <c r="D26">
        <v>6889.49</v>
      </c>
    </row>
    <row r="27" spans="1:4" x14ac:dyDescent="0.25">
      <c r="A27" t="s">
        <v>19</v>
      </c>
      <c r="C27">
        <v>56000</v>
      </c>
      <c r="D27">
        <v>876.18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A783-521F-49BE-BCAF-A0FA8FD6C3B9}">
  <dimension ref="A2:R18"/>
  <sheetViews>
    <sheetView tabSelected="1" workbookViewId="0">
      <selection activeCell="J21" sqref="J21"/>
    </sheetView>
  </sheetViews>
  <sheetFormatPr defaultColWidth="8.875" defaultRowHeight="15.75" x14ac:dyDescent="0.25"/>
  <cols>
    <col min="2" max="2" width="12.375" bestFit="1" customWidth="1"/>
  </cols>
  <sheetData>
    <row r="2" spans="1:18" x14ac:dyDescent="0.25">
      <c r="A2" t="s">
        <v>22</v>
      </c>
    </row>
    <row r="3" spans="1:18" x14ac:dyDescent="0.25">
      <c r="B3" t="s">
        <v>51</v>
      </c>
      <c r="C3" t="s">
        <v>52</v>
      </c>
      <c r="D3" t="s">
        <v>50</v>
      </c>
      <c r="F3" t="s">
        <v>23</v>
      </c>
      <c r="I3" t="s">
        <v>24</v>
      </c>
      <c r="L3" t="s">
        <v>53</v>
      </c>
    </row>
    <row r="4" spans="1:18" x14ac:dyDescent="0.25">
      <c r="A4" t="s">
        <v>54</v>
      </c>
      <c r="B4">
        <v>11581.79</v>
      </c>
      <c r="C4">
        <v>18805.060000000001</v>
      </c>
      <c r="F4" t="s">
        <v>54</v>
      </c>
      <c r="G4">
        <v>41992.71</v>
      </c>
      <c r="I4" t="s">
        <v>54</v>
      </c>
      <c r="J4">
        <v>5034.88</v>
      </c>
      <c r="L4" t="s">
        <v>54</v>
      </c>
      <c r="M4">
        <v>193</v>
      </c>
      <c r="N4">
        <v>207.21</v>
      </c>
      <c r="O4">
        <f>(N4-M4)*1000</f>
        <v>14210.000000000007</v>
      </c>
      <c r="Q4">
        <v>200.39</v>
      </c>
      <c r="R4">
        <f>(N4-Q4)*500</f>
        <v>3410.0000000000109</v>
      </c>
    </row>
    <row r="5" spans="1:18" x14ac:dyDescent="0.25">
      <c r="A5" t="s">
        <v>55</v>
      </c>
      <c r="B5">
        <v>200000</v>
      </c>
      <c r="C5">
        <f>C6-C4</f>
        <v>167859.20000000001</v>
      </c>
      <c r="F5" t="s">
        <v>55</v>
      </c>
      <c r="G5">
        <f>G6-G4</f>
        <v>267629.5</v>
      </c>
      <c r="I5" t="s">
        <v>55</v>
      </c>
      <c r="J5">
        <v>220000</v>
      </c>
      <c r="L5" t="s">
        <v>55</v>
      </c>
      <c r="M5">
        <f>193428.46+100195</f>
        <v>293623.45999999996</v>
      </c>
    </row>
    <row r="6" spans="1:18" x14ac:dyDescent="0.25">
      <c r="A6" t="s">
        <v>29</v>
      </c>
      <c r="B6">
        <f>B5+B4</f>
        <v>211581.79</v>
      </c>
      <c r="C6">
        <v>186664.26</v>
      </c>
      <c r="D6">
        <v>3301.86</v>
      </c>
      <c r="F6" t="s">
        <v>29</v>
      </c>
      <c r="G6">
        <v>309622.21000000002</v>
      </c>
      <c r="I6" t="s">
        <v>29</v>
      </c>
      <c r="J6">
        <f>J5+J4</f>
        <v>225034.88</v>
      </c>
      <c r="L6" t="s">
        <v>29</v>
      </c>
      <c r="M6">
        <f>M5+O4+R4</f>
        <v>311243.45999999996</v>
      </c>
    </row>
    <row r="7" spans="1:18" x14ac:dyDescent="0.25">
      <c r="A7" t="s">
        <v>44</v>
      </c>
      <c r="B7" s="3">
        <f>B4/B5</f>
        <v>5.7908950000000008E-2</v>
      </c>
      <c r="C7" s="3">
        <f>C4/C5</f>
        <v>0.11202877173249962</v>
      </c>
      <c r="F7" t="s">
        <v>44</v>
      </c>
      <c r="G7" s="3">
        <f>G4/G5</f>
        <v>0.15690613329248082</v>
      </c>
      <c r="I7" t="s">
        <v>44</v>
      </c>
      <c r="J7" s="3">
        <f>J4/J5</f>
        <v>2.2885818181818181E-2</v>
      </c>
      <c r="L7" t="s">
        <v>44</v>
      </c>
      <c r="M7" s="3">
        <f>O4/M5</f>
        <v>4.8395315551420889E-2</v>
      </c>
    </row>
    <row r="10" spans="1:18" x14ac:dyDescent="0.25">
      <c r="I10" t="s">
        <v>56</v>
      </c>
    </row>
    <row r="12" spans="1:18" x14ac:dyDescent="0.25">
      <c r="A12" t="s">
        <v>54</v>
      </c>
      <c r="B12">
        <f>B4+G4+J4+O4+C4+R4</f>
        <v>95034.440000000017</v>
      </c>
    </row>
    <row r="13" spans="1:18" x14ac:dyDescent="0.25">
      <c r="A13" t="s">
        <v>57</v>
      </c>
      <c r="B13">
        <f>B5+C5+G5+J5+M5</f>
        <v>1149112.1599999999</v>
      </c>
    </row>
    <row r="14" spans="1:18" x14ac:dyDescent="0.25">
      <c r="A14" t="s">
        <v>44</v>
      </c>
      <c r="B14" s="3">
        <f>B12/B13</f>
        <v>8.2702492679217685E-2</v>
      </c>
    </row>
    <row r="15" spans="1:18" x14ac:dyDescent="0.25">
      <c r="A15" t="s">
        <v>29</v>
      </c>
      <c r="B15" s="6">
        <f>B13+B12+D6</f>
        <v>1247448.46</v>
      </c>
    </row>
    <row r="18" spans="2:2" x14ac:dyDescent="0.25">
      <c r="B18" s="6">
        <f>B6+C6+D6+G6+J6+M6</f>
        <v>1247448.46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基金</vt:lpstr>
      <vt:lpstr>理财</vt:lpstr>
      <vt:lpstr>总结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Zhuoyi Ma</cp:lastModifiedBy>
  <dcterms:created xsi:type="dcterms:W3CDTF">2019-12-10T09:33:16Z</dcterms:created>
  <dcterms:modified xsi:type="dcterms:W3CDTF">2020-09-13T12:22:07Z</dcterms:modified>
</cp:coreProperties>
</file>