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8835" yWindow="105" windowWidth="13935" windowHeight="11580" tabRatio="883"/>
  </bookViews>
  <sheets>
    <sheet name="List of tables" sheetId="1" r:id="rId1"/>
    <sheet name="ExplNote" sheetId="2" r:id="rId2"/>
    <sheet name="Cntry" sheetId="3" r:id="rId3"/>
    <sheet name="Flags" sheetId="57" r:id="rId4"/>
    <sheet name="P1" sheetId="4" r:id="rId5"/>
    <sheet name="P2.1" sheetId="5" r:id="rId6"/>
    <sheet name="P2.2" sheetId="6" r:id="rId7"/>
    <sheet name="P3" sheetId="7" r:id="rId8"/>
    <sheet name="P4" sheetId="8" r:id="rId9"/>
    <sheet name="P5" sheetId="9" r:id="rId10"/>
    <sheet name="P6" sheetId="10" r:id="rId11"/>
    <sheet name="P7" sheetId="11" r:id="rId12"/>
    <sheet name="P8" sheetId="12" r:id="rId13"/>
    <sheet name="ED1" sheetId="13" r:id="rId14"/>
    <sheet name="ED2" sheetId="14" r:id="rId15"/>
    <sheet name="ED3" sheetId="15" r:id="rId16"/>
    <sheet name="ED4" sheetId="16" r:id="rId17"/>
    <sheet name="ED5" sheetId="17" r:id="rId18"/>
    <sheet name="ED6" sheetId="55" r:id="rId19"/>
    <sheet name="EMP1" sheetId="18" r:id="rId20"/>
    <sheet name="EMP2.1" sheetId="19" r:id="rId21"/>
    <sheet name="EMP2.2" sheetId="20" r:id="rId22"/>
    <sheet name="EMP2.3" sheetId="21" r:id="rId23"/>
    <sheet name="EMP3" sheetId="22" r:id="rId24"/>
    <sheet name="EMP4" sheetId="46" r:id="rId25"/>
    <sheet name="EMP5" sheetId="24" r:id="rId26"/>
    <sheet name="EMP6.1" sheetId="47" r:id="rId27"/>
    <sheet name="EMP6.2" sheetId="48" r:id="rId28"/>
    <sheet name="EMP7" sheetId="44" r:id="rId29"/>
    <sheet name="EMP8" sheetId="49" r:id="rId30"/>
    <sheet name="EMP9" sheetId="58" r:id="rId31"/>
    <sheet name="EMP10" sheetId="56" r:id="rId32"/>
    <sheet name="PERC1.1" sheetId="28" r:id="rId33"/>
    <sheet name="PERC1.2" sheetId="29" r:id="rId34"/>
    <sheet name="PERC2.1" sheetId="30" r:id="rId35"/>
    <sheet name="PERC2.2" sheetId="45" r:id="rId36"/>
    <sheet name="IMOB1" sheetId="51" r:id="rId37"/>
    <sheet name="IMOB2" sheetId="33" r:id="rId38"/>
    <sheet name="IMOB3" sheetId="34" r:id="rId39"/>
    <sheet name="IMOB4" sheetId="50" r:id="rId40"/>
    <sheet name="OMOB1" sheetId="35" r:id="rId41"/>
    <sheet name="OMOB2" sheetId="36" r:id="rId42"/>
    <sheet name="Tools" sheetId="41" state="hidden" r:id="rId43"/>
    <sheet name="OUTP1" sheetId="52" r:id="rId44"/>
    <sheet name="OUTP2" sheetId="59" r:id="rId45"/>
  </sheets>
  <externalReferences>
    <externalReference r:id="rId46"/>
  </externalReferences>
  <definedNames>
    <definedName name="CntryName">Tools!$B$3:$B$243</definedName>
    <definedName name="CtzCov" localSheetId="30">[1]Tools!$K$14:$K$16</definedName>
    <definedName name="CtzCov">Tools!$K$14:$K$16</definedName>
    <definedName name="GeoCov" localSheetId="30">[1]Tools!$K$21:$K$22</definedName>
    <definedName name="GeoCov">Tools!$K$21:$K$22</definedName>
    <definedName name="Methodo" localSheetId="30">[1]Tools!$K$3:$K$7</definedName>
    <definedName name="Methodo">Tools!$K$3:$K$7</definedName>
    <definedName name="ModelQuest" localSheetId="30">[1]Tools!$I$3:$I$66</definedName>
    <definedName name="ModelQuest">Tools!$I$3:$I$66</definedName>
    <definedName name="Modules">Tools!$G$3:$G$9</definedName>
    <definedName name="RCntryName">Tools!$D$3:$D$43</definedName>
  </definedNames>
  <calcPr calcId="144525"/>
</workbook>
</file>

<file path=xl/calcChain.xml><?xml version="1.0" encoding="utf-8"?>
<calcChain xmlns="http://schemas.openxmlformats.org/spreadsheetml/2006/main">
  <c r="B19" i="5" l="1"/>
  <c r="L29" i="59" l="1"/>
  <c r="J29" i="59"/>
  <c r="H29" i="59"/>
  <c r="F29" i="59"/>
  <c r="D29" i="59"/>
  <c r="B29" i="59"/>
  <c r="L22" i="59"/>
  <c r="J22" i="59"/>
  <c r="H22" i="59"/>
  <c r="F22" i="59"/>
  <c r="D22" i="59"/>
  <c r="B22" i="59"/>
  <c r="B15" i="59"/>
  <c r="D15" i="59"/>
  <c r="F15" i="59"/>
  <c r="H15" i="59"/>
  <c r="J15" i="59"/>
  <c r="L15" i="59"/>
  <c r="L15" i="52"/>
  <c r="J15" i="52"/>
  <c r="H15" i="52"/>
  <c r="F15" i="52"/>
  <c r="D15" i="52"/>
  <c r="B15" i="52"/>
  <c r="AT21" i="49" l="1"/>
  <c r="AT22" i="49"/>
  <c r="AT23" i="49"/>
  <c r="AT24" i="49"/>
  <c r="AT25" i="49"/>
  <c r="AT20" i="49"/>
  <c r="AM25" i="49"/>
  <c r="Z21" i="49"/>
  <c r="Z22" i="49"/>
  <c r="Z23" i="49"/>
  <c r="Z24" i="49"/>
  <c r="Z25" i="49"/>
  <c r="Z20" i="49"/>
  <c r="M21" i="49"/>
  <c r="M22" i="49"/>
  <c r="M23" i="49"/>
  <c r="M24" i="49"/>
  <c r="M25" i="49"/>
  <c r="M20" i="49"/>
  <c r="F25" i="49"/>
  <c r="M53" i="46" l="1"/>
  <c r="K53" i="46"/>
  <c r="E53" i="46"/>
  <c r="I14" i="46"/>
  <c r="K29" i="46"/>
  <c r="C53" i="46"/>
  <c r="P51" i="46"/>
  <c r="P15" i="46"/>
  <c r="P18" i="46"/>
  <c r="P19" i="46"/>
  <c r="P20" i="46"/>
  <c r="P21" i="46"/>
  <c r="P22" i="46"/>
  <c r="P23" i="46"/>
  <c r="P24" i="46"/>
  <c r="P25" i="46"/>
  <c r="P26" i="46"/>
  <c r="P27" i="46"/>
  <c r="P28" i="46"/>
  <c r="P29" i="46"/>
  <c r="P30" i="46"/>
  <c r="P31" i="46"/>
  <c r="P32" i="46"/>
  <c r="P33" i="46"/>
  <c r="P34" i="46"/>
  <c r="P35" i="46"/>
  <c r="P36" i="46"/>
  <c r="P37" i="46"/>
  <c r="P38" i="46"/>
  <c r="P39" i="46"/>
  <c r="P40" i="46"/>
  <c r="P41" i="46"/>
  <c r="P42" i="46"/>
  <c r="P43" i="46"/>
  <c r="P45" i="46"/>
  <c r="P46" i="46"/>
  <c r="P47" i="46"/>
  <c r="P48" i="46"/>
  <c r="P49" i="46"/>
  <c r="P52" i="46"/>
  <c r="M44" i="46"/>
  <c r="M40" i="46"/>
  <c r="M35" i="46"/>
  <c r="M29" i="46"/>
  <c r="M24" i="46"/>
  <c r="M17" i="46"/>
  <c r="P17" i="46" s="1"/>
  <c r="K40" i="46"/>
  <c r="K44" i="46"/>
  <c r="K16" i="46" s="1"/>
  <c r="K14" i="46" s="1"/>
  <c r="K35" i="46"/>
  <c r="K24" i="46"/>
  <c r="K17" i="46"/>
  <c r="I44" i="46"/>
  <c r="I40" i="46"/>
  <c r="I35" i="46"/>
  <c r="I29" i="46"/>
  <c r="I24" i="46"/>
  <c r="I17" i="46"/>
  <c r="G44" i="46"/>
  <c r="G40" i="46"/>
  <c r="G35" i="46"/>
  <c r="G16" i="46" s="1"/>
  <c r="G14" i="46" s="1"/>
  <c r="G29" i="46"/>
  <c r="G24" i="46"/>
  <c r="G17" i="46"/>
  <c r="E44" i="46"/>
  <c r="E40" i="46"/>
  <c r="E35" i="46"/>
  <c r="E29" i="46"/>
  <c r="E24" i="46"/>
  <c r="I16" i="46"/>
  <c r="C44" i="46"/>
  <c r="C40" i="46"/>
  <c r="C35" i="46"/>
  <c r="C29" i="46"/>
  <c r="C24" i="46"/>
  <c r="C17" i="46"/>
  <c r="E17" i="46"/>
  <c r="M34" i="46"/>
  <c r="M16" i="46" l="1"/>
  <c r="M14" i="46" s="1"/>
  <c r="P44" i="46"/>
  <c r="C16" i="46"/>
  <c r="C14" i="46"/>
  <c r="E16" i="46"/>
  <c r="E14" i="46" s="1"/>
  <c r="AF17" i="50"/>
  <c r="AF18" i="50"/>
  <c r="AF19" i="50"/>
  <c r="AF20" i="50"/>
  <c r="AC17" i="50"/>
  <c r="AC19" i="50"/>
  <c r="AC20" i="50"/>
  <c r="Y20" i="50"/>
  <c r="F17" i="50"/>
  <c r="D18" i="50"/>
  <c r="AA18" i="50" s="1"/>
  <c r="D17" i="50"/>
  <c r="AA17" i="50" s="1"/>
  <c r="D16" i="50"/>
  <c r="AA16" i="50" s="1"/>
  <c r="D19" i="50"/>
  <c r="AA19" i="50" s="1"/>
  <c r="D20" i="50"/>
  <c r="AA20" i="50" s="1"/>
  <c r="B19" i="50"/>
  <c r="I19" i="50" s="1"/>
  <c r="B18" i="50"/>
  <c r="Y18" i="50" s="1"/>
  <c r="B17" i="50"/>
  <c r="Y17" i="50" s="1"/>
  <c r="B16" i="50"/>
  <c r="Y16" i="50" s="1"/>
  <c r="B20" i="50"/>
  <c r="F16" i="50"/>
  <c r="I16" i="50" s="1"/>
  <c r="F18" i="50"/>
  <c r="AC18" i="50" s="1"/>
  <c r="I20" i="50"/>
  <c r="O18" i="50"/>
  <c r="M16" i="50"/>
  <c r="M17" i="50"/>
  <c r="R17" i="50"/>
  <c r="R16" i="50"/>
  <c r="O16" i="50"/>
  <c r="M18" i="50"/>
  <c r="R18" i="50" s="1"/>
  <c r="M20" i="50"/>
  <c r="R20" i="50" s="1"/>
  <c r="M19" i="50"/>
  <c r="R19" i="50" s="1"/>
  <c r="O14" i="50"/>
  <c r="R14" i="50" s="1"/>
  <c r="M14" i="50"/>
  <c r="F14" i="50"/>
  <c r="AC14" i="50" s="1"/>
  <c r="D14" i="50"/>
  <c r="AA14" i="50" s="1"/>
  <c r="B14" i="50"/>
  <c r="I14" i="50" s="1"/>
  <c r="I18" i="50"/>
  <c r="P14" i="46" l="1"/>
  <c r="P16" i="46"/>
  <c r="Y14" i="50"/>
  <c r="AF14" i="50" s="1"/>
  <c r="AC16" i="50"/>
  <c r="AF16" i="50" s="1"/>
  <c r="I17" i="50"/>
  <c r="Y19" i="50"/>
  <c r="G16" i="34"/>
  <c r="G17" i="34"/>
  <c r="G18" i="34"/>
  <c r="G19" i="34"/>
  <c r="G20" i="34"/>
  <c r="G21" i="34"/>
  <c r="G22" i="34"/>
  <c r="G15" i="34"/>
  <c r="D15" i="34"/>
  <c r="B15" i="34"/>
  <c r="D21" i="34"/>
  <c r="B21" i="34"/>
  <c r="D18" i="34"/>
  <c r="B18" i="34"/>
  <c r="G14" i="51"/>
  <c r="G15" i="51"/>
  <c r="G16" i="51"/>
  <c r="D14" i="51"/>
  <c r="D15" i="51"/>
  <c r="B16" i="51"/>
  <c r="B15" i="51"/>
  <c r="B14" i="51"/>
  <c r="L23" i="44" l="1"/>
  <c r="U23" i="22"/>
  <c r="N23" i="22"/>
  <c r="G23" i="22"/>
  <c r="AB23" i="22"/>
  <c r="U15" i="22"/>
  <c r="U16" i="22"/>
  <c r="U17" i="22"/>
  <c r="U18" i="22"/>
  <c r="U19" i="22"/>
  <c r="U20" i="22"/>
  <c r="U21" i="22"/>
  <c r="U14" i="22"/>
  <c r="R14" i="22"/>
  <c r="P14" i="22"/>
  <c r="N15" i="22"/>
  <c r="N16" i="22"/>
  <c r="N17" i="22"/>
  <c r="N18" i="22"/>
  <c r="N19" i="22"/>
  <c r="N20" i="22"/>
  <c r="N21" i="22"/>
  <c r="N14" i="22"/>
  <c r="K20" i="22"/>
  <c r="K17" i="22"/>
  <c r="K15" i="22"/>
  <c r="K14" i="22"/>
  <c r="I14" i="22"/>
  <c r="G15" i="22"/>
  <c r="G16" i="22"/>
  <c r="G17" i="22"/>
  <c r="G18" i="22"/>
  <c r="G19" i="22"/>
  <c r="G20" i="22"/>
  <c r="G21" i="22"/>
  <c r="G14" i="22"/>
  <c r="D14" i="22"/>
  <c r="B14" i="22"/>
  <c r="AB15" i="22"/>
  <c r="AB16" i="22"/>
  <c r="AB17" i="22"/>
  <c r="AB18" i="22"/>
  <c r="AB19" i="22"/>
  <c r="AB20" i="22"/>
  <c r="AB21" i="22"/>
  <c r="AB22" i="22"/>
  <c r="AB14" i="22"/>
  <c r="AA14" i="22"/>
  <c r="Y14" i="22"/>
  <c r="W14" i="22"/>
  <c r="N14" i="21"/>
  <c r="I14" i="21"/>
  <c r="P14" i="21"/>
  <c r="U14" i="21" s="1"/>
  <c r="B14" i="21"/>
  <c r="G14" i="21"/>
  <c r="C14" i="9"/>
  <c r="E14" i="9"/>
  <c r="L15" i="8"/>
  <c r="G13" i="7"/>
  <c r="D13" i="7"/>
  <c r="B13" i="7"/>
  <c r="G16" i="36"/>
  <c r="G17" i="36"/>
  <c r="G18" i="36"/>
  <c r="G19" i="36"/>
  <c r="G20" i="36"/>
  <c r="G21" i="36"/>
  <c r="G15" i="36"/>
  <c r="D15" i="36"/>
  <c r="D16" i="36"/>
  <c r="B15" i="36"/>
  <c r="B19" i="36"/>
  <c r="B21" i="36"/>
  <c r="B20" i="36"/>
  <c r="B18" i="36"/>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31" i="35"/>
  <c r="G15" i="35"/>
  <c r="G16" i="35"/>
  <c r="G14" i="35"/>
  <c r="D78" i="35"/>
  <c r="B78" i="35"/>
  <c r="B77" i="35"/>
  <c r="B76" i="35"/>
  <c r="B70" i="35"/>
  <c r="B31" i="35"/>
  <c r="D14" i="35" l="1"/>
  <c r="D16" i="35"/>
  <c r="D15" i="35"/>
  <c r="B14" i="35"/>
  <c r="B16" i="35"/>
  <c r="B15" i="35"/>
  <c r="AB14" i="45"/>
  <c r="AB15" i="45"/>
  <c r="AB16" i="45"/>
  <c r="AB17" i="45"/>
  <c r="AB18" i="45"/>
  <c r="AB19" i="45"/>
  <c r="AB20" i="45"/>
  <c r="AB21" i="45"/>
  <c r="AB22" i="45"/>
  <c r="AB23" i="45"/>
  <c r="AB24" i="45"/>
  <c r="AB13" i="45"/>
  <c r="U14" i="45"/>
  <c r="U15" i="45"/>
  <c r="U16" i="45"/>
  <c r="U17" i="45"/>
  <c r="U18" i="45"/>
  <c r="U19" i="45"/>
  <c r="U20" i="45"/>
  <c r="U21" i="45"/>
  <c r="U22" i="45"/>
  <c r="U23" i="45"/>
  <c r="U24" i="45"/>
  <c r="U13" i="45"/>
  <c r="N14" i="45"/>
  <c r="N15" i="45"/>
  <c r="N16" i="45"/>
  <c r="N17" i="45"/>
  <c r="N18" i="45"/>
  <c r="N19" i="45"/>
  <c r="N20" i="45"/>
  <c r="N21" i="45"/>
  <c r="N22" i="45"/>
  <c r="N23" i="45"/>
  <c r="N24" i="45"/>
  <c r="N13" i="45"/>
  <c r="G14" i="45"/>
  <c r="G15" i="45"/>
  <c r="G16" i="45"/>
  <c r="G17" i="45"/>
  <c r="G18" i="45"/>
  <c r="G19" i="45"/>
  <c r="G20" i="45"/>
  <c r="G21" i="45"/>
  <c r="G22" i="45"/>
  <c r="G23" i="45"/>
  <c r="G24" i="45"/>
  <c r="G13" i="45"/>
  <c r="AB14" i="30"/>
  <c r="AB15" i="30"/>
  <c r="AB16" i="30"/>
  <c r="AB17" i="30"/>
  <c r="AB18" i="30"/>
  <c r="AB19" i="30"/>
  <c r="AB20" i="30"/>
  <c r="AB21" i="30"/>
  <c r="AB22" i="30"/>
  <c r="AB23" i="30"/>
  <c r="AB24" i="30"/>
  <c r="AB13" i="30"/>
  <c r="U14" i="30"/>
  <c r="U15" i="30"/>
  <c r="U16" i="30"/>
  <c r="U17" i="30"/>
  <c r="U18" i="30"/>
  <c r="U19" i="30"/>
  <c r="U20" i="30"/>
  <c r="U21" i="30"/>
  <c r="U22" i="30"/>
  <c r="U23" i="30"/>
  <c r="U24" i="30"/>
  <c r="U13" i="30"/>
  <c r="N14" i="30"/>
  <c r="N15" i="30"/>
  <c r="N16" i="30"/>
  <c r="N17" i="30"/>
  <c r="N18" i="30"/>
  <c r="N19" i="30"/>
  <c r="N20" i="30"/>
  <c r="N21" i="30"/>
  <c r="N22" i="30"/>
  <c r="N23" i="30"/>
  <c r="N24" i="30"/>
  <c r="N13" i="30"/>
  <c r="G14" i="30"/>
  <c r="G15" i="30"/>
  <c r="G16" i="30"/>
  <c r="G17" i="30"/>
  <c r="G18" i="30"/>
  <c r="G19" i="30"/>
  <c r="G20" i="30"/>
  <c r="G21" i="30"/>
  <c r="G22" i="30"/>
  <c r="G23" i="30"/>
  <c r="G24" i="30"/>
  <c r="G13" i="30"/>
  <c r="AB15" i="29"/>
  <c r="AB16" i="29"/>
  <c r="AB17" i="29"/>
  <c r="AB18" i="29"/>
  <c r="AB19" i="29"/>
  <c r="AB20" i="29"/>
  <c r="AB14" i="29"/>
  <c r="Y15" i="29"/>
  <c r="Y16" i="29"/>
  <c r="Y17" i="29"/>
  <c r="Y18" i="29"/>
  <c r="Y19" i="29"/>
  <c r="Y20" i="29"/>
  <c r="W15" i="29"/>
  <c r="W16" i="29"/>
  <c r="W17" i="29"/>
  <c r="W18" i="29"/>
  <c r="W19" i="29"/>
  <c r="W20" i="29"/>
  <c r="Y14" i="29"/>
  <c r="W14" i="29"/>
  <c r="U15" i="29"/>
  <c r="U16" i="29"/>
  <c r="U17" i="29"/>
  <c r="U18" i="29"/>
  <c r="U19" i="29"/>
  <c r="U20" i="29"/>
  <c r="U14" i="29"/>
  <c r="R14" i="29"/>
  <c r="P14" i="29"/>
  <c r="N15" i="29"/>
  <c r="N16" i="29"/>
  <c r="N17" i="29"/>
  <c r="N18" i="29"/>
  <c r="N19" i="29"/>
  <c r="N20" i="29"/>
  <c r="N14" i="29"/>
  <c r="K14" i="29"/>
  <c r="I14" i="29"/>
  <c r="G15" i="29"/>
  <c r="G16" i="29"/>
  <c r="G17" i="29"/>
  <c r="G18" i="29"/>
  <c r="G19" i="29"/>
  <c r="G20" i="29"/>
  <c r="G14" i="29"/>
  <c r="D14" i="29"/>
  <c r="B14" i="29"/>
  <c r="AB15" i="28"/>
  <c r="AB16" i="28"/>
  <c r="AB17" i="28"/>
  <c r="AB18" i="28"/>
  <c r="AB19" i="28"/>
  <c r="AB20" i="28"/>
  <c r="AB21" i="28"/>
  <c r="AB22" i="28"/>
  <c r="AB23" i="28"/>
  <c r="AB24" i="28"/>
  <c r="AB25" i="28"/>
  <c r="AB26" i="28"/>
  <c r="AB27" i="28"/>
  <c r="AB28" i="28"/>
  <c r="AB29" i="28"/>
  <c r="AB30" i="28"/>
  <c r="AB31" i="28"/>
  <c r="AB32" i="28"/>
  <c r="AB33" i="28"/>
  <c r="AB34" i="28"/>
  <c r="AB35" i="28"/>
  <c r="AB36" i="28"/>
  <c r="AB37" i="28"/>
  <c r="AB38" i="28"/>
  <c r="AB39" i="28"/>
  <c r="Y15" i="28"/>
  <c r="Y16" i="28"/>
  <c r="Y17" i="28"/>
  <c r="Y18" i="28"/>
  <c r="Y19" i="28"/>
  <c r="Y20" i="28"/>
  <c r="Y21" i="28"/>
  <c r="Y22" i="28"/>
  <c r="Y23" i="28"/>
  <c r="Y24" i="28"/>
  <c r="Y25" i="28"/>
  <c r="Y26" i="28"/>
  <c r="Y27" i="28"/>
  <c r="Y28" i="28"/>
  <c r="Y29" i="28"/>
  <c r="Y30" i="28"/>
  <c r="Y31" i="28"/>
  <c r="Y32" i="28"/>
  <c r="Y33" i="28"/>
  <c r="Y34" i="28"/>
  <c r="Y35" i="28"/>
  <c r="Y36" i="28"/>
  <c r="Y37" i="28"/>
  <c r="Y38" i="28"/>
  <c r="Y39" i="28"/>
  <c r="W15" i="28"/>
  <c r="W16" i="28"/>
  <c r="W17" i="28"/>
  <c r="W18" i="28"/>
  <c r="W19" i="28"/>
  <c r="W20" i="28"/>
  <c r="W21" i="28"/>
  <c r="W22" i="28"/>
  <c r="W23" i="28"/>
  <c r="W24" i="28"/>
  <c r="W25" i="28"/>
  <c r="W26" i="28"/>
  <c r="W27" i="28"/>
  <c r="W28" i="28"/>
  <c r="W29" i="28"/>
  <c r="W30" i="28"/>
  <c r="W31" i="28"/>
  <c r="W32" i="28"/>
  <c r="W33" i="28"/>
  <c r="W34" i="28"/>
  <c r="W35" i="28"/>
  <c r="W36" i="28"/>
  <c r="W37" i="28"/>
  <c r="W38" i="28"/>
  <c r="W39" i="28"/>
  <c r="AB14" i="28"/>
  <c r="Y14" i="28"/>
  <c r="W14" i="28"/>
  <c r="N15" i="28"/>
  <c r="N16" i="28"/>
  <c r="N17" i="28"/>
  <c r="N18" i="28"/>
  <c r="N19" i="28"/>
  <c r="N20" i="28"/>
  <c r="N21" i="28"/>
  <c r="N22" i="28"/>
  <c r="N23" i="28"/>
  <c r="N24" i="28"/>
  <c r="N25" i="28"/>
  <c r="N26" i="28"/>
  <c r="N27" i="28"/>
  <c r="N28" i="28"/>
  <c r="N29" i="28"/>
  <c r="N30" i="28"/>
  <c r="N31" i="28"/>
  <c r="N32" i="28"/>
  <c r="N33" i="28"/>
  <c r="N34" i="28"/>
  <c r="N35" i="28"/>
  <c r="N36" i="28"/>
  <c r="N37" i="28"/>
  <c r="N38" i="28"/>
  <c r="N39" i="28"/>
  <c r="N14" i="28"/>
  <c r="K14" i="28"/>
  <c r="K16" i="28"/>
  <c r="K15" i="28"/>
  <c r="I14" i="28"/>
  <c r="I16" i="28"/>
  <c r="I15" i="28"/>
  <c r="U15" i="28"/>
  <c r="U16" i="28"/>
  <c r="U17" i="28"/>
  <c r="U18" i="28"/>
  <c r="U19" i="28"/>
  <c r="U20" i="28"/>
  <c r="U21" i="28"/>
  <c r="U22" i="28"/>
  <c r="U23" i="28"/>
  <c r="U24" i="28"/>
  <c r="U25" i="28"/>
  <c r="U26" i="28"/>
  <c r="U27" i="28"/>
  <c r="U28" i="28"/>
  <c r="U29" i="28"/>
  <c r="U30" i="28"/>
  <c r="U31" i="28"/>
  <c r="U32" i="28"/>
  <c r="U33" i="28"/>
  <c r="U34" i="28"/>
  <c r="U35" i="28"/>
  <c r="U36" i="28"/>
  <c r="U37" i="28"/>
  <c r="U38" i="28"/>
  <c r="U39" i="28"/>
  <c r="U14" i="28"/>
  <c r="R14" i="28"/>
  <c r="P14" i="28"/>
  <c r="R16" i="28"/>
  <c r="P16" i="28"/>
  <c r="G15" i="28"/>
  <c r="G16" i="28"/>
  <c r="G17" i="28"/>
  <c r="G18" i="28"/>
  <c r="G19" i="28"/>
  <c r="G20" i="28"/>
  <c r="G21" i="28"/>
  <c r="G22" i="28"/>
  <c r="G23" i="28"/>
  <c r="G24" i="28"/>
  <c r="G25" i="28"/>
  <c r="G26" i="28"/>
  <c r="G27" i="28"/>
  <c r="G28" i="28"/>
  <c r="G29" i="28"/>
  <c r="G30" i="28"/>
  <c r="G31" i="28"/>
  <c r="G32" i="28"/>
  <c r="G33" i="28"/>
  <c r="G34" i="28"/>
  <c r="G35" i="28"/>
  <c r="G36" i="28"/>
  <c r="G37" i="28"/>
  <c r="G38" i="28"/>
  <c r="G39" i="28"/>
  <c r="G14" i="28"/>
  <c r="D14" i="28"/>
  <c r="D16" i="28"/>
  <c r="D15" i="28"/>
  <c r="B14" i="28"/>
  <c r="B16" i="28"/>
  <c r="B15" i="28"/>
  <c r="AT15" i="49"/>
  <c r="AT16" i="49"/>
  <c r="AT14" i="49"/>
  <c r="Z15" i="49"/>
  <c r="Z16" i="49"/>
  <c r="Z14" i="49"/>
  <c r="M15" i="49"/>
  <c r="M16" i="49"/>
  <c r="M14" i="49"/>
  <c r="Z31" i="24" l="1"/>
  <c r="Z32" i="24"/>
  <c r="Z33" i="24"/>
  <c r="Z34" i="24"/>
  <c r="Z35" i="24"/>
  <c r="Z36" i="24"/>
  <c r="Z30" i="24"/>
  <c r="W30" i="24"/>
  <c r="U30" i="24"/>
  <c r="S30" i="24"/>
  <c r="Q30" i="24"/>
  <c r="O30" i="24"/>
  <c r="Z23" i="24"/>
  <c r="Z24" i="24"/>
  <c r="Z25" i="24"/>
  <c r="Z26" i="24"/>
  <c r="Z27" i="24"/>
  <c r="Z28" i="24"/>
  <c r="Z22" i="24"/>
  <c r="W22" i="24"/>
  <c r="U22" i="24"/>
  <c r="S22" i="24"/>
  <c r="Q22" i="24"/>
  <c r="O22" i="24"/>
  <c r="M31" i="24"/>
  <c r="M32" i="24"/>
  <c r="M33" i="24"/>
  <c r="M34" i="24"/>
  <c r="M35" i="24"/>
  <c r="M36" i="24"/>
  <c r="M30" i="24"/>
  <c r="J30" i="24"/>
  <c r="H30" i="24"/>
  <c r="F30" i="24"/>
  <c r="D30" i="24"/>
  <c r="B30" i="24"/>
  <c r="M23" i="24"/>
  <c r="M24" i="24"/>
  <c r="M25" i="24"/>
  <c r="M26" i="24"/>
  <c r="M27" i="24"/>
  <c r="M28" i="24"/>
  <c r="M22" i="24"/>
  <c r="J22" i="24"/>
  <c r="H22" i="24"/>
  <c r="F22" i="24"/>
  <c r="D22" i="24"/>
  <c r="B22" i="24"/>
  <c r="AT31" i="24"/>
  <c r="AT32" i="24"/>
  <c r="AT33" i="24"/>
  <c r="AT34" i="24"/>
  <c r="AT35" i="24"/>
  <c r="AT36" i="24"/>
  <c r="AT30" i="24"/>
  <c r="AQ30" i="24"/>
  <c r="AO30" i="24"/>
  <c r="AM30" i="24"/>
  <c r="AK30" i="24"/>
  <c r="AI30" i="24"/>
  <c r="AT23" i="24"/>
  <c r="AT24" i="24"/>
  <c r="AT25" i="24"/>
  <c r="AT26" i="24"/>
  <c r="AT27" i="24"/>
  <c r="AT28" i="24"/>
  <c r="AT22" i="24"/>
  <c r="AQ22" i="24"/>
  <c r="AO22" i="24"/>
  <c r="AM22" i="24"/>
  <c r="AK22" i="24"/>
  <c r="AI22" i="24"/>
  <c r="AQ14" i="24"/>
  <c r="AT14" i="24"/>
  <c r="AT15" i="24"/>
  <c r="AT16" i="24"/>
  <c r="AT17" i="24"/>
  <c r="AT18" i="24"/>
  <c r="AT19" i="24"/>
  <c r="AT20" i="24"/>
  <c r="AO14" i="24"/>
  <c r="AM14" i="24"/>
  <c r="AK14" i="24"/>
  <c r="AI14" i="24"/>
  <c r="Z15" i="24"/>
  <c r="Z16" i="24"/>
  <c r="Z17" i="24"/>
  <c r="Z18" i="24"/>
  <c r="Z19" i="24"/>
  <c r="Z20" i="24"/>
  <c r="Z14" i="24"/>
  <c r="W14" i="24"/>
  <c r="U14" i="24"/>
  <c r="S14" i="24"/>
  <c r="Q14" i="24"/>
  <c r="O14" i="24"/>
  <c r="M15" i="24"/>
  <c r="M16" i="24"/>
  <c r="M17" i="24"/>
  <c r="M18" i="24"/>
  <c r="M19" i="24"/>
  <c r="M20" i="24"/>
  <c r="M14" i="24"/>
  <c r="J14" i="24"/>
  <c r="H14" i="24"/>
  <c r="F14" i="24"/>
  <c r="D14" i="24"/>
  <c r="B14" i="24"/>
  <c r="Y14" i="21" l="1"/>
  <c r="AA14" i="21"/>
  <c r="W14" i="21"/>
  <c r="K17" i="21"/>
  <c r="AA16" i="21"/>
  <c r="Y16" i="21"/>
  <c r="W16" i="21"/>
  <c r="AB17" i="21"/>
  <c r="AB18" i="21"/>
  <c r="AB16" i="21"/>
  <c r="AB14" i="21" s="1"/>
  <c r="U17" i="21"/>
  <c r="U18" i="21"/>
  <c r="U19" i="21"/>
  <c r="U20" i="21"/>
  <c r="R16" i="21"/>
  <c r="P16" i="21"/>
  <c r="K16" i="21"/>
  <c r="K14" i="21" s="1"/>
  <c r="I16" i="21"/>
  <c r="N17" i="21"/>
  <c r="N18" i="21"/>
  <c r="N19" i="21"/>
  <c r="N20" i="21"/>
  <c r="N15" i="21"/>
  <c r="G18" i="21"/>
  <c r="G17" i="21"/>
  <c r="G16" i="21"/>
  <c r="D16" i="21"/>
  <c r="D14" i="21" s="1"/>
  <c r="B16" i="21"/>
  <c r="U15" i="21"/>
  <c r="K15" i="21"/>
  <c r="G15" i="21"/>
  <c r="AB15" i="21"/>
  <c r="U15" i="20"/>
  <c r="U16" i="20"/>
  <c r="U17" i="20"/>
  <c r="U18" i="20"/>
  <c r="U19" i="20"/>
  <c r="U20" i="20"/>
  <c r="U14" i="20"/>
  <c r="R14" i="20"/>
  <c r="P14" i="20"/>
  <c r="K19" i="20"/>
  <c r="N19" i="20" s="1"/>
  <c r="K18" i="20"/>
  <c r="K17" i="20"/>
  <c r="K16" i="20"/>
  <c r="K15" i="20"/>
  <c r="N15" i="20"/>
  <c r="N16" i="20"/>
  <c r="N17" i="20"/>
  <c r="N18" i="20"/>
  <c r="N20" i="20"/>
  <c r="I14" i="20"/>
  <c r="G15" i="20"/>
  <c r="G16" i="20"/>
  <c r="G17" i="20"/>
  <c r="G18" i="20"/>
  <c r="G19" i="20"/>
  <c r="G20" i="20"/>
  <c r="G14" i="20"/>
  <c r="D14" i="20"/>
  <c r="B14" i="20"/>
  <c r="AB15" i="20"/>
  <c r="AB16" i="20"/>
  <c r="AB17" i="20"/>
  <c r="AB18" i="20"/>
  <c r="AB19" i="20"/>
  <c r="AB20" i="20"/>
  <c r="AB14" i="20"/>
  <c r="AA14" i="20"/>
  <c r="Y14" i="20"/>
  <c r="W14" i="20"/>
  <c r="AB15" i="19"/>
  <c r="AB16" i="19"/>
  <c r="AB17" i="19"/>
  <c r="AB18" i="19"/>
  <c r="AB19" i="19"/>
  <c r="AB20" i="19"/>
  <c r="AB21" i="19"/>
  <c r="AB14" i="19"/>
  <c r="U15" i="19"/>
  <c r="U16" i="19"/>
  <c r="U17" i="19"/>
  <c r="U18" i="19"/>
  <c r="U19" i="19"/>
  <c r="U20" i="19"/>
  <c r="U21" i="19"/>
  <c r="U14" i="19"/>
  <c r="R14" i="19"/>
  <c r="P14" i="19"/>
  <c r="K20" i="19"/>
  <c r="K19" i="19"/>
  <c r="K18" i="19"/>
  <c r="K17" i="19"/>
  <c r="K16" i="19"/>
  <c r="K15" i="19"/>
  <c r="N15" i="19"/>
  <c r="N16" i="19"/>
  <c r="N17" i="19"/>
  <c r="N18" i="19"/>
  <c r="N19" i="19"/>
  <c r="N20" i="19"/>
  <c r="N21" i="19"/>
  <c r="K14" i="19"/>
  <c r="N14" i="19" s="1"/>
  <c r="I14" i="19"/>
  <c r="U16" i="21" l="1"/>
  <c r="R14" i="21"/>
  <c r="N16" i="21"/>
  <c r="K14" i="20"/>
  <c r="N14" i="20" s="1"/>
  <c r="G15" i="19" l="1"/>
  <c r="G16" i="19"/>
  <c r="G17" i="19"/>
  <c r="G18" i="19"/>
  <c r="G19" i="19"/>
  <c r="G20" i="19"/>
  <c r="G14" i="19"/>
  <c r="U14" i="18"/>
  <c r="R14" i="18"/>
  <c r="P14" i="18"/>
  <c r="R68" i="18"/>
  <c r="R70" i="18"/>
  <c r="U70" i="18" s="1"/>
  <c r="R69" i="18"/>
  <c r="P68" i="18"/>
  <c r="P70" i="18"/>
  <c r="P69" i="18"/>
  <c r="R41" i="18"/>
  <c r="U41" i="18" s="1"/>
  <c r="R43" i="18"/>
  <c r="U43" i="18"/>
  <c r="R42" i="18"/>
  <c r="P41" i="18"/>
  <c r="P43" i="18"/>
  <c r="P42" i="18"/>
  <c r="U15" i="18"/>
  <c r="U16" i="18"/>
  <c r="U17" i="18"/>
  <c r="U18" i="18"/>
  <c r="U19" i="18"/>
  <c r="U20" i="18"/>
  <c r="U21" i="18"/>
  <c r="U22" i="18"/>
  <c r="U23" i="18"/>
  <c r="U24" i="18"/>
  <c r="U25" i="18"/>
  <c r="U26" i="18"/>
  <c r="U27" i="18"/>
  <c r="U28" i="18"/>
  <c r="U29" i="18"/>
  <c r="U30" i="18"/>
  <c r="U31" i="18"/>
  <c r="U32" i="18"/>
  <c r="U33" i="18"/>
  <c r="U34" i="18"/>
  <c r="U35" i="18"/>
  <c r="U36" i="18"/>
  <c r="U37" i="18"/>
  <c r="U38" i="18"/>
  <c r="U39" i="18"/>
  <c r="U40" i="18"/>
  <c r="U42" i="18"/>
  <c r="U44" i="18"/>
  <c r="U45" i="18"/>
  <c r="U46" i="18"/>
  <c r="U47" i="18"/>
  <c r="U48" i="18"/>
  <c r="U49" i="18"/>
  <c r="U50" i="18"/>
  <c r="U51" i="18"/>
  <c r="U52" i="18"/>
  <c r="U53" i="18"/>
  <c r="U54" i="18"/>
  <c r="U55" i="18"/>
  <c r="U56" i="18"/>
  <c r="U57" i="18"/>
  <c r="U58" i="18"/>
  <c r="U59" i="18"/>
  <c r="U60" i="18"/>
  <c r="U61" i="18"/>
  <c r="U62" i="18"/>
  <c r="U63" i="18"/>
  <c r="U64" i="18"/>
  <c r="U65" i="18"/>
  <c r="U66" i="18"/>
  <c r="U67" i="18"/>
  <c r="U68" i="18"/>
  <c r="U69" i="18"/>
  <c r="U71" i="18"/>
  <c r="U72" i="18"/>
  <c r="U73" i="18"/>
  <c r="U74" i="18"/>
  <c r="U75" i="18"/>
  <c r="U76" i="18"/>
  <c r="U77" i="18"/>
  <c r="U78" i="18"/>
  <c r="U79" i="18"/>
  <c r="U80" i="18"/>
  <c r="U81" i="18"/>
  <c r="U82" i="18"/>
  <c r="U83" i="18"/>
  <c r="U84" i="18"/>
  <c r="U85" i="18"/>
  <c r="U86" i="18"/>
  <c r="U87" i="18"/>
  <c r="U88" i="18"/>
  <c r="U89" i="18"/>
  <c r="U90" i="18"/>
  <c r="U91" i="18"/>
  <c r="U92" i="18"/>
  <c r="U93" i="18"/>
  <c r="U94" i="18"/>
  <c r="R16" i="18"/>
  <c r="R15" i="18"/>
  <c r="P16" i="18"/>
  <c r="P15"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14" i="18"/>
  <c r="K68" i="18"/>
  <c r="K41" i="18"/>
  <c r="K14" i="18"/>
  <c r="K70" i="18"/>
  <c r="K69" i="18"/>
  <c r="I68" i="18"/>
  <c r="K43" i="18"/>
  <c r="K42" i="18"/>
  <c r="I70" i="18"/>
  <c r="I69" i="18"/>
  <c r="I41" i="18"/>
  <c r="I43" i="18"/>
  <c r="I42" i="18"/>
  <c r="K34" i="18"/>
  <c r="K35" i="18"/>
  <c r="K36" i="18"/>
  <c r="K37" i="18"/>
  <c r="K38" i="18"/>
  <c r="K39" i="18"/>
  <c r="K25" i="18"/>
  <c r="K24" i="18"/>
  <c r="K15" i="18"/>
  <c r="I14" i="18"/>
  <c r="I16" i="18"/>
  <c r="I15" i="18"/>
  <c r="K16" i="18" l="1"/>
  <c r="AB69" i="18"/>
  <c r="AB71" i="18"/>
  <c r="AB72" i="18"/>
  <c r="AB73" i="18"/>
  <c r="AB74" i="18"/>
  <c r="AB75" i="18"/>
  <c r="AB76" i="18"/>
  <c r="AB77" i="18"/>
  <c r="AB78" i="18"/>
  <c r="AB79" i="18"/>
  <c r="AB80" i="18"/>
  <c r="AB81" i="18"/>
  <c r="AB82" i="18"/>
  <c r="AB83" i="18"/>
  <c r="AB84" i="18"/>
  <c r="AB85" i="18"/>
  <c r="AB86" i="18"/>
  <c r="AB87" i="18"/>
  <c r="AB88" i="18"/>
  <c r="AB89" i="18"/>
  <c r="AB90" i="18"/>
  <c r="AB91" i="18"/>
  <c r="AB92" i="18"/>
  <c r="AB93" i="18"/>
  <c r="AA70" i="18"/>
  <c r="AB70" i="18" s="1"/>
  <c r="AA91"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68" i="18"/>
  <c r="D68" i="18"/>
  <c r="D70" i="18"/>
  <c r="D69" i="18"/>
  <c r="B68" i="18"/>
  <c r="B70" i="18"/>
  <c r="B69" i="18"/>
  <c r="Y68" i="18"/>
  <c r="Y70" i="18"/>
  <c r="W70" i="18"/>
  <c r="W68" i="18" s="1"/>
  <c r="AB42" i="18"/>
  <c r="AB43" i="18"/>
  <c r="AB44" i="18"/>
  <c r="AB45" i="18"/>
  <c r="AB46" i="18"/>
  <c r="AB47" i="18"/>
  <c r="AB48" i="18"/>
  <c r="AB49" i="18"/>
  <c r="AB50" i="18"/>
  <c r="AB51" i="18"/>
  <c r="AB52" i="18"/>
  <c r="AB53" i="18"/>
  <c r="AB54" i="18"/>
  <c r="AB55" i="18"/>
  <c r="AB56" i="18"/>
  <c r="AB57" i="18"/>
  <c r="AB58" i="18"/>
  <c r="AB59" i="18"/>
  <c r="AB60" i="18"/>
  <c r="AB61" i="18"/>
  <c r="AB62" i="18"/>
  <c r="AB63" i="18"/>
  <c r="AB64" i="18"/>
  <c r="AB65" i="18"/>
  <c r="AB66" i="18"/>
  <c r="AB67" i="18"/>
  <c r="AB41" i="18"/>
  <c r="AA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41" i="18"/>
  <c r="D41" i="18"/>
  <c r="D43" i="18"/>
  <c r="D42" i="18"/>
  <c r="B41" i="18"/>
  <c r="AA43" i="18"/>
  <c r="AA42" i="18"/>
  <c r="B43" i="18"/>
  <c r="B42" i="18"/>
  <c r="Y41" i="18"/>
  <c r="W41" i="18"/>
  <c r="Y43" i="18"/>
  <c r="Y42" i="18"/>
  <c r="W43" i="18"/>
  <c r="W49" i="18"/>
  <c r="W42" i="18"/>
  <c r="AA16" i="18"/>
  <c r="AA14" i="18" s="1"/>
  <c r="W16" i="18"/>
  <c r="W14" i="18" s="1"/>
  <c r="Y16" i="18"/>
  <c r="Y14" i="18" s="1"/>
  <c r="AB17" i="18"/>
  <c r="AB18" i="18"/>
  <c r="AB19" i="18"/>
  <c r="AB20" i="18"/>
  <c r="AB21" i="18"/>
  <c r="AB22" i="18"/>
  <c r="AB23" i="18"/>
  <c r="AB24" i="18"/>
  <c r="AB25" i="18"/>
  <c r="AB26" i="18"/>
  <c r="AB27" i="18"/>
  <c r="AB28" i="18"/>
  <c r="AB29" i="18"/>
  <c r="AB30" i="18"/>
  <c r="AB31" i="18"/>
  <c r="AB32" i="18"/>
  <c r="AB33" i="18"/>
  <c r="AB34" i="18"/>
  <c r="AB35" i="18"/>
  <c r="AB36" i="18"/>
  <c r="AB37" i="18"/>
  <c r="AB38" i="18"/>
  <c r="AB39" i="18"/>
  <c r="AB40" i="18"/>
  <c r="AB15" i="18"/>
  <c r="G14" i="18"/>
  <c r="D16" i="18"/>
  <c r="D15" i="18"/>
  <c r="B16" i="18"/>
  <c r="D14" i="18"/>
  <c r="B14"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15" i="18"/>
  <c r="L14" i="17"/>
  <c r="J14" i="17"/>
  <c r="H14" i="17"/>
  <c r="F14" i="17"/>
  <c r="D14" i="17"/>
  <c r="B14" i="17"/>
  <c r="O23" i="17"/>
  <c r="AA68" i="18" l="1"/>
  <c r="AB68" i="18" s="1"/>
  <c r="AB16" i="18"/>
  <c r="AB14" i="18" s="1"/>
  <c r="O14" i="17"/>
  <c r="B14" i="16" l="1"/>
  <c r="B22" i="16"/>
  <c r="D17" i="15"/>
  <c r="D16" i="15"/>
  <c r="B17" i="15"/>
  <c r="B18" i="15"/>
  <c r="G17" i="15"/>
  <c r="G18" i="15" s="1"/>
  <c r="D18" i="15"/>
  <c r="I20" i="14"/>
  <c r="H19" i="14"/>
  <c r="H25" i="14"/>
  <c r="H24" i="14"/>
  <c r="H20" i="14"/>
  <c r="H27" i="14"/>
  <c r="H14" i="14"/>
  <c r="H15" i="14"/>
  <c r="B23" i="14"/>
  <c r="L19" i="13"/>
  <c r="B23" i="13"/>
  <c r="C15" i="12"/>
  <c r="D13" i="10" l="1"/>
  <c r="C62" i="9"/>
  <c r="C51" i="9"/>
  <c r="C44" i="9"/>
  <c r="C37" i="9"/>
  <c r="C24" i="9"/>
  <c r="C15" i="9"/>
  <c r="B19" i="8"/>
  <c r="B18" i="8"/>
  <c r="B17" i="8"/>
  <c r="B16" i="8"/>
  <c r="B15" i="8"/>
  <c r="G19" i="7"/>
  <c r="G18" i="7"/>
  <c r="B14" i="7"/>
  <c r="K15" i="6"/>
  <c r="L15" i="6"/>
  <c r="F16" i="6"/>
  <c r="D16" i="6"/>
  <c r="B16" i="6"/>
  <c r="U17" i="5"/>
  <c r="N17" i="5"/>
  <c r="G16" i="5"/>
  <c r="G17" i="5"/>
  <c r="G13" i="4"/>
  <c r="B15" i="18"/>
  <c r="Y15" i="18"/>
  <c r="O16" i="17" l="1"/>
  <c r="O17" i="17"/>
  <c r="O18" i="17"/>
  <c r="O19" i="17"/>
  <c r="O20" i="17"/>
  <c r="O21" i="17"/>
  <c r="O15" i="17"/>
  <c r="B30" i="16"/>
  <c r="G15" i="15" l="1"/>
  <c r="G16" i="15"/>
  <c r="G14" i="15"/>
  <c r="L20" i="14"/>
  <c r="L24" i="14"/>
  <c r="I21" i="14"/>
  <c r="L21" i="14" s="1"/>
  <c r="I22" i="14"/>
  <c r="L22" i="14" s="1"/>
  <c r="I23" i="14"/>
  <c r="L23" i="14" s="1"/>
  <c r="I24" i="14"/>
  <c r="I25" i="14"/>
  <c r="L25" i="14" s="1"/>
  <c r="I26" i="14"/>
  <c r="L26" i="14" s="1"/>
  <c r="I27" i="14"/>
  <c r="L27" i="14" s="1"/>
  <c r="I28" i="14"/>
  <c r="L28" i="14" s="1"/>
  <c r="I19" i="14" l="1"/>
  <c r="L19" i="14" s="1"/>
  <c r="F23" i="14"/>
  <c r="D23" i="14"/>
  <c r="F14" i="14"/>
  <c r="D14" i="14"/>
  <c r="B14" i="14"/>
  <c r="I16" i="14"/>
  <c r="L16" i="14" s="1"/>
  <c r="I15" i="14"/>
  <c r="I19" i="13"/>
  <c r="L28" i="13"/>
  <c r="I28" i="13"/>
  <c r="L27" i="13"/>
  <c r="I27" i="13"/>
  <c r="L26" i="13"/>
  <c r="I26" i="13"/>
  <c r="I23" i="13"/>
  <c r="F23" i="13"/>
  <c r="D23" i="13"/>
  <c r="L25" i="13"/>
  <c r="I25" i="13"/>
  <c r="L24" i="13"/>
  <c r="L23" i="13" s="1"/>
  <c r="I24" i="13"/>
  <c r="L22" i="13"/>
  <c r="I22" i="13"/>
  <c r="L21" i="13"/>
  <c r="I21" i="13"/>
  <c r="I20" i="13"/>
  <c r="L20" i="13" s="1"/>
  <c r="L16" i="13"/>
  <c r="L15" i="13"/>
  <c r="I16" i="13"/>
  <c r="I15" i="13"/>
  <c r="I14" i="13"/>
  <c r="F14" i="13"/>
  <c r="D14" i="13"/>
  <c r="B14" i="13"/>
  <c r="L14" i="13" s="1"/>
  <c r="I14" i="14" l="1"/>
  <c r="L15" i="14"/>
  <c r="L14" i="14" s="1"/>
  <c r="L20" i="11"/>
  <c r="H40" i="9"/>
  <c r="G22" i="7"/>
  <c r="M19" i="5"/>
  <c r="N18" i="5"/>
  <c r="G19" i="10"/>
  <c r="B15" i="10"/>
  <c r="B13" i="10"/>
  <c r="H37" i="12" l="1"/>
  <c r="C24" i="12"/>
  <c r="H24" i="12"/>
  <c r="E24" i="12"/>
  <c r="H62" i="12"/>
  <c r="E62" i="12"/>
  <c r="C62" i="12"/>
  <c r="E51" i="12"/>
  <c r="C51" i="12"/>
  <c r="C14" i="12" s="1"/>
  <c r="H44" i="12"/>
  <c r="E44" i="12"/>
  <c r="C44" i="12"/>
  <c r="E37" i="12"/>
  <c r="C37" i="12"/>
  <c r="E15" i="12"/>
  <c r="H15" i="12"/>
  <c r="E14" i="12"/>
  <c r="H64" i="12"/>
  <c r="H65" i="12"/>
  <c r="H66" i="12"/>
  <c r="H67" i="12"/>
  <c r="H63" i="12"/>
  <c r="H53" i="12"/>
  <c r="H54" i="12"/>
  <c r="H55" i="12"/>
  <c r="H56" i="12"/>
  <c r="H57" i="12"/>
  <c r="H58" i="12"/>
  <c r="H59" i="12"/>
  <c r="H60" i="12"/>
  <c r="H52" i="12"/>
  <c r="H17" i="12"/>
  <c r="H18" i="12"/>
  <c r="H19" i="12"/>
  <c r="H20" i="12"/>
  <c r="H21" i="12"/>
  <c r="H22" i="12"/>
  <c r="H16" i="12"/>
  <c r="H46" i="12"/>
  <c r="H47" i="12"/>
  <c r="H48" i="12"/>
  <c r="H49" i="12"/>
  <c r="H45" i="12"/>
  <c r="H39" i="12"/>
  <c r="H40" i="12"/>
  <c r="H41" i="12"/>
  <c r="H42" i="12"/>
  <c r="H38" i="12"/>
  <c r="H26" i="12"/>
  <c r="H27" i="12"/>
  <c r="H28" i="12"/>
  <c r="H29" i="12"/>
  <c r="H30" i="12"/>
  <c r="H31" i="12"/>
  <c r="H32" i="12"/>
  <c r="H33" i="12"/>
  <c r="H34" i="12"/>
  <c r="H35" i="12"/>
  <c r="H25" i="12"/>
  <c r="L16" i="11"/>
  <c r="L17" i="11"/>
  <c r="L18" i="11"/>
  <c r="L19" i="11"/>
  <c r="L15" i="11"/>
  <c r="I21" i="11"/>
  <c r="I16" i="11"/>
  <c r="I17" i="11"/>
  <c r="I18" i="11"/>
  <c r="I19" i="11"/>
  <c r="I15" i="11"/>
  <c r="F21" i="11"/>
  <c r="D21" i="11"/>
  <c r="H21" i="11"/>
  <c r="B21" i="11"/>
  <c r="D19" i="5"/>
  <c r="D78" i="10"/>
  <c r="G16" i="10"/>
  <c r="G17" i="10"/>
  <c r="G18" i="10"/>
  <c r="G14" i="10"/>
  <c r="D15" i="10"/>
  <c r="H51" i="12" l="1"/>
  <c r="H14" i="12" s="1"/>
  <c r="L21" i="11"/>
  <c r="G15" i="10"/>
  <c r="G13" i="10"/>
  <c r="E15" i="9" l="1"/>
  <c r="E24" i="9"/>
  <c r="E37" i="9"/>
  <c r="E44" i="9"/>
  <c r="E51" i="9"/>
  <c r="E62" i="9"/>
  <c r="H64" i="9"/>
  <c r="H65" i="9"/>
  <c r="H66" i="9"/>
  <c r="H67" i="9"/>
  <c r="H63" i="9"/>
  <c r="H58" i="9"/>
  <c r="H53" i="9"/>
  <c r="H54" i="9"/>
  <c r="H55" i="9"/>
  <c r="H56" i="9"/>
  <c r="H57" i="9"/>
  <c r="H59" i="9"/>
  <c r="H60" i="9"/>
  <c r="H52" i="9"/>
  <c r="H62" i="9" l="1"/>
  <c r="H51" i="9"/>
  <c r="H46" i="9"/>
  <c r="H47" i="9"/>
  <c r="H48" i="9"/>
  <c r="H49" i="9"/>
  <c r="H45" i="9"/>
  <c r="H39" i="9"/>
  <c r="H41" i="9"/>
  <c r="H42" i="9"/>
  <c r="H38" i="9"/>
  <c r="H26" i="9"/>
  <c r="H27" i="9"/>
  <c r="H28" i="9"/>
  <c r="H29" i="9"/>
  <c r="H30" i="9"/>
  <c r="H31" i="9"/>
  <c r="H32" i="9"/>
  <c r="H33" i="9"/>
  <c r="H34" i="9"/>
  <c r="H35" i="9"/>
  <c r="H25" i="9"/>
  <c r="H17" i="9"/>
  <c r="H18" i="9"/>
  <c r="H19" i="9"/>
  <c r="H20" i="9"/>
  <c r="H21" i="9"/>
  <c r="H22" i="9"/>
  <c r="H16" i="9"/>
  <c r="E21" i="9"/>
  <c r="E19" i="9"/>
  <c r="E18" i="9"/>
  <c r="E16" i="9"/>
  <c r="H44" i="9" l="1"/>
  <c r="H37" i="9"/>
  <c r="H24" i="9"/>
  <c r="H15" i="9"/>
  <c r="I21" i="8"/>
  <c r="L19" i="8"/>
  <c r="L16" i="8"/>
  <c r="L17" i="8"/>
  <c r="L18" i="8"/>
  <c r="I16" i="8"/>
  <c r="I17" i="8"/>
  <c r="I18" i="8"/>
  <c r="I19" i="8"/>
  <c r="I15" i="8"/>
  <c r="F21" i="8"/>
  <c r="D21" i="8"/>
  <c r="B21" i="8"/>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36" i="7"/>
  <c r="D81" i="7"/>
  <c r="D14" i="7"/>
  <c r="D18" i="7"/>
  <c r="B18" i="7"/>
  <c r="G20" i="7"/>
  <c r="G16" i="7"/>
  <c r="G15" i="7"/>
  <c r="I16" i="6"/>
  <c r="L16" i="6" s="1"/>
  <c r="I15" i="6"/>
  <c r="R19" i="5"/>
  <c r="P19" i="5"/>
  <c r="U19" i="5" s="1"/>
  <c r="K19" i="5"/>
  <c r="I19" i="5"/>
  <c r="N19" i="5"/>
  <c r="G19" i="5"/>
  <c r="G14" i="4"/>
  <c r="G15" i="4"/>
  <c r="G16" i="4"/>
  <c r="G17" i="4"/>
  <c r="D19" i="4"/>
  <c r="B19" i="4"/>
  <c r="H14" i="9" l="1"/>
  <c r="L21" i="8"/>
  <c r="G14" i="7"/>
  <c r="G19" i="4"/>
  <c r="A16" i="35"/>
  <c r="A15" i="35"/>
  <c r="C69" i="1"/>
  <c r="C68" i="1"/>
  <c r="C50" i="1"/>
  <c r="C36" i="1"/>
  <c r="C51" i="1"/>
  <c r="A14" i="50"/>
  <c r="A14" i="34"/>
  <c r="A14" i="33"/>
  <c r="B13" i="51"/>
  <c r="G14" i="36"/>
  <c r="F14" i="36"/>
  <c r="D14" i="36"/>
  <c r="B14" i="36"/>
  <c r="B13" i="36"/>
  <c r="B13" i="35"/>
  <c r="G14" i="34"/>
  <c r="F14" i="34"/>
  <c r="D14" i="34"/>
  <c r="B14" i="34"/>
  <c r="B13" i="34"/>
  <c r="B11" i="50"/>
  <c r="G14" i="33"/>
  <c r="F14" i="33"/>
  <c r="D14" i="33"/>
  <c r="B14" i="33"/>
  <c r="C59" i="1"/>
  <c r="C62" i="1"/>
  <c r="C49" i="1"/>
  <c r="C47" i="1"/>
  <c r="C46" i="1"/>
  <c r="C44" i="1"/>
  <c r="C21" i="1"/>
  <c r="C56" i="1"/>
  <c r="C22" i="1"/>
  <c r="C13" i="12"/>
  <c r="B13" i="33"/>
  <c r="C48" i="1"/>
  <c r="A15" i="21"/>
  <c r="A14" i="15"/>
  <c r="B13" i="13"/>
  <c r="C13" i="9"/>
  <c r="B14" i="8"/>
  <c r="B14" i="6"/>
  <c r="B13" i="15"/>
  <c r="A15" i="14"/>
  <c r="B13" i="14"/>
  <c r="A15" i="13"/>
  <c r="B14" i="11"/>
  <c r="A17" i="10"/>
  <c r="A16" i="10"/>
  <c r="A14" i="10"/>
  <c r="A18" i="7"/>
  <c r="A14" i="7"/>
  <c r="I12" i="5"/>
  <c r="B12" i="5"/>
  <c r="C65" i="1"/>
  <c r="C64" i="1"/>
  <c r="C61" i="1"/>
  <c r="C60" i="1"/>
  <c r="C55" i="1"/>
  <c r="C54" i="1"/>
  <c r="C53" i="1"/>
  <c r="C45" i="1"/>
  <c r="C43" i="1"/>
  <c r="C42" i="1"/>
  <c r="C41" i="1"/>
  <c r="C40" i="1"/>
  <c r="C39" i="1"/>
  <c r="C35" i="1"/>
  <c r="C34" i="1"/>
  <c r="C33" i="1"/>
  <c r="C32" i="1"/>
  <c r="C31" i="1"/>
  <c r="C28" i="1"/>
  <c r="C27" i="1"/>
  <c r="C26" i="1"/>
  <c r="C25" i="1"/>
  <c r="C24" i="1"/>
  <c r="C23" i="1"/>
  <c r="C20" i="1"/>
</calcChain>
</file>

<file path=xl/sharedStrings.xml><?xml version="1.0" encoding="utf-8"?>
<sst xmlns="http://schemas.openxmlformats.org/spreadsheetml/2006/main" count="2716" uniqueCount="1066">
  <si>
    <t>MENU: List of tables</t>
  </si>
  <si>
    <t>Metadata and country specificities</t>
  </si>
  <si>
    <t>1-  Personal characteristics</t>
  </si>
  <si>
    <t>2-  Education characteristics</t>
  </si>
  <si>
    <t>3-  Employment situations and perceptions</t>
  </si>
  <si>
    <t>4-  International mobility: inward and outward</t>
  </si>
  <si>
    <t>Back to menu</t>
  </si>
  <si>
    <t>Go to country metadata</t>
  </si>
  <si>
    <t>To fill-in the output tables</t>
  </si>
  <si>
    <t>*</t>
  </si>
  <si>
    <t>Go to explanatory note</t>
  </si>
  <si>
    <t>Preliminary Table. Metadata and country specificities</t>
  </si>
  <si>
    <t>Reporting country:</t>
  </si>
  <si>
    <t>Russian Federation</t>
  </si>
  <si>
    <t>Time of data collection:</t>
  </si>
  <si>
    <t>Contact person(s) for CDH statistics:</t>
  </si>
  <si>
    <t>Institution</t>
  </si>
  <si>
    <t>Name</t>
  </si>
  <si>
    <t xml:space="preserve">Email </t>
  </si>
  <si>
    <t>PERSONAL CHARACTERISTICS</t>
  </si>
  <si>
    <t>Table P1. Doctorate Holders by Sex and Age class</t>
  </si>
  <si>
    <t>(Number of persons)</t>
  </si>
  <si>
    <t>Men</t>
  </si>
  <si>
    <t>Women</t>
  </si>
  <si>
    <t>Unknown</t>
  </si>
  <si>
    <t>TOTAL</t>
  </si>
  <si>
    <t>Less than 35 years old</t>
  </si>
  <si>
    <t>35-44 years old</t>
  </si>
  <si>
    <t>45-54 years old</t>
  </si>
  <si>
    <t>55-64 years old</t>
  </si>
  <si>
    <t>65-69 years old</t>
  </si>
  <si>
    <t>GRAND TOTAL</t>
  </si>
  <si>
    <t>Notes:</t>
  </si>
  <si>
    <t>Source(s) of data:</t>
  </si>
  <si>
    <t>Year of reference:</t>
  </si>
  <si>
    <t>of which</t>
  </si>
  <si>
    <t>of which:</t>
  </si>
  <si>
    <t>All foreign citizens</t>
  </si>
  <si>
    <t>EU foreign citizens*</t>
  </si>
  <si>
    <t>Citizens by birth</t>
  </si>
  <si>
    <t>Citizens by naturalisation</t>
  </si>
  <si>
    <t>Unknown type</t>
  </si>
  <si>
    <t>Total</t>
  </si>
  <si>
    <t>Permanent residents</t>
  </si>
  <si>
    <t>Non-permanent residents</t>
  </si>
  <si>
    <t>Unknown status</t>
  </si>
  <si>
    <t>Natives</t>
  </si>
  <si>
    <t>Foreign born</t>
  </si>
  <si>
    <t>* Requested for EU countries</t>
  </si>
  <si>
    <t xml:space="preserve"> </t>
  </si>
  <si>
    <t>Foreign citizens</t>
  </si>
  <si>
    <t>Citizens</t>
  </si>
  <si>
    <t>citizenship</t>
  </si>
  <si>
    <t>Grand Total Doctorate Holders</t>
  </si>
  <si>
    <r>
      <rPr>
        <i/>
        <sz val="8"/>
        <rFont val="Arial"/>
        <family val="2"/>
      </rPr>
      <t>of which</t>
    </r>
    <r>
      <rPr>
        <sz val="8"/>
        <rFont val="Arial"/>
        <family val="2"/>
      </rPr>
      <t>:
College, University and Higher Education teaching professionals (ISCO 231)</t>
    </r>
  </si>
  <si>
    <t>Table P3. Doctorate Holders by Sex and Country of Citizenship</t>
  </si>
  <si>
    <t>- Citizens by birth</t>
  </si>
  <si>
    <t>- Citizens by naturalisation</t>
  </si>
  <si>
    <t>- Unknown type of citizenship</t>
  </si>
  <si>
    <t>- Permanent residents</t>
  </si>
  <si>
    <t>- Non-permanent residents</t>
  </si>
  <si>
    <t>- Unknown residential status</t>
  </si>
  <si>
    <t>Unknown country of citizenship</t>
  </si>
  <si>
    <t>Region of citizenship:</t>
  </si>
  <si>
    <t>Total European Union</t>
  </si>
  <si>
    <t>Total OECD</t>
  </si>
  <si>
    <t>Total non OECD</t>
  </si>
  <si>
    <t>Total Africa</t>
  </si>
  <si>
    <t>Total America</t>
  </si>
  <si>
    <t>Total Central and South America</t>
  </si>
  <si>
    <t>Total Asia</t>
  </si>
  <si>
    <t>Total Europe</t>
  </si>
  <si>
    <t>Total Oceania</t>
  </si>
  <si>
    <t>Country of citizenship:</t>
  </si>
  <si>
    <t>Argentina</t>
  </si>
  <si>
    <t>Austria</t>
  </si>
  <si>
    <t>Australia</t>
  </si>
  <si>
    <t>Belgium</t>
  </si>
  <si>
    <t>Bulgaria</t>
  </si>
  <si>
    <t>Canada</t>
  </si>
  <si>
    <t>China</t>
  </si>
  <si>
    <t>Croatia</t>
  </si>
  <si>
    <t>Cyprus</t>
  </si>
  <si>
    <t>Czech Republic</t>
  </si>
  <si>
    <t>Denmark</t>
  </si>
  <si>
    <t>Estonia</t>
  </si>
  <si>
    <t>Finland</t>
  </si>
  <si>
    <t>Former Yugoslav Republic of Macedonia</t>
  </si>
  <si>
    <t>France</t>
  </si>
  <si>
    <t>Germany</t>
  </si>
  <si>
    <t>Greece</t>
  </si>
  <si>
    <t>Hungary</t>
  </si>
  <si>
    <t>Iceland</t>
  </si>
  <si>
    <t>India</t>
  </si>
  <si>
    <t>Ireland</t>
  </si>
  <si>
    <t>Italy</t>
  </si>
  <si>
    <t>Japan</t>
  </si>
  <si>
    <t>Korea</t>
  </si>
  <si>
    <t>Latvia</t>
  </si>
  <si>
    <t>Lithuania</t>
  </si>
  <si>
    <t>Luxembourg</t>
  </si>
  <si>
    <t>Malaysia</t>
  </si>
  <si>
    <t>Malta</t>
  </si>
  <si>
    <t>Mexico</t>
  </si>
  <si>
    <t>Netherlands</t>
  </si>
  <si>
    <t>Norway</t>
  </si>
  <si>
    <t>Poland</t>
  </si>
  <si>
    <t>Portugal</t>
  </si>
  <si>
    <t>Romania</t>
  </si>
  <si>
    <t>Slovenia</t>
  </si>
  <si>
    <t>Spain</t>
  </si>
  <si>
    <t>Sweden</t>
  </si>
  <si>
    <t>Switzerland</t>
  </si>
  <si>
    <t>Turkey</t>
  </si>
  <si>
    <t>Uganda</t>
  </si>
  <si>
    <t>Ukraine</t>
  </si>
  <si>
    <t>United Kingdom</t>
  </si>
  <si>
    <t>United States</t>
  </si>
  <si>
    <t>Add another country*</t>
  </si>
  <si>
    <t xml:space="preserve">* Please, add any other individual country for which there is a significant amount of foreign citizens in your country. </t>
  </si>
  <si>
    <t xml:space="preserve"> If filling in individual country data poses confidentiality problems, please report observations to regional aggregate groupings only.</t>
  </si>
  <si>
    <t xml:space="preserve"> For regional groupings that are not automatically calculated in the cells, please refer to http://unstats.un.org/unsd/methods/m49/m49regin.htm </t>
  </si>
  <si>
    <t>Foreign</t>
  </si>
  <si>
    <t>citizens</t>
  </si>
  <si>
    <t>NATURAL SCIENCES</t>
  </si>
  <si>
    <t>1.1</t>
  </si>
  <si>
    <t xml:space="preserve">Mathematics </t>
  </si>
  <si>
    <t>1.2</t>
  </si>
  <si>
    <r>
      <t>Computer and information sciences</t>
    </r>
    <r>
      <rPr>
        <sz val="10"/>
        <rFont val="Arial"/>
        <family val="2"/>
      </rPr>
      <t xml:space="preserve"> </t>
    </r>
    <r>
      <rPr>
        <sz val="8"/>
        <rFont val="Arial"/>
        <family val="2"/>
      </rPr>
      <t>(excluding hardware development and social aspect)</t>
    </r>
  </si>
  <si>
    <t>1.3</t>
  </si>
  <si>
    <t xml:space="preserve">Physical sciences </t>
  </si>
  <si>
    <t>1.4</t>
  </si>
  <si>
    <t>Chemical sciences</t>
  </si>
  <si>
    <t>1.5</t>
  </si>
  <si>
    <t>Earth and environmental sciences</t>
  </si>
  <si>
    <t>1.6</t>
  </si>
  <si>
    <r>
      <t>Biological sciences</t>
    </r>
    <r>
      <rPr>
        <sz val="8"/>
        <rFont val="Arial"/>
        <family val="2"/>
      </rPr>
      <t xml:space="preserve"> (excluding medical and agricultural sciences)</t>
    </r>
  </si>
  <si>
    <t>Other natural sciences</t>
  </si>
  <si>
    <t>Unspecified natural sciences</t>
  </si>
  <si>
    <t>ENGINEERING AND TECHNOLOGY</t>
  </si>
  <si>
    <t>2.1</t>
  </si>
  <si>
    <t>Civil engineering</t>
  </si>
  <si>
    <t>2.2</t>
  </si>
  <si>
    <t>Electrical engineering, electronic engineering, information engineering</t>
  </si>
  <si>
    <t>2.3</t>
  </si>
  <si>
    <t>Mechanical engineering</t>
  </si>
  <si>
    <t>2.4</t>
  </si>
  <si>
    <t>Chemical engineering</t>
  </si>
  <si>
    <t>2.5</t>
  </si>
  <si>
    <t>Materials engineering</t>
  </si>
  <si>
    <t xml:space="preserve">2.6 </t>
  </si>
  <si>
    <t>Medical engineering</t>
  </si>
  <si>
    <t>2.7</t>
  </si>
  <si>
    <t>Environmental engineering</t>
  </si>
  <si>
    <t>2.8</t>
  </si>
  <si>
    <t>Environmental biotechnology</t>
  </si>
  <si>
    <t>2.9</t>
  </si>
  <si>
    <t>Industrial biotechnology</t>
  </si>
  <si>
    <t>Nanotechnology</t>
  </si>
  <si>
    <r>
      <t>Other engineering and technologies</t>
    </r>
    <r>
      <rPr>
        <sz val="8"/>
        <rFont val="Arial"/>
        <family val="2"/>
      </rPr>
      <t xml:space="preserve"> (food, beverages and other)</t>
    </r>
  </si>
  <si>
    <t>Unspecified engineering and technology</t>
  </si>
  <si>
    <t>MEDICAL AND HEALTH SCIENCES</t>
  </si>
  <si>
    <t>3.1</t>
  </si>
  <si>
    <t>Basic medicine</t>
  </si>
  <si>
    <t>3.2</t>
  </si>
  <si>
    <t>Clinical medicine</t>
  </si>
  <si>
    <t>3.3</t>
  </si>
  <si>
    <t>Health sciences</t>
  </si>
  <si>
    <t>Medical biotechnology</t>
  </si>
  <si>
    <r>
      <t>Other medical sciences</t>
    </r>
    <r>
      <rPr>
        <sz val="8"/>
        <rFont val="Arial"/>
        <family val="2"/>
      </rPr>
      <t xml:space="preserve"> (forensic and other medical sciences)</t>
    </r>
  </si>
  <si>
    <t>Unspecified medical and health sciences</t>
  </si>
  <si>
    <t>AGRICULTURAL SCIENCES</t>
  </si>
  <si>
    <t>4.1</t>
  </si>
  <si>
    <t>Agriculture, forestry and fisheries</t>
  </si>
  <si>
    <t>4.2</t>
  </si>
  <si>
    <t>Animal and dairy science</t>
  </si>
  <si>
    <t>Veterinary science</t>
  </si>
  <si>
    <t>Agricultural biotechnology</t>
  </si>
  <si>
    <t>Other agricultural sciences</t>
  </si>
  <si>
    <t>Unspecified agricultural sciences</t>
  </si>
  <si>
    <t>SOCIAL SCIENCES</t>
  </si>
  <si>
    <t>5.1</t>
  </si>
  <si>
    <t xml:space="preserve">Psychology </t>
  </si>
  <si>
    <t>5.2</t>
  </si>
  <si>
    <t>Economics and business</t>
  </si>
  <si>
    <t>5.3</t>
  </si>
  <si>
    <t>Educational sciences</t>
  </si>
  <si>
    <t>5.4</t>
  </si>
  <si>
    <t>Sociology</t>
  </si>
  <si>
    <t>5.5</t>
  </si>
  <si>
    <t>Law</t>
  </si>
  <si>
    <t>Political science</t>
  </si>
  <si>
    <t>Social and economic geography</t>
  </si>
  <si>
    <t>Media and communications</t>
  </si>
  <si>
    <t>Other social sciences</t>
  </si>
  <si>
    <t>Unspecified social sciences</t>
  </si>
  <si>
    <t>HUMANITIES</t>
  </si>
  <si>
    <t>6.1</t>
  </si>
  <si>
    <t>History and Archaeology</t>
  </si>
  <si>
    <t>6.2</t>
  </si>
  <si>
    <t>Languages and literature</t>
  </si>
  <si>
    <t>6.3</t>
  </si>
  <si>
    <t xml:space="preserve">Philosophy, ethics and religion </t>
  </si>
  <si>
    <t>6.4</t>
  </si>
  <si>
    <r>
      <t>Arts</t>
    </r>
    <r>
      <rPr>
        <sz val="8"/>
        <rFont val="Arial"/>
        <family val="2"/>
      </rPr>
      <t xml:space="preserve"> (arts, history of arts, performing arts, music)</t>
    </r>
  </si>
  <si>
    <t>6.5</t>
  </si>
  <si>
    <t>Other humanities</t>
  </si>
  <si>
    <t>Unspecified humanities</t>
  </si>
  <si>
    <t>UNSPECIFIED FIELD OF DOCTORATE DEGREE</t>
  </si>
  <si>
    <t>Source(s)</t>
  </si>
  <si>
    <t>Table P6. Doctorate Holders by Sex and Country of Birth</t>
  </si>
  <si>
    <t>- Unkown status of residence</t>
  </si>
  <si>
    <t>Unknown country of birth</t>
  </si>
  <si>
    <t>Region of birth:</t>
  </si>
  <si>
    <t>Country of birth:</t>
  </si>
  <si>
    <t>New Zealand</t>
  </si>
  <si>
    <t>Slovak Republic</t>
  </si>
  <si>
    <t>Foreign Born</t>
  </si>
  <si>
    <t>Born in</t>
  </si>
  <si>
    <t>place of birth</t>
  </si>
  <si>
    <t>Table P8. Doctorate Holders by Place of Birth and Field of Doctorate Degree</t>
  </si>
  <si>
    <t>born</t>
  </si>
  <si>
    <t>EDUCATION CHARACTERISTICS</t>
  </si>
  <si>
    <t>Doctorate degree received in a foreign country</t>
  </si>
  <si>
    <t>Unknown country of doctorate award</t>
  </si>
  <si>
    <t>Total North America (Canada, Mexico, United States)</t>
  </si>
  <si>
    <t>Place of doctoral degree award</t>
  </si>
  <si>
    <t>Place of prior education</t>
  </si>
  <si>
    <t>In another country</t>
  </si>
  <si>
    <t>Unknown place of doctorate award</t>
  </si>
  <si>
    <r>
      <t xml:space="preserve">    </t>
    </r>
    <r>
      <rPr>
        <i/>
        <sz val="10"/>
        <rFont val="Arial"/>
        <family val="2"/>
      </rPr>
      <t xml:space="preserve">of which: </t>
    </r>
    <r>
      <rPr>
        <sz val="10"/>
        <rFont val="Arial"/>
        <family val="2"/>
      </rPr>
      <t>in the same country as the doctorate</t>
    </r>
  </si>
  <si>
    <t>Unknown place of prior education</t>
  </si>
  <si>
    <t>(Number of persons, number of years, number of months)</t>
  </si>
  <si>
    <t>Number</t>
  </si>
  <si>
    <t>Average</t>
  </si>
  <si>
    <t>Median</t>
  </si>
  <si>
    <t>Natural sciences</t>
  </si>
  <si>
    <t>Engineering and technology</t>
  </si>
  <si>
    <t>Medical sciences</t>
  </si>
  <si>
    <t>Agricultural sciences</t>
  </si>
  <si>
    <t>Social sciences</t>
  </si>
  <si>
    <t>Humanities</t>
  </si>
  <si>
    <t>Unspecified field</t>
  </si>
  <si>
    <t>Field of Doctorate Degree</t>
  </si>
  <si>
    <t>Primary source of funding</t>
  </si>
  <si>
    <t>Teaching and/or research assistantship</t>
  </si>
  <si>
    <t>Other occupation</t>
  </si>
  <si>
    <t>Total number of respondents</t>
  </si>
  <si>
    <t>EMPLOYMENT SITUATIONS AND PERCEPTIONS</t>
  </si>
  <si>
    <t>Employed</t>
  </si>
  <si>
    <t>Unemployed</t>
  </si>
  <si>
    <t>Inactive</t>
  </si>
  <si>
    <t>Unspecified</t>
  </si>
  <si>
    <t>YEAR OF</t>
  </si>
  <si>
    <t>Situation in employment</t>
  </si>
  <si>
    <t>Type of contracts</t>
  </si>
  <si>
    <t>Working time</t>
  </si>
  <si>
    <t>employment</t>
  </si>
  <si>
    <t>DOCTORATE AWARD</t>
  </si>
  <si>
    <t>Unspecified situation</t>
  </si>
  <si>
    <t>Permanent contract</t>
  </si>
  <si>
    <t>Temporary contract</t>
  </si>
  <si>
    <t>Unspecified contract</t>
  </si>
  <si>
    <t>Full-time employment</t>
  </si>
  <si>
    <t>Part-time employment</t>
  </si>
  <si>
    <t>Unspecified working time</t>
  </si>
  <si>
    <t>status</t>
  </si>
  <si>
    <t>Unknown gender</t>
  </si>
  <si>
    <t>of data:</t>
  </si>
  <si>
    <t>Field of doctorate degree</t>
  </si>
  <si>
    <r>
      <rPr>
        <i/>
        <sz val="8"/>
        <rFont val="Arial"/>
        <family val="2"/>
      </rPr>
      <t>of which:</t>
    </r>
    <r>
      <rPr>
        <sz val="10"/>
        <rFont val="Arial"/>
        <family val="2"/>
      </rPr>
      <t xml:space="preserve">
   Natural sciences</t>
    </r>
  </si>
  <si>
    <t>Unknown field</t>
  </si>
  <si>
    <t>Table EMP2.2. Doctorate Holders by Employment Status and Age Class</t>
  </si>
  <si>
    <t>Age class</t>
  </si>
  <si>
    <r>
      <rPr>
        <i/>
        <sz val="8"/>
        <rFont val="Arial"/>
        <family val="2"/>
      </rPr>
      <t>of which:</t>
    </r>
    <r>
      <rPr>
        <sz val="10"/>
        <rFont val="Arial"/>
        <family val="2"/>
      </rPr>
      <t xml:space="preserve">
   Less than 35 years old</t>
    </r>
  </si>
  <si>
    <t>Unknown age class</t>
  </si>
  <si>
    <t>Foreign Citizens</t>
  </si>
  <si>
    <t>Unknown citizenship</t>
  </si>
  <si>
    <t>Primary Source of Funding</t>
  </si>
  <si>
    <t>Code</t>
  </si>
  <si>
    <t>Title</t>
  </si>
  <si>
    <t>PROFESSIONALS</t>
  </si>
  <si>
    <t xml:space="preserve">  Life science professionals</t>
  </si>
  <si>
    <t xml:space="preserve">  Nursing and midwifery professionals</t>
  </si>
  <si>
    <t>Teaching professionals</t>
  </si>
  <si>
    <t xml:space="preserve">  Other teaching professionals</t>
  </si>
  <si>
    <t>Unspecified professionals</t>
  </si>
  <si>
    <t>Other</t>
  </si>
  <si>
    <t>UNSPECIFIED OCCUPATIONS</t>
  </si>
  <si>
    <t>Employed as researcher</t>
  </si>
  <si>
    <t>Employed but not as researcher</t>
  </si>
  <si>
    <t>Sector of employment</t>
  </si>
  <si>
    <t>Business enterprise sector</t>
  </si>
  <si>
    <t>Government sector</t>
  </si>
  <si>
    <t xml:space="preserve">Higher education sector </t>
  </si>
  <si>
    <t>Private non-profit sector</t>
  </si>
  <si>
    <t>Postdocs</t>
  </si>
  <si>
    <r>
      <rPr>
        <i/>
        <sz val="9"/>
        <rFont val="Arial"/>
        <family val="2"/>
      </rPr>
      <t xml:space="preserve">of which: </t>
    </r>
    <r>
      <rPr>
        <b/>
        <sz val="10"/>
        <rFont val="Arial"/>
        <family val="2"/>
      </rPr>
      <t xml:space="preserve">
   Men</t>
    </r>
  </si>
  <si>
    <r>
      <rPr>
        <i/>
        <sz val="9"/>
        <rFont val="Arial"/>
        <family val="2"/>
      </rPr>
      <t xml:space="preserve">of which: </t>
    </r>
    <r>
      <rPr>
        <b/>
        <sz val="10"/>
        <rFont val="Arial"/>
        <family val="2"/>
      </rPr>
      <t xml:space="preserve">
   Women</t>
    </r>
  </si>
  <si>
    <r>
      <rPr>
        <i/>
        <sz val="9"/>
        <color indexed="23"/>
        <rFont val="Arial"/>
        <family val="2"/>
      </rPr>
      <t xml:space="preserve">of which: </t>
    </r>
    <r>
      <rPr>
        <b/>
        <sz val="10"/>
        <color indexed="23"/>
        <rFont val="Arial"/>
        <family val="2"/>
      </rPr>
      <t xml:space="preserve">
   Unspecified gender</t>
    </r>
  </si>
  <si>
    <t>(Thousand of national currency)</t>
  </si>
  <si>
    <t>Less than 1 year</t>
  </si>
  <si>
    <t>1 to less than 2 years</t>
  </si>
  <si>
    <t>5 to less than 10 years</t>
  </si>
  <si>
    <t>Unknown length of stay</t>
  </si>
  <si>
    <t>Job relation to the doctoral degree</t>
  </si>
  <si>
    <t>Related</t>
  </si>
  <si>
    <t>Partly related</t>
  </si>
  <si>
    <t>Not related</t>
  </si>
  <si>
    <t>Total years from 1990</t>
  </si>
  <si>
    <t>Unknown year</t>
  </si>
  <si>
    <t>Table PERC2.1.  Employed Doctorate Holders: Satisfaction with their Employment Situation by Sex and Criteria of Satisfaction</t>
  </si>
  <si>
    <t>Very satisfied</t>
  </si>
  <si>
    <t>Somewhat satisfied</t>
  </si>
  <si>
    <t>Somewhat dissatisfied</t>
  </si>
  <si>
    <t>Very dissatisfied</t>
  </si>
  <si>
    <t>Salary</t>
  </si>
  <si>
    <t>Benefits</t>
  </si>
  <si>
    <t>Job security</t>
  </si>
  <si>
    <t>Working conditions</t>
  </si>
  <si>
    <t>Opportunities for advancement</t>
  </si>
  <si>
    <t>Intellectual challenge</t>
  </si>
  <si>
    <t>Level of responsibility</t>
  </si>
  <si>
    <t>Degree of independence</t>
  </si>
  <si>
    <t>Contribution to society</t>
  </si>
  <si>
    <t>Social status</t>
  </si>
  <si>
    <t>INTERNATIONAL MOBILITY: INWARD</t>
  </si>
  <si>
    <t>Previous region of residence:</t>
  </si>
  <si>
    <t>Previous country of residence:</t>
  </si>
  <si>
    <t>Unknown country of previous residence</t>
  </si>
  <si>
    <t>(Multiple answers possible)</t>
  </si>
  <si>
    <t>Completion of doctorate</t>
  </si>
  <si>
    <t>End of postdoc or job contract</t>
  </si>
  <si>
    <r>
      <t>Other job related or economic factors</t>
    </r>
    <r>
      <rPr>
        <vertAlign val="superscript"/>
        <sz val="10"/>
        <rFont val="Arial"/>
        <family val="2"/>
      </rPr>
      <t>1</t>
    </r>
  </si>
  <si>
    <r>
      <t>Academic factors</t>
    </r>
    <r>
      <rPr>
        <vertAlign val="superscript"/>
        <sz val="10"/>
        <rFont val="Arial"/>
        <family val="2"/>
      </rPr>
      <t>2</t>
    </r>
  </si>
  <si>
    <t>Family or personal reasons</t>
  </si>
  <si>
    <r>
      <t>Political or other reason</t>
    </r>
    <r>
      <rPr>
        <vertAlign val="superscript"/>
        <sz val="10"/>
        <rFont val="Arial"/>
        <family val="2"/>
      </rPr>
      <t>3</t>
    </r>
  </si>
  <si>
    <t>1. Other job related factors: sent by employer, job or postdoc offer, better paid job or postdoc, job search, guarantee or ease to find job;</t>
  </si>
  <si>
    <t>2. Academic factors: better access to publishing, development or continuity of thesis work, work in a specific area not existent in the country, possibility of creation of own research team or new research area.</t>
  </si>
  <si>
    <t>3. Includes refugees, end of residence permit or visa.</t>
  </si>
  <si>
    <t>INTERNATIONAL MOBILITY: OUTWARD</t>
  </si>
  <si>
    <t xml:space="preserve">Citizens of </t>
  </si>
  <si>
    <t>Intentions not specified</t>
  </si>
  <si>
    <t>Intended region of destination:</t>
  </si>
  <si>
    <t>Intended country of destination:</t>
  </si>
  <si>
    <t>Unknown country of intended destination</t>
  </si>
  <si>
    <t>Unspecified reasons</t>
  </si>
  <si>
    <t>CntryName</t>
  </si>
  <si>
    <t>RCntryName</t>
  </si>
  <si>
    <t>Aruba</t>
  </si>
  <si>
    <t>Afghanistan</t>
  </si>
  <si>
    <t>Angola</t>
  </si>
  <si>
    <t>Anguilla</t>
  </si>
  <si>
    <t>Åland Islands</t>
  </si>
  <si>
    <t>Brazil</t>
  </si>
  <si>
    <t>Albania</t>
  </si>
  <si>
    <t>Andorra</t>
  </si>
  <si>
    <t>Netherlands Antilles</t>
  </si>
  <si>
    <t>United Arab Emirates</t>
  </si>
  <si>
    <t>Armenia</t>
  </si>
  <si>
    <t>American Samoa</t>
  </si>
  <si>
    <t>Antigua and Barbuda</t>
  </si>
  <si>
    <t>Azerbaijan</t>
  </si>
  <si>
    <t>Burundi</t>
  </si>
  <si>
    <t>Benin</t>
  </si>
  <si>
    <t>Burkina Faso</t>
  </si>
  <si>
    <t>Bangladesh</t>
  </si>
  <si>
    <t>Israel</t>
  </si>
  <si>
    <t>Bahrain</t>
  </si>
  <si>
    <t>Bahamas</t>
  </si>
  <si>
    <t>Bosnia and Herzegovina</t>
  </si>
  <si>
    <t>Saint-Barthélemy</t>
  </si>
  <si>
    <t>Belarus</t>
  </si>
  <si>
    <t>Belize</t>
  </si>
  <si>
    <t>Bermuda</t>
  </si>
  <si>
    <t>Bolivia</t>
  </si>
  <si>
    <t>Barbados</t>
  </si>
  <si>
    <t>Brunei Darussalam</t>
  </si>
  <si>
    <t>Bhutan</t>
  </si>
  <si>
    <t>Botswana</t>
  </si>
  <si>
    <t>Central African Republic</t>
  </si>
  <si>
    <t>South Africa</t>
  </si>
  <si>
    <t>Chile</t>
  </si>
  <si>
    <t>Chinese Taipei</t>
  </si>
  <si>
    <t>Côte d'Ivoire</t>
  </si>
  <si>
    <t>Cameroon</t>
  </si>
  <si>
    <t>Democratic Republic of the Congo</t>
  </si>
  <si>
    <t>Congo</t>
  </si>
  <si>
    <t>Cook Islands</t>
  </si>
  <si>
    <t>Colombia</t>
  </si>
  <si>
    <t>Comoros</t>
  </si>
  <si>
    <t>Cape Verde</t>
  </si>
  <si>
    <t>Costa Rica</t>
  </si>
  <si>
    <t>Cuba</t>
  </si>
  <si>
    <t>Cayman Islands</t>
  </si>
  <si>
    <t>Czechoslovakia (ex)</t>
  </si>
  <si>
    <t>Djibouti</t>
  </si>
  <si>
    <t>Dominica</t>
  </si>
  <si>
    <t>Dominican Republic</t>
  </si>
  <si>
    <t>Algeria</t>
  </si>
  <si>
    <t>Ecuador</t>
  </si>
  <si>
    <t>Egypt</t>
  </si>
  <si>
    <t>Eritrea</t>
  </si>
  <si>
    <t>Western Sahara</t>
  </si>
  <si>
    <t>Ethiopia</t>
  </si>
  <si>
    <t>Fiji</t>
  </si>
  <si>
    <t>Falkland Islands (Malvinas)</t>
  </si>
  <si>
    <t>Faeroe Islands</t>
  </si>
  <si>
    <t>Micronesia, Federated States of</t>
  </si>
  <si>
    <t>Gabon</t>
  </si>
  <si>
    <t>United Kingdom of Great Britain and Northern Ireland</t>
  </si>
  <si>
    <t>Georgia</t>
  </si>
  <si>
    <t>Guernsey</t>
  </si>
  <si>
    <t>Ghana</t>
  </si>
  <si>
    <t>Gibraltar</t>
  </si>
  <si>
    <t>Guinea</t>
  </si>
  <si>
    <t>Guadeloupe</t>
  </si>
  <si>
    <t>Gambia</t>
  </si>
  <si>
    <t>Guinea-Bissau</t>
  </si>
  <si>
    <t>Equatorial Guinea</t>
  </si>
  <si>
    <t>Grenada</t>
  </si>
  <si>
    <t>Greenland</t>
  </si>
  <si>
    <t>Guatemala</t>
  </si>
  <si>
    <t>French Guiana</t>
  </si>
  <si>
    <t>Guam</t>
  </si>
  <si>
    <t>Guyana</t>
  </si>
  <si>
    <t>Hong Kong Special Administrative Region of China</t>
  </si>
  <si>
    <t>Honduras</t>
  </si>
  <si>
    <t>Haiti</t>
  </si>
  <si>
    <t>Indonesia</t>
  </si>
  <si>
    <t>Isle of Man</t>
  </si>
  <si>
    <t>Iran, Islamic Republic of</t>
  </si>
  <si>
    <t>Iraq</t>
  </si>
  <si>
    <t>Jamaica</t>
  </si>
  <si>
    <t>Jersey</t>
  </si>
  <si>
    <t>Jordan</t>
  </si>
  <si>
    <t>Kazakhstan</t>
  </si>
  <si>
    <t>Kenya</t>
  </si>
  <si>
    <t>Kyrgyzstan</t>
  </si>
  <si>
    <t>Cambodia</t>
  </si>
  <si>
    <t>Kiribati</t>
  </si>
  <si>
    <t>Saint Kitts and Nevis</t>
  </si>
  <si>
    <t>Korea, Republic of</t>
  </si>
  <si>
    <t>Kuwait</t>
  </si>
  <si>
    <t>Lao People's Democratic Republic</t>
  </si>
  <si>
    <t>Lebanon</t>
  </si>
  <si>
    <t>Liberia</t>
  </si>
  <si>
    <t>Libyan Arab Jamahiriya</t>
  </si>
  <si>
    <t>Saint Lucia</t>
  </si>
  <si>
    <t>Liechtenstein</t>
  </si>
  <si>
    <t>Sri Lanka</t>
  </si>
  <si>
    <t>Lesotho</t>
  </si>
  <si>
    <t>Macao Special Administrative Region of China</t>
  </si>
  <si>
    <t>Saint-Martin (French part)</t>
  </si>
  <si>
    <t>Morocco</t>
  </si>
  <si>
    <t>Monaco</t>
  </si>
  <si>
    <t>Moldova</t>
  </si>
  <si>
    <t>Madagascar</t>
  </si>
  <si>
    <t>Maldives</t>
  </si>
  <si>
    <t>Marshall Islands</t>
  </si>
  <si>
    <t>The former Yugoslav Republic of Macedonia</t>
  </si>
  <si>
    <t>Yugoslavia (ex)</t>
  </si>
  <si>
    <t>Mali</t>
  </si>
  <si>
    <t>Myanmar</t>
  </si>
  <si>
    <t>Montenegro</t>
  </si>
  <si>
    <t>Mongolia</t>
  </si>
  <si>
    <t>Northern Mariana Islands</t>
  </si>
  <si>
    <t>Mozambique</t>
  </si>
  <si>
    <t>Mauritania</t>
  </si>
  <si>
    <t>Montserrat</t>
  </si>
  <si>
    <t>Martinique</t>
  </si>
  <si>
    <t>Mauritius</t>
  </si>
  <si>
    <t>Malawi</t>
  </si>
  <si>
    <t>Mayotte</t>
  </si>
  <si>
    <t>Namibia</t>
  </si>
  <si>
    <t>New Caledonia</t>
  </si>
  <si>
    <t>Niger</t>
  </si>
  <si>
    <t>Norfolk Island</t>
  </si>
  <si>
    <t>Nigeria</t>
  </si>
  <si>
    <t>Nicaragua</t>
  </si>
  <si>
    <t>Niue</t>
  </si>
  <si>
    <t>Nepal</t>
  </si>
  <si>
    <t>Nauru</t>
  </si>
  <si>
    <t>Oman</t>
  </si>
  <si>
    <t>Pakistan</t>
  </si>
  <si>
    <t>Panama</t>
  </si>
  <si>
    <t>Pitcairn</t>
  </si>
  <si>
    <t>Peru</t>
  </si>
  <si>
    <t>Philippines</t>
  </si>
  <si>
    <t>Palau</t>
  </si>
  <si>
    <t>Papua New Guinea</t>
  </si>
  <si>
    <t>Puerto Rico</t>
  </si>
  <si>
    <t>Democratic People's Republic of Korea</t>
  </si>
  <si>
    <t>Paraguay</t>
  </si>
  <si>
    <t>Occupied Palestinian Territory</t>
  </si>
  <si>
    <t>French Polynesia</t>
  </si>
  <si>
    <t>Qatar</t>
  </si>
  <si>
    <t>Réunion</t>
  </si>
  <si>
    <t>Soviet Union (ex)</t>
  </si>
  <si>
    <t>Rwanda</t>
  </si>
  <si>
    <t>Saudi Arabia</t>
  </si>
  <si>
    <t>Sudan</t>
  </si>
  <si>
    <t>Senegal</t>
  </si>
  <si>
    <t>Singapore</t>
  </si>
  <si>
    <t>Saint Helena</t>
  </si>
  <si>
    <t>Svalbard and Jan Mayen Islands</t>
  </si>
  <si>
    <t>Solomon Islands</t>
  </si>
  <si>
    <t>Sierra Leone</t>
  </si>
  <si>
    <t>El Salvador</t>
  </si>
  <si>
    <t>San Marino</t>
  </si>
  <si>
    <t>Somalia</t>
  </si>
  <si>
    <t>Saint Pierre and Miquelon</t>
  </si>
  <si>
    <t>Serbia</t>
  </si>
  <si>
    <t>Sao Tome and Principe</t>
  </si>
  <si>
    <t>Suriname</t>
  </si>
  <si>
    <t>Slovakia</t>
  </si>
  <si>
    <t>Swaziland</t>
  </si>
  <si>
    <t>Seychelles</t>
  </si>
  <si>
    <t>Syrian Arab Republic</t>
  </si>
  <si>
    <t>Turks and Caicos Islands</t>
  </si>
  <si>
    <t>Chad</t>
  </si>
  <si>
    <t>Togo</t>
  </si>
  <si>
    <t>Thailand</t>
  </si>
  <si>
    <t>Tajikistan</t>
  </si>
  <si>
    <t>Tokelau</t>
  </si>
  <si>
    <t>Turkmenistan</t>
  </si>
  <si>
    <t>Timor-Leste</t>
  </si>
  <si>
    <t>Tonga</t>
  </si>
  <si>
    <t>Trinidad and Tobago</t>
  </si>
  <si>
    <t>Tunisia</t>
  </si>
  <si>
    <t>Tuvalu</t>
  </si>
  <si>
    <t>United Republic of Tanzania</t>
  </si>
  <si>
    <t>Uruguay</t>
  </si>
  <si>
    <t>United States of America</t>
  </si>
  <si>
    <t>Uzbekistan</t>
  </si>
  <si>
    <t>Holy See</t>
  </si>
  <si>
    <t>Saint Vincent and the Grenadines</t>
  </si>
  <si>
    <t>Venezuela (Bolivarian Republic of)</t>
  </si>
  <si>
    <t>British Virgin Islands</t>
  </si>
  <si>
    <t>United States Virgin Islands</t>
  </si>
  <si>
    <t>Viet Nam</t>
  </si>
  <si>
    <t>Vanuatu</t>
  </si>
  <si>
    <t>Wallis and Futuna Islands</t>
  </si>
  <si>
    <t>Samoa</t>
  </si>
  <si>
    <t>Yemen</t>
  </si>
  <si>
    <t>Zambia</t>
  </si>
  <si>
    <t>Zimbabwe</t>
  </si>
  <si>
    <t>Channel Islands</t>
  </si>
  <si>
    <t>General information about the data collection exercice</t>
  </si>
  <si>
    <t>Data collection method(s):</t>
  </si>
  <si>
    <t>(if necessary, please specify)</t>
  </si>
  <si>
    <t>Population coverage</t>
  </si>
  <si>
    <r>
      <t>The target population has been defined as '</t>
    </r>
    <r>
      <rPr>
        <i/>
        <sz val="8"/>
        <rFont val="Arial"/>
        <family val="2"/>
      </rPr>
      <t>resident (permanent or non-permanent) of the reporting country that have obtained a degree at ISCED 1997 level 6 (whatever the place in the world),</t>
    </r>
  </si>
  <si>
    <r>
      <rPr>
        <i/>
        <sz val="8"/>
        <rFont val="Arial"/>
        <family val="2"/>
      </rPr>
      <t>and that are below 70 years and economically active or not</t>
    </r>
    <r>
      <rPr>
        <sz val="8"/>
        <rFont val="Arial"/>
        <family val="2"/>
      </rPr>
      <t xml:space="preserve">'.
</t>
    </r>
  </si>
  <si>
    <t>Education level:</t>
  </si>
  <si>
    <t>(if no, please specify)</t>
  </si>
  <si>
    <t>(if yes, please specify)</t>
  </si>
  <si>
    <t>Is the population of doctorate holders limited to …</t>
  </si>
  <si>
    <t>- some years of doctorate award?</t>
  </si>
  <si>
    <t>- some institutions of doctorate award?</t>
  </si>
  <si>
    <t>- some geographical places of doctorate award?</t>
  </si>
  <si>
    <t>Fields of study:</t>
  </si>
  <si>
    <t>- Are some fields of study excluded?</t>
  </si>
  <si>
    <t>Age of doctorate holders:</t>
  </si>
  <si>
    <t>- Is the population reviewed below 70 years old?</t>
  </si>
  <si>
    <t>Citizenship coverage:</t>
  </si>
  <si>
    <t>Geographical coverage:</t>
  </si>
  <si>
    <t>Employment situation:</t>
  </si>
  <si>
    <t>- any employment status? (employed, active,…)</t>
  </si>
  <si>
    <t>- some sectors of employment?</t>
  </si>
  <si>
    <t>- some firm's size?</t>
  </si>
  <si>
    <t>- some type of contracts?</t>
  </si>
  <si>
    <t>- any other limitation regarding labour status?</t>
  </si>
  <si>
    <t>Others particular exclusions/inclusions:</t>
  </si>
  <si>
    <t>Department</t>
  </si>
  <si>
    <t>of birth</t>
  </si>
  <si>
    <t>place</t>
  </si>
  <si>
    <t>65-69 years old*</t>
  </si>
  <si>
    <t>(*) If 70-year-old and over doctorate holders are included in the [65-69] age class, please specify the case in the notes below.</t>
  </si>
  <si>
    <t>To add years / countries /… click on the white cross</t>
  </si>
  <si>
    <t>When data are not available, use corresponding "Unknown/Unspecified" category.</t>
  </si>
  <si>
    <t>EDU1</t>
  </si>
  <si>
    <t>EDU2</t>
  </si>
  <si>
    <t>EDU3</t>
  </si>
  <si>
    <t>EDU4</t>
  </si>
  <si>
    <t>EDU5</t>
  </si>
  <si>
    <t>EDU6</t>
  </si>
  <si>
    <t>EDU7</t>
  </si>
  <si>
    <t>EDU8</t>
  </si>
  <si>
    <t>EDU9</t>
  </si>
  <si>
    <t>REC1</t>
  </si>
  <si>
    <t>REC2</t>
  </si>
  <si>
    <t>REC3</t>
  </si>
  <si>
    <t>POS1</t>
  </si>
  <si>
    <t>POS2</t>
  </si>
  <si>
    <t>POS3</t>
  </si>
  <si>
    <t>POS4</t>
  </si>
  <si>
    <t>POS5</t>
  </si>
  <si>
    <t>POS6</t>
  </si>
  <si>
    <t>POS7</t>
  </si>
  <si>
    <t>POS8</t>
  </si>
  <si>
    <t>EMP1</t>
  </si>
  <si>
    <t>EMP2</t>
  </si>
  <si>
    <t>EMP3</t>
  </si>
  <si>
    <t>EMP4</t>
  </si>
  <si>
    <t>EMP5</t>
  </si>
  <si>
    <t>EMP6</t>
  </si>
  <si>
    <t>EMP7</t>
  </si>
  <si>
    <t>EMP8</t>
  </si>
  <si>
    <t>EMP9</t>
  </si>
  <si>
    <t>EMP10</t>
  </si>
  <si>
    <t>EMP11</t>
  </si>
  <si>
    <t>EMP12</t>
  </si>
  <si>
    <t>MOB1</t>
  </si>
  <si>
    <t>MOB2</t>
  </si>
  <si>
    <t>MOB3</t>
  </si>
  <si>
    <t>EDU</t>
  </si>
  <si>
    <t>REC</t>
  </si>
  <si>
    <t>POS</t>
  </si>
  <si>
    <t>EMP</t>
  </si>
  <si>
    <t>MOB</t>
  </si>
  <si>
    <t>CAR</t>
  </si>
  <si>
    <t>MOB4</t>
  </si>
  <si>
    <t>MOB5</t>
  </si>
  <si>
    <t>MOB6</t>
  </si>
  <si>
    <t>MOB7</t>
  </si>
  <si>
    <t>MOB8</t>
  </si>
  <si>
    <t>MOB9</t>
  </si>
  <si>
    <t>CAR1</t>
  </si>
  <si>
    <t>CAR2</t>
  </si>
  <si>
    <t>CAR3</t>
  </si>
  <si>
    <t>CAR4</t>
  </si>
  <si>
    <t>CAR5</t>
  </si>
  <si>
    <t>CAR6</t>
  </si>
  <si>
    <t>CAR7</t>
  </si>
  <si>
    <t>CAR8</t>
  </si>
  <si>
    <t>CAR9</t>
  </si>
  <si>
    <t>CAR10</t>
  </si>
  <si>
    <t>CAR11</t>
  </si>
  <si>
    <t>CAR12</t>
  </si>
  <si>
    <t>CAR13</t>
  </si>
  <si>
    <t>CAR14</t>
  </si>
  <si>
    <t>CAR15</t>
  </si>
  <si>
    <t>PER</t>
  </si>
  <si>
    <t>Modules</t>
  </si>
  <si>
    <t>ModelQuest</t>
  </si>
  <si>
    <t>PERS1</t>
  </si>
  <si>
    <t>PERS2</t>
  </si>
  <si>
    <t>PERS3</t>
  </si>
  <si>
    <t>PERS4</t>
  </si>
  <si>
    <t>PERS5</t>
  </si>
  <si>
    <t>PERS6</t>
  </si>
  <si>
    <t>PERS7</t>
  </si>
  <si>
    <t>PERS8</t>
  </si>
  <si>
    <t>Report data in output tables : fill in blank cells (white area with grids) - edit directly in the cells.</t>
  </si>
  <si>
    <t>If relevant, indicate at the bottom of the page the questions of the model questionnaire used to fill in the tabulations.</t>
  </si>
  <si>
    <r>
      <t>Variables of the model questionnaire used</t>
    </r>
    <r>
      <rPr>
        <i/>
        <sz val="10"/>
        <rFont val="Arial"/>
        <family val="2"/>
      </rPr>
      <t xml:space="preserve"> (if relevant)</t>
    </r>
    <r>
      <rPr>
        <b/>
        <i/>
        <sz val="10"/>
        <rFont val="Arial"/>
        <family val="2"/>
      </rPr>
      <t>:</t>
    </r>
  </si>
  <si>
    <t>Table EMP6.2. Employed Doctorate Holders: Average Gross Annual Earnings</t>
  </si>
  <si>
    <t>Table EMP6.1. Employed Doctorate Holders: Median Gross Annual Earnings</t>
  </si>
  <si>
    <r>
      <t xml:space="preserve">Variables from the model questionnaire used </t>
    </r>
    <r>
      <rPr>
        <i/>
        <sz val="10"/>
        <rFont val="Arial"/>
        <family val="2"/>
      </rPr>
      <t>(if relevant)</t>
    </r>
    <r>
      <rPr>
        <b/>
        <i/>
        <sz val="10"/>
        <rFont val="Arial"/>
        <family val="2"/>
      </rPr>
      <t>:</t>
    </r>
  </si>
  <si>
    <r>
      <t>Total North America</t>
    </r>
    <r>
      <rPr>
        <sz val="8"/>
        <color indexed="62"/>
        <rFont val="Arial"/>
        <family val="2"/>
      </rPr>
      <t xml:space="preserve"> (Canada, Mexico, United States)</t>
    </r>
  </si>
  <si>
    <r>
      <t>Variables of the model questionnaire used</t>
    </r>
    <r>
      <rPr>
        <i/>
        <sz val="10"/>
        <rFont val="Arial"/>
        <family val="2"/>
      </rPr>
      <t/>
    </r>
  </si>
  <si>
    <t xml:space="preserve"> (if relevant):</t>
  </si>
  <si>
    <r>
      <rPr>
        <b/>
        <sz val="10"/>
        <rFont val="Arial"/>
        <family val="2"/>
      </rPr>
      <t xml:space="preserve">used </t>
    </r>
    <r>
      <rPr>
        <sz val="10"/>
        <rFont val="Arial"/>
        <family val="2"/>
      </rPr>
      <t>(if relevant):</t>
    </r>
  </si>
  <si>
    <r>
      <t>Variables of the model questionnaire</t>
    </r>
    <r>
      <rPr>
        <i/>
        <sz val="10"/>
        <rFont val="Arial"/>
        <family val="2"/>
      </rPr>
      <t/>
    </r>
  </si>
  <si>
    <t>Citizens of</t>
  </si>
  <si>
    <t>of</t>
  </si>
  <si>
    <t>Previous degree obtained in another country</t>
  </si>
  <si>
    <t>of recent doctorate recipients*</t>
  </si>
  <si>
    <t>* Doctorate holders who were awarded doctorates from national institutions during the last two years.</t>
  </si>
  <si>
    <r>
      <t>Variables of the model questionnaire used</t>
    </r>
    <r>
      <rPr>
        <i/>
        <sz val="10"/>
        <rFont val="Arial"/>
        <family val="2"/>
      </rPr>
      <t xml:space="preserve"> (if relevant):</t>
    </r>
  </si>
  <si>
    <r>
      <rPr>
        <b/>
        <i/>
        <sz val="10"/>
        <rFont val="Arial"/>
        <family val="2"/>
      </rPr>
      <t>Of which:</t>
    </r>
    <r>
      <rPr>
        <b/>
        <sz val="10"/>
        <rFont val="Arial"/>
        <family val="2"/>
      </rPr>
      <t xml:space="preserve">
   Men</t>
    </r>
  </si>
  <si>
    <r>
      <rPr>
        <b/>
        <i/>
        <sz val="10"/>
        <rFont val="Arial"/>
        <family val="2"/>
      </rPr>
      <t>Of which:</t>
    </r>
    <r>
      <rPr>
        <b/>
        <sz val="10"/>
        <rFont val="Arial"/>
        <family val="2"/>
      </rPr>
      <t xml:space="preserve">
   Women</t>
    </r>
  </si>
  <si>
    <t>All Employed</t>
  </si>
  <si>
    <t>Please only report data by region of residence if data by country of residence are not available</t>
  </si>
  <si>
    <t>Please report data by region of destination if data by country of destination are not available</t>
  </si>
  <si>
    <t>Please only report data by region of citizenship if data by country of citizenship are not available</t>
  </si>
  <si>
    <t>Please only report data by region of birth if data by country of birth are not available</t>
  </si>
  <si>
    <t>Total after 1990</t>
  </si>
  <si>
    <t>Variables of the model questionnaire used</t>
  </si>
  <si>
    <t>(if relevant):</t>
  </si>
  <si>
    <t>Other education sector</t>
  </si>
  <si>
    <t>Total Employed</t>
  </si>
  <si>
    <t xml:space="preserve"> For regional groupings, please refer to http://unstats.un.org/unsd/methods/m49/m49regin.htm </t>
  </si>
  <si>
    <t>TOTAL (all sources of funding)</t>
  </si>
  <si>
    <t>Table PERC2.2.  Employed Doctorate Holders: Satisfaction with their Employment Situation by Research Status and Criteria of Satisfaction</t>
  </si>
  <si>
    <t>TOTAL EMPLOYED (all occupations)</t>
  </si>
  <si>
    <t>TOTAL EMPLOYED (all fields)</t>
  </si>
  <si>
    <t>TOTAL EMPLOYED (all sources of funding)</t>
  </si>
  <si>
    <t>TOTAL EMPLOYED (all years)</t>
  </si>
  <si>
    <t>Year of
Doctorate award</t>
  </si>
  <si>
    <t>Field of
Doctorate degree</t>
  </si>
  <si>
    <t>ISCO-08 classification</t>
  </si>
  <si>
    <t>MANAGERS</t>
  </si>
  <si>
    <t>Science and engineering professionals</t>
  </si>
  <si>
    <t xml:space="preserve">  Physical and earth science professionals</t>
  </si>
  <si>
    <t xml:space="preserve">  Mathematicians, actuaries and statisticians</t>
  </si>
  <si>
    <t>214-215</t>
  </si>
  <si>
    <t xml:space="preserve">  Engineering professionals</t>
  </si>
  <si>
    <t xml:space="preserve">  Architects, planners, surveyors and designers</t>
  </si>
  <si>
    <t xml:space="preserve">  Unspecified science and engineering professionals</t>
  </si>
  <si>
    <t>Health professionals</t>
  </si>
  <si>
    <t xml:space="preserve">  Medical doctors</t>
  </si>
  <si>
    <t>223-226</t>
  </si>
  <si>
    <t xml:space="preserve">  Other health professionals</t>
  </si>
  <si>
    <t xml:space="preserve">  Unspecified health professionals</t>
  </si>
  <si>
    <t xml:space="preserve">  University and higher education teachers</t>
  </si>
  <si>
    <t xml:space="preserve">  Vocational education teachers</t>
  </si>
  <si>
    <t xml:space="preserve">  Secondary education teachers</t>
  </si>
  <si>
    <t>234-235</t>
  </si>
  <si>
    <t xml:space="preserve">  Unspecified teaching professionals</t>
  </si>
  <si>
    <t>Business and administration professionals</t>
  </si>
  <si>
    <t xml:space="preserve">  Finance professionals</t>
  </si>
  <si>
    <t xml:space="preserve">  Administration professionals</t>
  </si>
  <si>
    <t xml:space="preserve">  Sales, marketing and public relations professionals</t>
  </si>
  <si>
    <t xml:space="preserve">  Unspecified business and administration professionals</t>
  </si>
  <si>
    <t>Information and communication technology (ICT) professionals</t>
  </si>
  <si>
    <t xml:space="preserve">  Software and applications developers and analysts</t>
  </si>
  <si>
    <t xml:space="preserve">  Database and network professionals</t>
  </si>
  <si>
    <t xml:space="preserve">  Unspecified ICT professionals</t>
  </si>
  <si>
    <t>Legal, social and cultural professionals</t>
  </si>
  <si>
    <t xml:space="preserve">  Legal profesionals</t>
  </si>
  <si>
    <t xml:space="preserve">  Librarians, archivists and curators</t>
  </si>
  <si>
    <t xml:space="preserve">  Social, religious and related professionals</t>
  </si>
  <si>
    <t xml:space="preserve">  Creative or performing artists and writers</t>
  </si>
  <si>
    <t xml:space="preserve">  Unspecified legal, social and cultural professionals</t>
  </si>
  <si>
    <t>Other ISCO-08 groups</t>
  </si>
  <si>
    <t>Employed but not specified if in research</t>
  </si>
  <si>
    <t>- Are levels of education other than doctorate level included?</t>
  </si>
  <si>
    <t>- What is(are) the national name(s) of diploma included?</t>
  </si>
  <si>
    <t>Degree coverage:</t>
  </si>
  <si>
    <t>- some registers of doctorate registration limited in coverage?</t>
  </si>
  <si>
    <t>- Are doctorates other than research included (e.g. in law, medicine, etc)?</t>
  </si>
  <si>
    <t>Employees</t>
  </si>
  <si>
    <t>Self-employed workers</t>
  </si>
  <si>
    <t>Unknown sector of employment</t>
  </si>
  <si>
    <t xml:space="preserve">Employed but not specified if in research </t>
  </si>
  <si>
    <t>Unknown length of stay in the current job</t>
  </si>
  <si>
    <t>Previous employment sector:</t>
  </si>
  <si>
    <r>
      <rPr>
        <i/>
        <sz val="10"/>
        <rFont val="Arial"/>
        <family val="2"/>
      </rPr>
      <t>in the</t>
    </r>
    <r>
      <rPr>
        <sz val="10"/>
        <rFont val="Arial"/>
        <family val="2"/>
      </rPr>
      <t>:
    Business enterprise sector</t>
    </r>
  </si>
  <si>
    <t>All types of job</t>
  </si>
  <si>
    <t>National citizens</t>
  </si>
  <si>
    <t>INTERNATIONAL MOBILITY</t>
  </si>
  <si>
    <t>2 to less than 5 years</t>
  </si>
  <si>
    <t>1 stay</t>
  </si>
  <si>
    <t>5 and more stays</t>
  </si>
  <si>
    <t>2 to 4
stays</t>
  </si>
  <si>
    <t>Number of stays abroad in the last 10 years</t>
  </si>
  <si>
    <t>GRAND TOTAL (all citizenships)</t>
  </si>
  <si>
    <t>Unknown mobility</t>
  </si>
  <si>
    <t>Type of International Mobility</t>
  </si>
  <si>
    <t>Non mobile
doctorate holders</t>
  </si>
  <si>
    <t>(having not stayed abroad
in the last 10 years)</t>
  </si>
  <si>
    <t>Total
doctorate holders</t>
  </si>
  <si>
    <t>Mobile
doctorate holders*</t>
  </si>
  <si>
    <t xml:space="preserve">Table IMOB1. Doctorate Holders by Type of International Mobility in the Last Ten Years and Citizenship </t>
  </si>
  <si>
    <t>*Totals of this column are reported in further details in IMOB2, IMOB3 and IMOB4.</t>
  </si>
  <si>
    <r>
      <t>Total North America</t>
    </r>
    <r>
      <rPr>
        <sz val="8"/>
        <color indexed="62"/>
        <rFont val="Arial"/>
        <family val="2"/>
      </rPr>
      <t xml:space="preserve"> (Canada, Mexico, United States)</t>
    </r>
  </si>
  <si>
    <t>Reasons for Moving</t>
  </si>
  <si>
    <t>(multiple answers possible)</t>
  </si>
  <si>
    <t>Table IMOB2. Internationally Mobile Doctorate Holders: Previous Country of Stay in the Last Ten Years by Citizenship</t>
  </si>
  <si>
    <t>Length of Stay Abroad</t>
  </si>
  <si>
    <t>Previous Country of Stay of Mobile Doctorate Holders</t>
  </si>
  <si>
    <r>
      <t xml:space="preserve">Report the name of the surveyed country and available metadata in </t>
    </r>
    <r>
      <rPr>
        <b/>
        <sz val="10"/>
        <rFont val="Arial"/>
        <family val="2"/>
      </rPr>
      <t>'Cntry'</t>
    </r>
    <r>
      <rPr>
        <sz val="10"/>
        <rFont val="Arial"/>
        <family val="2"/>
      </rPr>
      <t xml:space="preserve"> sheet. The name of your country will be added automatically in the output tables.</t>
    </r>
  </si>
  <si>
    <t>- check the country(ies) you want to enter is(are) not already available in the list proposed. You won't be authorized to enter a country already listed.</t>
  </si>
  <si>
    <t>- country names are based on ISO classification. You can report to the UN website mentioned below the tables.</t>
  </si>
  <si>
    <t>- enter preferably additional years from the latest to the oldest</t>
  </si>
  <si>
    <t>Free spaces are provided below the tables for you to report any relevant metadata or methodological specificities.</t>
  </si>
  <si>
    <t>The 'Cntry' sheet provides you predefined responses for some questions. Click on the blank cell and an arrow on the right hand will allow you to consult proposed responses.</t>
  </si>
  <si>
    <r>
      <rPr>
        <b/>
        <i/>
        <sz val="10"/>
        <color indexed="55"/>
        <rFont val="Arial"/>
        <family val="2"/>
      </rPr>
      <t>Of which:</t>
    </r>
    <r>
      <rPr>
        <b/>
        <sz val="10"/>
        <color indexed="55"/>
        <rFont val="Arial"/>
        <family val="2"/>
      </rPr>
      <t xml:space="preserve">
Unknown gender</t>
    </r>
  </si>
  <si>
    <t>Methodo</t>
  </si>
  <si>
    <t>TOTAL (all genders)</t>
  </si>
  <si>
    <r>
      <rPr>
        <i/>
        <sz val="10"/>
        <rFont val="Arial"/>
        <family val="2"/>
      </rPr>
      <t>Of which:</t>
    </r>
    <r>
      <rPr>
        <b/>
        <i/>
        <sz val="10"/>
        <rFont val="Arial"/>
        <family val="2"/>
      </rPr>
      <t xml:space="preserve">
   </t>
    </r>
    <r>
      <rPr>
        <b/>
        <sz val="10"/>
        <rFont val="Arial"/>
        <family val="2"/>
      </rPr>
      <t>Men</t>
    </r>
  </si>
  <si>
    <r>
      <rPr>
        <i/>
        <sz val="10"/>
        <rFont val="Arial"/>
        <family val="2"/>
      </rPr>
      <t>Of which:</t>
    </r>
    <r>
      <rPr>
        <b/>
        <i/>
        <sz val="10"/>
        <rFont val="Arial"/>
        <family val="2"/>
      </rPr>
      <t xml:space="preserve">
</t>
    </r>
    <r>
      <rPr>
        <b/>
        <sz val="10"/>
        <rFont val="Arial"/>
        <family val="2"/>
      </rPr>
      <t xml:space="preserve">   Women</t>
    </r>
  </si>
  <si>
    <r>
      <rPr>
        <i/>
        <sz val="10"/>
        <color indexed="55"/>
        <rFont val="Arial"/>
        <family val="2"/>
      </rPr>
      <t>Of which:</t>
    </r>
    <r>
      <rPr>
        <b/>
        <i/>
        <sz val="10"/>
        <color indexed="55"/>
        <rFont val="Arial"/>
        <family val="2"/>
      </rPr>
      <t xml:space="preserve">
   </t>
    </r>
    <r>
      <rPr>
        <b/>
        <sz val="10"/>
        <color indexed="55"/>
        <rFont val="Arial"/>
        <family val="2"/>
      </rPr>
      <t>Unspecified Gender</t>
    </r>
  </si>
  <si>
    <t>Registers survey</t>
  </si>
  <si>
    <t>Other administrative sources</t>
  </si>
  <si>
    <t>National citizens only</t>
  </si>
  <si>
    <t>Doctorate Holders register</t>
  </si>
  <si>
    <t>CDH dedicated sample survey</t>
  </si>
  <si>
    <t>CDH dedicated census</t>
  </si>
  <si>
    <t>Both national and foreign citizens</t>
  </si>
  <si>
    <t>All national citizens and foreign citizens with restrictions</t>
  </si>
  <si>
    <t>GeoCov</t>
  </si>
  <si>
    <t>CtzCov</t>
  </si>
  <si>
    <t>National territory only</t>
  </si>
  <si>
    <t>Others</t>
  </si>
  <si>
    <t>Table IMOB3. Internationally Mobile Doctorate Holders: Reasons for Moving Into the Country in the last 10 Years by Citizenship</t>
  </si>
  <si>
    <t>Total number of responses</t>
  </si>
  <si>
    <r>
      <rPr>
        <i/>
        <sz val="9"/>
        <rFont val="Arial"/>
        <family val="2"/>
      </rPr>
      <t>of which:</t>
    </r>
    <r>
      <rPr>
        <sz val="10"/>
        <rFont val="Arial"/>
        <family val="2"/>
      </rPr>
      <t xml:space="preserve">
   Total not having changed jobs in the last 10 years</t>
    </r>
  </si>
  <si>
    <t>Total having changed jobs in the last 10 years</t>
  </si>
  <si>
    <t>TOTAL EMPLOYED</t>
  </si>
  <si>
    <t>(for those doctorate holders having changed jobs in the last 10 years)</t>
  </si>
  <si>
    <t>Total before 1990</t>
  </si>
  <si>
    <t>Total years before 1990</t>
  </si>
  <si>
    <t>Region of doctoral award:</t>
  </si>
  <si>
    <t>Table ED3. Doctorate Holders by Country of Doctoral Award and of Prior Education</t>
  </si>
  <si>
    <t>Table ED5.  Doctorate Holders by main Field of Doctoral Degree and Primary Source of Funding during Completion of Doctorate</t>
  </si>
  <si>
    <t>Table EMP1.  Doctorate Holders by Employment Status and Year of Doctoral Award</t>
  </si>
  <si>
    <t>Table EMP2.1.  Doctorate Holders by Employment Status and Field of Doctoral Degree</t>
  </si>
  <si>
    <t>Field of doctoral degree</t>
  </si>
  <si>
    <t>Table EMP4.  Employed Doctorate Holders by Field of Doctoral Degree and Occupations</t>
  </si>
  <si>
    <t>Table EMP5.  Employed Doctorate Holders by Sector of Employment, Field of Doctoral Degree and Sex</t>
  </si>
  <si>
    <t>Field of Doctoral Degree</t>
  </si>
  <si>
    <t>Table PERC1.1.  Employed Doctorate Holders: Perception regarding their Job Qualification by Sex and Year of Doctoral Award</t>
  </si>
  <si>
    <t>Table PERC1.2.  Employed Doctorate Holders: Perception regarding their Job Qualification by Sex and Field of Doctoral Degree</t>
  </si>
  <si>
    <t>Table ED4.  Recent Doctorate Recipients: Age at Graduation and Time to Completion by main Field of Doctoral Degree</t>
  </si>
  <si>
    <t>Table P2.1. Doctorate Holders by Type of Citizenship, Resident Status and Place of Birth (optional table)</t>
  </si>
  <si>
    <t>Table P2.2. Doctorate Holders by Citizenship and Resident Status (optional table)</t>
  </si>
  <si>
    <t>Table P4. Doctorate Holders by Citizenship/Resident Status and Age class</t>
  </si>
  <si>
    <t>Table P5. Doctorate Holders by Citizenship and Field of Doctorate Degree</t>
  </si>
  <si>
    <t>Table P7. Doctorate Holders by Place of Birth/Resident Status and Age Class</t>
  </si>
  <si>
    <t>Table ED1. Doctorate Holders by Citizenship/Resident Status and Region of Doctoral Award</t>
  </si>
  <si>
    <t>Table ED2. Doctorate Holders by Place of Birth/Resident Status and Region of Doctoral Award</t>
  </si>
  <si>
    <t>Table EMP2.3. Doctorate Holders by Employment Status and Citizenship/Resident Status</t>
  </si>
  <si>
    <t>Cumulative length of stay abroad in the last 10 years:</t>
  </si>
  <si>
    <t xml:space="preserve">Table IMOB4. Internationally Mobile Doctorate Holders: Frequency and Length of Mobility by Citizenship </t>
  </si>
  <si>
    <r>
      <t>Table OMOB1. Mobility Intentions in the Next Year by Country of Intended Destination</t>
    </r>
    <r>
      <rPr>
        <b/>
        <sz val="12"/>
        <color indexed="55"/>
        <rFont val="Arial"/>
        <family val="2"/>
      </rPr>
      <t xml:space="preserve"> (optional table)</t>
    </r>
  </si>
  <si>
    <r>
      <t xml:space="preserve">Table OMOB2. Reasons for Mobility Intentions in the Next Year </t>
    </r>
    <r>
      <rPr>
        <b/>
        <sz val="12"/>
        <color indexed="55"/>
        <rFont val="Arial"/>
        <family val="2"/>
      </rPr>
      <t>(optional table)</t>
    </r>
  </si>
  <si>
    <t>Table EMP8. Employed Doctorate Holders: Job Mobility over the last 10 years by Sector of Employment</t>
  </si>
  <si>
    <t>CAREERS OF DOCTORATE HOLDERS</t>
  </si>
  <si>
    <t>- Has the ISCED6 definition been strictly respected?</t>
  </si>
  <si>
    <t>- any other limitation regarding doctorate degree coverage?</t>
  </si>
  <si>
    <t xml:space="preserve">OECD Frascati Fields of Science classification </t>
  </si>
  <si>
    <t>Age at graduation (in years)</t>
  </si>
  <si>
    <t>Gross time to completion (in months)</t>
  </si>
  <si>
    <r>
      <t xml:space="preserve">Net time to completion </t>
    </r>
    <r>
      <rPr>
        <sz val="10"/>
        <rFont val="Arial"/>
        <family val="2"/>
      </rPr>
      <t xml:space="preserve">(in months)
</t>
    </r>
    <r>
      <rPr>
        <sz val="10"/>
        <color indexed="10"/>
        <rFont val="Arial"/>
        <family val="2"/>
      </rPr>
      <t>(optional columns)</t>
    </r>
  </si>
  <si>
    <t xml:space="preserve">  Authors, journalists and linguists</t>
  </si>
  <si>
    <t>4. Includes refugees, end of residence permit or visa.</t>
  </si>
  <si>
    <t>3. Academic factors: better access to publishing, development or continuity of thesis work, work in a specific area not existent in the country, possibility of creation of own research team or new research area.</t>
  </si>
  <si>
    <t>2 Other job related factors: sent by employer, job or postdoc offer, better paid job or postdoc, job search, guarantee or ease to find job;</t>
  </si>
  <si>
    <r>
      <t>Political or other reason</t>
    </r>
    <r>
      <rPr>
        <vertAlign val="superscript"/>
        <sz val="10"/>
        <rFont val="Arial"/>
        <family val="2"/>
      </rPr>
      <t>4</t>
    </r>
  </si>
  <si>
    <r>
      <t>Academic factors</t>
    </r>
    <r>
      <rPr>
        <vertAlign val="superscript"/>
        <sz val="10"/>
        <rFont val="Arial"/>
        <family val="2"/>
      </rPr>
      <t>3</t>
    </r>
  </si>
  <si>
    <r>
      <t>Other job related or economic factors</t>
    </r>
    <r>
      <rPr>
        <vertAlign val="superscript"/>
        <sz val="10"/>
        <rFont val="Arial"/>
        <family val="2"/>
      </rPr>
      <t>2</t>
    </r>
  </si>
  <si>
    <r>
      <t>Returning to the home country</t>
    </r>
    <r>
      <rPr>
        <vertAlign val="superscript"/>
        <sz val="10"/>
        <rFont val="Arial"/>
        <family val="2"/>
      </rPr>
      <t>1</t>
    </r>
  </si>
  <si>
    <t>1. Returning to the home country: after completion of doctorate, after secondment;</t>
  </si>
  <si>
    <t>Total employed</t>
  </si>
  <si>
    <t>TOTAL
(men and women)</t>
  </si>
  <si>
    <t>TOTAL (all fields)</t>
  </si>
  <si>
    <t>TOTAL  (all ages)</t>
  </si>
  <si>
    <t>TOTAL (all citizenships)</t>
  </si>
  <si>
    <t xml:space="preserve"> TOTAL (men and women)</t>
  </si>
  <si>
    <r>
      <t>Table EMP3.  Recent Doctorate Recipients by  Employment Status and Primary Source of Funding during Completion of Doctorate</t>
    </r>
    <r>
      <rPr>
        <b/>
        <vertAlign val="superscript"/>
        <sz val="12"/>
        <color theme="4" tint="-0.249977111117893"/>
        <rFont val="Arial"/>
        <family val="2"/>
      </rPr>
      <t>*</t>
    </r>
  </si>
  <si>
    <r>
      <t>Table EMP7.  Employed Recent Doctorate Recipients: Gross Annual Earnings by Primary Source of Funding during Completion of Doctorate</t>
    </r>
    <r>
      <rPr>
        <b/>
        <vertAlign val="superscript"/>
        <sz val="12"/>
        <color theme="4" tint="-0.249977111117893"/>
        <rFont val="Arial"/>
        <family val="2"/>
      </rPr>
      <t>*</t>
    </r>
    <r>
      <rPr>
        <b/>
        <sz val="12"/>
        <color theme="4" tint="-0.249977111117893"/>
        <rFont val="Arial"/>
        <family val="2"/>
      </rPr>
      <t xml:space="preserve"> </t>
    </r>
    <r>
      <rPr>
        <b/>
        <sz val="12"/>
        <color indexed="55"/>
        <rFont val="Arial"/>
        <family val="2"/>
      </rPr>
      <t>(optional table)</t>
    </r>
  </si>
  <si>
    <r>
      <t>Doctorate Holders with intention to stay or live out of the country in the next year</t>
    </r>
    <r>
      <rPr>
        <b/>
        <sz val="8"/>
        <rFont val="Arial"/>
        <family val="2"/>
      </rPr>
      <t xml:space="preserve"> (from OMOB1)</t>
    </r>
  </si>
  <si>
    <t>NACE rev. 2</t>
  </si>
  <si>
    <t>01-03</t>
  </si>
  <si>
    <t>AGRICULTURE FORESTRY AND FISHING</t>
  </si>
  <si>
    <t>05-09</t>
  </si>
  <si>
    <t>MINING AND QUARRYING</t>
  </si>
  <si>
    <t>10-33</t>
  </si>
  <si>
    <t>MANUFACTURING</t>
  </si>
  <si>
    <t>19</t>
  </si>
  <si>
    <t>20</t>
  </si>
  <si>
    <t>Manufacture of chemicals and chemical products</t>
  </si>
  <si>
    <t>21</t>
  </si>
  <si>
    <t>26</t>
  </si>
  <si>
    <t>Manufacture of computer, electronic and optical products</t>
  </si>
  <si>
    <t>41-43</t>
  </si>
  <si>
    <t>CONSTRUCTION</t>
  </si>
  <si>
    <t>45-47</t>
  </si>
  <si>
    <t>49-53</t>
  </si>
  <si>
    <t>50</t>
  </si>
  <si>
    <t>Water transport</t>
  </si>
  <si>
    <t>51</t>
  </si>
  <si>
    <t>Air transport</t>
  </si>
  <si>
    <t>58-63</t>
  </si>
  <si>
    <t>62</t>
  </si>
  <si>
    <t>Computer programming, consultancy and related activities</t>
  </si>
  <si>
    <t>63</t>
  </si>
  <si>
    <t>Information service activities</t>
  </si>
  <si>
    <t>64-66</t>
  </si>
  <si>
    <t>68</t>
  </si>
  <si>
    <t>69-75</t>
  </si>
  <si>
    <t>72</t>
  </si>
  <si>
    <t>Scientific research and development</t>
  </si>
  <si>
    <t>77-82</t>
  </si>
  <si>
    <t>78</t>
  </si>
  <si>
    <t>Employment activities</t>
  </si>
  <si>
    <t>79</t>
  </si>
  <si>
    <t>80</t>
  </si>
  <si>
    <t>84</t>
  </si>
  <si>
    <t>85</t>
  </si>
  <si>
    <t>86-88</t>
  </si>
  <si>
    <t>HUMAN HEALTH AND SOCIAL WORK ACTIVITIES</t>
  </si>
  <si>
    <t>86</t>
  </si>
  <si>
    <t>Human health activities</t>
  </si>
  <si>
    <t>90-93</t>
  </si>
  <si>
    <t>ARTS, ENTERTAINEMENT AND RECREATION</t>
  </si>
  <si>
    <t>94-99</t>
  </si>
  <si>
    <t>01-99</t>
  </si>
  <si>
    <t>TOTAL EMPLOYED (All industries)</t>
  </si>
  <si>
    <t>UNKNOWN INDUSTRY</t>
  </si>
  <si>
    <t>Unknowm</t>
  </si>
  <si>
    <t>Table EMP9. Employed Doctorate Holders by Industry and Sex</t>
  </si>
  <si>
    <t>CDH STANDARD FLAGS</t>
  </si>
  <si>
    <t>A</t>
  </si>
  <si>
    <t xml:space="preserve">Break in series with previous year for which data was submitted. </t>
  </si>
  <si>
    <t>B</t>
  </si>
  <si>
    <t>Refers to or includes self-employed.</t>
  </si>
  <si>
    <t>C</t>
  </si>
  <si>
    <t xml:space="preserve">Excludes unemployed doctorate holders. </t>
  </si>
  <si>
    <t>D</t>
  </si>
  <si>
    <t xml:space="preserve">Data for 65-69 age class include doctorate holders aged 70 years and/or above. </t>
  </si>
  <si>
    <t>E</t>
  </si>
  <si>
    <t>Excludes foreign citizens.</t>
  </si>
  <si>
    <t>F</t>
  </si>
  <si>
    <t xml:space="preserve">Totals do not sum due to rounding. </t>
  </si>
  <si>
    <t>H</t>
  </si>
  <si>
    <t xml:space="preserve">Excludes doctorate holders who received degree abroad. </t>
  </si>
  <si>
    <t>K</t>
  </si>
  <si>
    <t xml:space="preserve">Based on small sample size. Do not publish. </t>
  </si>
  <si>
    <t>M</t>
  </si>
  <si>
    <t xml:space="preserve">Underestimated or based on underestimated data. </t>
  </si>
  <si>
    <t>O</t>
  </si>
  <si>
    <t xml:space="preserve">Includes other classes. </t>
  </si>
  <si>
    <t>P</t>
  </si>
  <si>
    <t xml:space="preserve">Data not scaled up to the total population. </t>
  </si>
  <si>
    <t>Q</t>
  </si>
  <si>
    <t xml:space="preserve">Excludes foreign born doctorate holders. </t>
  </si>
  <si>
    <t>R</t>
  </si>
  <si>
    <t xml:space="preserve">Suppressed for reasons other than confidentiality. </t>
  </si>
  <si>
    <t>S</t>
  </si>
  <si>
    <t xml:space="preserve">Unrevised breakdown not adding to the revised total.  </t>
  </si>
  <si>
    <t>T</t>
  </si>
  <si>
    <t xml:space="preserve">Excludes inactive doctorate holders. </t>
  </si>
  <si>
    <t>U</t>
  </si>
  <si>
    <t>Refers to employees only.</t>
  </si>
  <si>
    <t>V</t>
  </si>
  <si>
    <t xml:space="preserve">The sum of the breakdown does not add to the total (see Metadata file). </t>
  </si>
  <si>
    <t>W</t>
  </si>
  <si>
    <t>Aggregate based on confidential data.</t>
  </si>
  <si>
    <t>X</t>
  </si>
  <si>
    <t xml:space="preserve">Confidential. </t>
  </si>
  <si>
    <t>Y</t>
  </si>
  <si>
    <t xml:space="preserve">Time period differs from that specified in Model Questionnaire (see Metadata file). </t>
  </si>
  <si>
    <r>
      <t>Standard flags are used in the OECD database. For each table, two columns are allocated to each variable, the first one to the data themselves, the second devoted to flags attached to selected data when necessary (the list of flags is provided in worsheet</t>
    </r>
    <r>
      <rPr>
        <b/>
        <sz val="10"/>
        <rFont val="Arial"/>
        <family val="2"/>
      </rPr>
      <t xml:space="preserve"> 'Flags'</t>
    </r>
    <r>
      <rPr>
        <sz val="10"/>
        <rFont val="Arial"/>
        <family val="2"/>
      </rPr>
      <t>). Reporting countries are invited to use the flags where relevant in the columns next to the data when filling in the output tables.</t>
    </r>
  </si>
  <si>
    <t>These standard flags are used in the OECD database. For each table, two columns are allocated to each variable, the first one to the data themselves, the second devoted to flags attached to selected data when necessary. Reporting countries are invited to use the flags where relevant in the columns next to the data when filling in the output tables.</t>
  </si>
  <si>
    <t>Explanatory note</t>
  </si>
  <si>
    <t>Standard flags</t>
  </si>
  <si>
    <t>Preliminary Tables</t>
  </si>
  <si>
    <t>Competencies</t>
  </si>
  <si>
    <t>Industry</t>
  </si>
  <si>
    <t>Fellowship or scholarship from an institution in the country</t>
  </si>
  <si>
    <t>Fellowship or scholarship from abroad</t>
  </si>
  <si>
    <t>Employer's reimbursement or assistance</t>
  </si>
  <si>
    <t>Loan, personal savings, support from spouse, partner or family</t>
  </si>
  <si>
    <t>Job location</t>
  </si>
  <si>
    <t xml:space="preserve">OVERALL LEVEL OF SATISFACTION </t>
  </si>
  <si>
    <t xml:space="preserve"> Joib location</t>
  </si>
  <si>
    <t>OVERALL LEVEL OF SATISFACTION</t>
  </si>
  <si>
    <t xml:space="preserve">2013 DATA COLLECTION </t>
  </si>
  <si>
    <t xml:space="preserve">        ISIC rev. 4</t>
  </si>
  <si>
    <t>A-U</t>
  </si>
  <si>
    <t>09</t>
  </si>
  <si>
    <t>Mining support service activities</t>
  </si>
  <si>
    <t>Manufacture of coke and refined petroleum</t>
  </si>
  <si>
    <t xml:space="preserve">        Manufacture of basic pharmaceutical products and pharmaceutical preparations</t>
  </si>
  <si>
    <t>27-30</t>
  </si>
  <si>
    <t>Manufacture of electric and machinery equipment, motor vehicles, trailers, semi-trailers and other transport equipment</t>
  </si>
  <si>
    <t>35</t>
  </si>
  <si>
    <t>ELECTRICITY, GAS, STEAM, AIR CONDITIONING</t>
  </si>
  <si>
    <t>36-39</t>
  </si>
  <si>
    <t>WATER SUPPLY; SEWERAGE, WASTE MANAGEMENT AND REMEDIATION ACTIVITIES</t>
  </si>
  <si>
    <t>G</t>
  </si>
  <si>
    <t>WHOLESALE AND RETAIL TRADE, REPAIR OF MOTOR VEHICLES AND MOTOCYCLES</t>
  </si>
  <si>
    <t>TRANSPORTATION AND STORAGE</t>
  </si>
  <si>
    <t>I</t>
  </si>
  <si>
    <t>55-56</t>
  </si>
  <si>
    <t>ACCOMODATION AND FOOD SERVICE ACTIVITIES</t>
  </si>
  <si>
    <t>J</t>
  </si>
  <si>
    <t>INFORMATION AND COMMUNICATION</t>
  </si>
  <si>
    <t>FINANCIAL AND INSURANCE ACTIVITIES</t>
  </si>
  <si>
    <t>L</t>
  </si>
  <si>
    <t>REAL ESTATE ACTIVITIES</t>
  </si>
  <si>
    <t>PROFESSIONAL, SCIENTIFIC AND TECHNICAL ACTIVITIES</t>
  </si>
  <si>
    <t>N</t>
  </si>
  <si>
    <t>ADMINISTRATIVE AND SUPPORT ACTIVITIES</t>
  </si>
  <si>
    <t>78-79</t>
  </si>
  <si>
    <t xml:space="preserve">        Travel agency, tour operator reservation service and related activities</t>
  </si>
  <si>
    <t xml:space="preserve">        Security and investigation activities</t>
  </si>
  <si>
    <t>PUBLIC ADMINISTRATION AND DEFENCE; COMPULSORY SOCIAL SECURITY</t>
  </si>
  <si>
    <t>EDUCATION</t>
  </si>
  <si>
    <t>853</t>
  </si>
  <si>
    <t>85.3</t>
  </si>
  <si>
    <t>Higher education</t>
  </si>
  <si>
    <t>90-91</t>
  </si>
  <si>
    <t>Creative, arts and entertainment, libraries, archives, museums and other cultural activities</t>
  </si>
  <si>
    <t>94-96</t>
  </si>
  <si>
    <t>OTHER SERVICE ACTIVITIES</t>
  </si>
  <si>
    <t>94</t>
  </si>
  <si>
    <t>Activities of membership organisations</t>
  </si>
  <si>
    <t>97-98</t>
  </si>
  <si>
    <t xml:space="preserve">ACTIVITIES OF HOUSELHOLDS AS EMPLOYERS </t>
  </si>
  <si>
    <t>99</t>
  </si>
  <si>
    <t>ACTIVITIES OF EXTRATERRITORIAL ORGANISATIONS AND BODIES</t>
  </si>
  <si>
    <t>Articles</t>
  </si>
  <si>
    <t>Books</t>
  </si>
  <si>
    <t>Named as inventors in patents</t>
  </si>
  <si>
    <t>Patents granted</t>
  </si>
  <si>
    <t>Commercialised products or processes or patents licensed</t>
  </si>
  <si>
    <t>Start-up companies</t>
  </si>
  <si>
    <t>TOTAL OUTPUTS</t>
  </si>
  <si>
    <t xml:space="preserve">   Less than 35 years old</t>
  </si>
  <si>
    <t>TOTAL OUTPUTS (men and women)</t>
  </si>
  <si>
    <r>
      <rPr>
        <i/>
        <sz val="9"/>
        <color theme="0" tint="-0.499984740745262"/>
        <rFont val="Arial"/>
        <family val="2"/>
      </rPr>
      <t xml:space="preserve">of which: </t>
    </r>
    <r>
      <rPr>
        <b/>
        <sz val="10"/>
        <color theme="0" tint="-0.499984740745262"/>
        <rFont val="Arial"/>
        <family val="2"/>
      </rPr>
      <t xml:space="preserve">
  Unknown gender</t>
    </r>
  </si>
  <si>
    <t>Table OUTP1.  Outputs of Doctorate Holders working as Researchers in the last three years by Field of Doctorate</t>
  </si>
  <si>
    <t>Table OUTP2.  Outputs of Doctorate Holders working as Researchers in the last three years by Age Class and Sex</t>
  </si>
  <si>
    <t>Methodology</t>
  </si>
  <si>
    <t>Innovation</t>
  </si>
  <si>
    <t>Critical, analytical thinking</t>
  </si>
  <si>
    <t>Career management</t>
  </si>
  <si>
    <t>Employment context</t>
  </si>
  <si>
    <t>Problem solving</t>
  </si>
  <si>
    <t>Effective communication</t>
  </si>
  <si>
    <t>Creativity</t>
  </si>
  <si>
    <t>Flexibility</t>
  </si>
  <si>
    <t>Responsibility</t>
  </si>
  <si>
    <t>Networking</t>
  </si>
  <si>
    <t>Subject knowledge</t>
  </si>
  <si>
    <t>Project management</t>
  </si>
  <si>
    <t>Leadership</t>
  </si>
  <si>
    <t>Team working</t>
  </si>
  <si>
    <t>Very poor</t>
  </si>
  <si>
    <t>Poor</t>
  </si>
  <si>
    <t>Fair</t>
  </si>
  <si>
    <t>Good</t>
  </si>
  <si>
    <t>Very good</t>
  </si>
  <si>
    <t>(Number of outputs)</t>
  </si>
  <si>
    <t>Higher education sector</t>
  </si>
  <si>
    <t>Unknown sector</t>
  </si>
  <si>
    <t>Of little imprortance</t>
  </si>
  <si>
    <t>Moderately important</t>
  </si>
  <si>
    <t>Very important</t>
  </si>
  <si>
    <t>Unimportant</t>
  </si>
  <si>
    <t>Important</t>
  </si>
  <si>
    <t>Table ED6.  Doctorate Holders: Knowledge, Attributes and Behaviours at the Time of Advanced Research Degree Completion (optional table)</t>
  </si>
  <si>
    <t>Table EMP10.  Employed Doctorate Holders: Knowledge, Attributes and Behaviours  in Current Job by Sector of Employment  (optional table)</t>
  </si>
  <si>
    <t>5. Scientific output</t>
  </si>
  <si>
    <t>Languages</t>
  </si>
  <si>
    <t>Enthusiasm</t>
  </si>
  <si>
    <t>(Tables indicated in grey are optional, tables indicated in borown are on recent doctorate recipients)</t>
  </si>
  <si>
    <t xml:space="preserve">Chile </t>
  </si>
  <si>
    <t>10/23/2015 - 11/20/2015</t>
  </si>
  <si>
    <t>Yes</t>
  </si>
  <si>
    <t>No</t>
  </si>
  <si>
    <t>In the survey, respondents had to answer only about the principal source of funding</t>
  </si>
  <si>
    <t>Given that the reported income is a discrete rather than a continuous variable, estimations were made asuming a uniform distribution of income withing each range of income</t>
  </si>
  <si>
    <t>Estimation is based on a question on range of incomes (thousand pesos): 1) less than $600, 2) between $601 and $1000, 3) between $1001 and $1700, 4) between 1701 and 2500, 5) between 2501 and $3750, 6) betweeen 3751 and 5000, 7) between 5001 and 6700, 8) more than 6700</t>
  </si>
  <si>
    <t xml:space="preserve">el 2013 y 2014 están incluidos en los totales </t>
  </si>
  <si>
    <t xml:space="preserve">Foreign born who have chilean citizenship are included in Unknown status. </t>
  </si>
  <si>
    <t>Cuba and Puerto Rico are included in Total Central and South America.</t>
  </si>
  <si>
    <t>Data refers to the country where they course their secondary studies.</t>
  </si>
  <si>
    <t>The questionnaire included a question on previous degrees that was not mandatory.</t>
  </si>
  <si>
    <t xml:space="preserve">Foreign-born who have Chilean citizenship is included in Unknown status. </t>
  </si>
  <si>
    <t>Temporary contracts include all contract up to a year-long one.</t>
  </si>
  <si>
    <t>Totals include individuals whose degree were granted between 2013-2014.</t>
  </si>
  <si>
    <t xml:space="preserve">Estimation based on the middle point of each range. (if there is no middle point, estimation based on the limit value) </t>
  </si>
  <si>
    <t xml:space="preserve">Carry out a doctorate is included in Unspecified reason. </t>
  </si>
  <si>
    <t xml:space="preserve">Carry out a postdoc is included in Other job related or economic factors. </t>
  </si>
  <si>
    <t xml:space="preserve">Esta pregunta está hecha en base a la pregunta del cuestionario que solicitaba la cantidad de veces que ha salido durante 3 o más semanas. </t>
  </si>
  <si>
    <t>*********************************************************NO APTA PARA REPORTAR**********************************************************************************</t>
  </si>
  <si>
    <t>***********************NO SE PREGUNTA ESPECÍFICAMENTE EN LA ENCUESTA**************************</t>
  </si>
  <si>
    <t xml:space="preserve">Researchers that did not report their field of occupations are classified under Unspecified professionals. </t>
  </si>
  <si>
    <t>**********************NO HAY DATOS SOBRE LA INDUSTRIA DE LA EMPRESA DONDE TRABAJAN LOS DOCTORES******************</t>
  </si>
  <si>
    <t>International Organizations are classified under Unknown sector of employment.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</si>
</sst>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numFmts>
  <fonts count="86" x14ac:knownFonts="1">
    <font>
      <sz val="10"/>
      <name val="Arial"/>
    </font>
    <font>
      <sz val="10"/>
      <color theme="1"/>
      <name val="Arial"/>
      <family val="2"/>
    </font>
    <font>
      <sz val="12"/>
      <name val="Arial"/>
      <family val="2"/>
    </font>
    <font>
      <b/>
      <sz val="12"/>
      <name val="Arial"/>
      <family val="2"/>
    </font>
    <font>
      <sz val="9"/>
      <name val="Arial"/>
      <family val="2"/>
    </font>
    <font>
      <b/>
      <sz val="10"/>
      <color indexed="48"/>
      <name val="Arial"/>
      <family val="2"/>
      <charset val="161"/>
    </font>
    <font>
      <b/>
      <sz val="9"/>
      <name val="Arial"/>
      <family val="2"/>
      <charset val="161"/>
    </font>
    <font>
      <sz val="9"/>
      <name val="Arial"/>
      <family val="2"/>
      <charset val="161"/>
    </font>
    <font>
      <u/>
      <sz val="10"/>
      <color indexed="12"/>
      <name val="Arial"/>
      <family val="2"/>
    </font>
    <font>
      <b/>
      <u/>
      <sz val="9"/>
      <color indexed="48"/>
      <name val="Arial"/>
      <family val="2"/>
      <charset val="161"/>
    </font>
    <font>
      <b/>
      <sz val="9"/>
      <color indexed="48"/>
      <name val="Arial"/>
      <family val="2"/>
      <charset val="161"/>
    </font>
    <font>
      <b/>
      <sz val="9"/>
      <color indexed="12"/>
      <name val="Arial"/>
      <family val="2"/>
      <charset val="161"/>
    </font>
    <font>
      <u/>
      <sz val="8"/>
      <color indexed="12"/>
      <name val="Arial"/>
      <family val="2"/>
    </font>
    <font>
      <sz val="8"/>
      <name val="Arial"/>
      <family val="2"/>
    </font>
    <font>
      <b/>
      <sz val="14"/>
      <name val="Arial"/>
      <family val="2"/>
    </font>
    <font>
      <sz val="10"/>
      <name val="Arial"/>
      <family val="2"/>
    </font>
    <font>
      <b/>
      <sz val="10"/>
      <name val="Arial"/>
      <family val="2"/>
    </font>
    <font>
      <b/>
      <i/>
      <sz val="10"/>
      <name val="Arial"/>
      <family val="2"/>
    </font>
    <font>
      <sz val="10"/>
      <color indexed="12"/>
      <name val="Arial"/>
      <family val="2"/>
    </font>
    <font>
      <b/>
      <i/>
      <sz val="10"/>
      <color indexed="12"/>
      <name val="Arial"/>
      <family val="2"/>
    </font>
    <font>
      <i/>
      <sz val="10"/>
      <name val="Arial"/>
      <family val="2"/>
    </font>
    <font>
      <b/>
      <sz val="9"/>
      <name val="Arial"/>
      <family val="2"/>
    </font>
    <font>
      <i/>
      <sz val="9"/>
      <name val="Arial"/>
      <family val="2"/>
    </font>
    <font>
      <i/>
      <sz val="8"/>
      <name val="Arial"/>
      <family val="2"/>
    </font>
    <font>
      <b/>
      <sz val="12"/>
      <color indexed="10"/>
      <name val="Arial"/>
      <family val="2"/>
    </font>
    <font>
      <b/>
      <sz val="10"/>
      <color indexed="12"/>
      <name val="Arial"/>
      <family val="2"/>
    </font>
    <font>
      <i/>
      <sz val="10"/>
      <name val="Arial"/>
      <family val="2"/>
      <charset val="161"/>
    </font>
    <font>
      <b/>
      <sz val="11"/>
      <name val="Arial"/>
      <family val="2"/>
    </font>
    <font>
      <b/>
      <i/>
      <sz val="11"/>
      <name val="Arial"/>
      <family val="2"/>
    </font>
    <font>
      <b/>
      <i/>
      <sz val="10"/>
      <color indexed="55"/>
      <name val="Arial"/>
      <family val="2"/>
    </font>
    <font>
      <b/>
      <sz val="10"/>
      <color indexed="55"/>
      <name val="Arial"/>
      <family val="2"/>
    </font>
    <font>
      <i/>
      <sz val="9"/>
      <color indexed="23"/>
      <name val="Arial"/>
      <family val="2"/>
    </font>
    <font>
      <b/>
      <sz val="10"/>
      <color indexed="23"/>
      <name val="Arial"/>
      <family val="2"/>
    </font>
    <font>
      <b/>
      <sz val="8"/>
      <name val="Arial"/>
      <family val="2"/>
    </font>
    <font>
      <b/>
      <sz val="10"/>
      <color indexed="10"/>
      <name val="Arial"/>
      <family val="2"/>
    </font>
    <font>
      <vertAlign val="superscript"/>
      <sz val="10"/>
      <name val="Arial"/>
      <family val="2"/>
    </font>
    <font>
      <b/>
      <sz val="12"/>
      <color indexed="55"/>
      <name val="Arial"/>
      <family val="2"/>
    </font>
    <font>
      <b/>
      <sz val="14"/>
      <color indexed="61"/>
      <name val="Arial"/>
      <family val="2"/>
    </font>
    <font>
      <sz val="10"/>
      <color indexed="8"/>
      <name val="Arial"/>
      <family val="2"/>
    </font>
    <font>
      <sz val="8"/>
      <color indexed="62"/>
      <name val="Arial"/>
      <family val="2"/>
    </font>
    <font>
      <sz val="9"/>
      <color indexed="12"/>
      <name val="Arial"/>
      <family val="2"/>
    </font>
    <font>
      <sz val="10"/>
      <color indexed="10"/>
      <name val="Arial"/>
      <family val="2"/>
    </font>
    <font>
      <i/>
      <sz val="10"/>
      <color indexed="55"/>
      <name val="Arial"/>
      <family val="2"/>
    </font>
    <font>
      <sz val="10"/>
      <color theme="1"/>
      <name val="Arial"/>
      <family val="2"/>
    </font>
    <font>
      <b/>
      <sz val="10"/>
      <color theme="1"/>
      <name val="Arial"/>
      <family val="2"/>
    </font>
    <font>
      <b/>
      <sz val="12"/>
      <color rgb="FF002060"/>
      <name val="Arial"/>
      <family val="2"/>
    </font>
    <font>
      <b/>
      <u/>
      <sz val="9"/>
      <color theme="5" tint="-0.249977111117893"/>
      <name val="Arial"/>
      <family val="2"/>
      <charset val="161"/>
    </font>
    <font>
      <sz val="9"/>
      <color theme="0" tint="-0.499984740745262"/>
      <name val="Arial"/>
      <family val="2"/>
      <charset val="161"/>
    </font>
    <font>
      <b/>
      <u/>
      <sz val="9"/>
      <color theme="0" tint="-0.499984740745262"/>
      <name val="Arial"/>
      <family val="2"/>
    </font>
    <font>
      <b/>
      <sz val="8"/>
      <color theme="4" tint="-0.249977111117893"/>
      <name val="Arial"/>
      <family val="2"/>
    </font>
    <font>
      <b/>
      <sz val="12"/>
      <color theme="4" tint="-0.249977111117893"/>
      <name val="Arial"/>
      <family val="2"/>
    </font>
    <font>
      <sz val="10"/>
      <color theme="4" tint="-0.249977111117893"/>
      <name val="Arial"/>
      <family val="2"/>
    </font>
    <font>
      <b/>
      <sz val="10"/>
      <color theme="0" tint="-0.249977111117893"/>
      <name val="Arial"/>
      <family val="2"/>
    </font>
    <font>
      <sz val="10"/>
      <color theme="0" tint="-0.249977111117893"/>
      <name val="Arial"/>
      <family val="2"/>
    </font>
    <font>
      <b/>
      <sz val="12"/>
      <color theme="4" tint="-0.499984740745262"/>
      <name val="Arial"/>
      <family val="2"/>
    </font>
    <font>
      <u/>
      <sz val="10"/>
      <color theme="4" tint="-0.249977111117893"/>
      <name val="Arial"/>
      <family val="2"/>
    </font>
    <font>
      <sz val="10"/>
      <color rgb="FF000000"/>
      <name val="Arial"/>
      <family val="2"/>
    </font>
    <font>
      <b/>
      <sz val="10"/>
      <color theme="0" tint="-0.34998626667073579"/>
      <name val="Arial"/>
      <family val="2"/>
    </font>
    <font>
      <sz val="10"/>
      <color theme="0" tint="-0.34998626667073579"/>
      <name val="Arial"/>
      <family val="2"/>
    </font>
    <font>
      <b/>
      <sz val="10"/>
      <color theme="4" tint="-0.249977111117893"/>
      <name val="Arial"/>
      <family val="2"/>
    </font>
    <font>
      <b/>
      <sz val="9"/>
      <color theme="0" tint="-0.249977111117893"/>
      <name val="Arial"/>
      <family val="2"/>
    </font>
    <font>
      <b/>
      <sz val="10"/>
      <color theme="0" tint="-0.499984740745262"/>
      <name val="Arial"/>
      <family val="2"/>
    </font>
    <font>
      <sz val="10"/>
      <color theme="0" tint="-0.499984740745262"/>
      <name val="Arial"/>
      <family val="2"/>
    </font>
    <font>
      <b/>
      <i/>
      <sz val="10"/>
      <color theme="4" tint="-0.249977111117893"/>
      <name val="Arial"/>
      <family val="2"/>
    </font>
    <font>
      <sz val="9"/>
      <color theme="0" tint="-0.34998626667073579"/>
      <name val="Arial"/>
      <family val="2"/>
    </font>
    <font>
      <sz val="9"/>
      <color theme="0" tint="-0.249977111117893"/>
      <name val="Arial"/>
      <family val="2"/>
    </font>
    <font>
      <sz val="8"/>
      <color theme="0" tint="-0.249977111117893"/>
      <name val="Arial"/>
      <family val="2"/>
    </font>
    <font>
      <i/>
      <sz val="10"/>
      <color theme="4" tint="-0.249977111117893"/>
      <name val="Arial"/>
      <family val="2"/>
    </font>
    <font>
      <b/>
      <i/>
      <sz val="11"/>
      <color theme="4" tint="-0.249977111117893"/>
      <name val="Arial"/>
      <family val="2"/>
    </font>
    <font>
      <i/>
      <sz val="9"/>
      <color theme="4" tint="-0.249977111117893"/>
      <name val="Arial"/>
      <family val="2"/>
    </font>
    <font>
      <b/>
      <u/>
      <sz val="9"/>
      <color theme="0" tint="-0.34998626667073579"/>
      <name val="Arial"/>
      <family val="2"/>
    </font>
    <font>
      <b/>
      <sz val="8"/>
      <color theme="0" tint="-0.499984740745262"/>
      <name val="Arial"/>
      <family val="2"/>
    </font>
    <font>
      <b/>
      <sz val="10"/>
      <color theme="1" tint="0.499984740745262"/>
      <name val="Arial"/>
      <family val="2"/>
    </font>
    <font>
      <sz val="10"/>
      <color theme="1" tint="0.499984740745262"/>
      <name val="Arial"/>
      <family val="2"/>
    </font>
    <font>
      <sz val="10"/>
      <color theme="8" tint="0.79998168889431442"/>
      <name val="Arial"/>
      <family val="2"/>
    </font>
    <font>
      <sz val="9"/>
      <color theme="0" tint="-0.499984740745262"/>
      <name val="Arial"/>
      <family val="2"/>
    </font>
    <font>
      <b/>
      <sz val="9"/>
      <color theme="0" tint="-0.499984740745262"/>
      <name val="Arial"/>
      <family val="2"/>
    </font>
    <font>
      <b/>
      <vertAlign val="superscript"/>
      <sz val="12"/>
      <color theme="4" tint="-0.249977111117893"/>
      <name val="Arial"/>
      <family val="2"/>
    </font>
    <font>
      <sz val="10"/>
      <name val="Courier"/>
      <family val="3"/>
    </font>
    <font>
      <i/>
      <sz val="10"/>
      <name val="Arial Narrow"/>
      <family val="2"/>
    </font>
    <font>
      <sz val="10"/>
      <name val="Arial Narrow"/>
      <family val="2"/>
    </font>
    <font>
      <b/>
      <sz val="10"/>
      <name val="Arial Narrow"/>
      <family val="2"/>
    </font>
    <font>
      <sz val="10"/>
      <color theme="0" tint="-0.499984740745262"/>
      <name val="Arial Narrow"/>
      <family val="2"/>
    </font>
    <font>
      <b/>
      <sz val="12"/>
      <color theme="1"/>
      <name val="Calibri"/>
      <family val="2"/>
      <scheme val="minor"/>
    </font>
    <font>
      <sz val="11"/>
      <color theme="1"/>
      <name val="Calibri"/>
      <family val="2"/>
      <scheme val="minor"/>
    </font>
    <font>
      <i/>
      <sz val="9"/>
      <color theme="0" tint="-0.499984740745262"/>
      <name val="Arial"/>
      <family val="2"/>
    </font>
  </fonts>
  <fills count="1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3" tint="0.59999389629810485"/>
        <bgColor indexed="64"/>
      </patternFill>
    </fill>
    <fill>
      <patternFill patternType="solid">
        <fgColor rgb="FFFFFFCC"/>
        <bgColor indexed="64"/>
      </patternFill>
    </fill>
    <fill>
      <patternFill patternType="solid">
        <fgColor theme="0"/>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E8E8E8"/>
        <bgColor indexed="64"/>
      </patternFill>
    </fill>
    <fill>
      <patternFill patternType="solid">
        <fgColor rgb="FFDBEEF3"/>
        <bgColor indexed="64"/>
      </patternFill>
    </fill>
    <fill>
      <patternFill patternType="solid">
        <fgColor theme="6" tint="0.59996337778862885"/>
        <bgColor indexed="64"/>
      </patternFill>
    </fill>
    <fill>
      <patternFill patternType="solid">
        <fgColor theme="7" tint="0.79998168889431442"/>
        <bgColor indexed="64"/>
      </patternFill>
    </fill>
    <fill>
      <patternFill patternType="solid">
        <fgColor theme="5" tint="0.59996337778862885"/>
        <bgColor indexed="64"/>
      </patternFill>
    </fill>
    <fill>
      <patternFill patternType="solid">
        <fgColor theme="5" tint="0.59999389629810485"/>
        <bgColor indexed="64"/>
      </patternFill>
    </fill>
  </fills>
  <borders count="30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dotted">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dotted">
        <color indexed="64"/>
      </right>
      <top/>
      <bottom style="thin">
        <color indexed="64"/>
      </bottom>
      <diagonal/>
    </border>
    <border>
      <left/>
      <right style="thin">
        <color indexed="64"/>
      </right>
      <top/>
      <bottom style="thin">
        <color indexed="64"/>
      </bottom>
      <diagonal/>
    </border>
    <border>
      <left style="thin">
        <color indexed="64"/>
      </left>
      <right/>
      <top style="dotted">
        <color indexed="64"/>
      </top>
      <bottom/>
      <diagonal/>
    </border>
    <border>
      <left style="thin">
        <color indexed="64"/>
      </left>
      <right/>
      <top/>
      <bottom style="dotted">
        <color indexed="64"/>
      </bottom>
      <diagonal/>
    </border>
    <border>
      <left style="dotted">
        <color indexed="64"/>
      </left>
      <right style="dotted">
        <color indexed="64"/>
      </right>
      <top style="thin">
        <color indexed="64"/>
      </top>
      <bottom/>
      <diagonal/>
    </border>
    <border>
      <left/>
      <right style="dotted">
        <color indexed="64"/>
      </right>
      <top/>
      <bottom/>
      <diagonal/>
    </border>
    <border>
      <left style="dotted">
        <color indexed="64"/>
      </left>
      <right style="dotted">
        <color indexed="64"/>
      </right>
      <top/>
      <bottom/>
      <diagonal/>
    </border>
    <border>
      <left/>
      <right style="thin">
        <color indexed="64"/>
      </right>
      <top/>
      <bottom/>
      <diagonal/>
    </border>
    <border>
      <left/>
      <right style="dotted">
        <color indexed="64"/>
      </right>
      <top style="thin">
        <color indexed="64"/>
      </top>
      <bottom style="thin">
        <color indexed="64"/>
      </bottom>
      <diagonal/>
    </border>
    <border>
      <left style="thin">
        <color indexed="64"/>
      </left>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bottom style="dotted">
        <color indexed="64"/>
      </bottom>
      <diagonal/>
    </border>
    <border>
      <left style="dotted">
        <color indexed="64"/>
      </left>
      <right/>
      <top style="thin">
        <color indexed="64"/>
      </top>
      <bottom/>
      <diagonal/>
    </border>
    <border>
      <left style="dotted">
        <color indexed="64"/>
      </left>
      <right style="dotted">
        <color indexed="64"/>
      </right>
      <top/>
      <bottom style="thin">
        <color indexed="64"/>
      </bottom>
      <diagonal/>
    </border>
    <border>
      <left style="thin">
        <color indexed="64"/>
      </left>
      <right style="dotted">
        <color indexed="64"/>
      </right>
      <top style="thin">
        <color indexed="64"/>
      </top>
      <bottom/>
      <diagonal/>
    </border>
    <border>
      <left/>
      <right style="thin">
        <color indexed="64"/>
      </right>
      <top style="thin">
        <color indexed="64"/>
      </top>
      <bottom style="dotted">
        <color indexed="64"/>
      </bottom>
      <diagonal/>
    </border>
    <border>
      <left/>
      <right style="thin">
        <color indexed="64"/>
      </right>
      <top style="dotted">
        <color indexed="64"/>
      </top>
      <bottom style="thin">
        <color indexed="64"/>
      </bottom>
      <diagonal/>
    </border>
    <border>
      <left/>
      <right style="thin">
        <color indexed="64"/>
      </right>
      <top/>
      <bottom style="dotted">
        <color indexed="64"/>
      </bottom>
      <diagonal/>
    </border>
    <border>
      <left style="dotted">
        <color indexed="64"/>
      </left>
      <right style="thin">
        <color indexed="64"/>
      </right>
      <top/>
      <bottom style="dotted">
        <color indexed="64"/>
      </bottom>
      <diagonal/>
    </border>
    <border>
      <left/>
      <right style="dotted">
        <color indexed="64"/>
      </right>
      <top style="thin">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right/>
      <top style="thin">
        <color indexed="64"/>
      </top>
      <bottom style="dotted">
        <color indexed="64"/>
      </bottom>
      <diagonal/>
    </border>
    <border>
      <left style="thin">
        <color indexed="64"/>
      </left>
      <right style="dotted">
        <color indexed="64"/>
      </right>
      <top style="thin">
        <color indexed="64"/>
      </top>
      <bottom style="dotted">
        <color indexed="64"/>
      </bottom>
      <diagonal/>
    </border>
    <border>
      <left style="dotted">
        <color indexed="64"/>
      </left>
      <right style="dotted">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top/>
      <bottom style="dotted">
        <color indexed="64"/>
      </bottom>
      <diagonal/>
    </border>
    <border>
      <left/>
      <right/>
      <top style="dotted">
        <color indexed="64"/>
      </top>
      <bottom/>
      <diagonal/>
    </border>
    <border>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3743705557422"/>
      </right>
      <top style="thin">
        <color indexed="64"/>
      </top>
      <bottom style="thin">
        <color theme="0" tint="-0.14996795556505021"/>
      </bottom>
      <diagonal/>
    </border>
    <border>
      <left/>
      <right/>
      <top style="thin">
        <color indexed="64"/>
      </top>
      <bottom style="thin">
        <color theme="0" tint="-0.14996795556505021"/>
      </bottom>
      <diagonal/>
    </border>
    <border>
      <left/>
      <right style="thin">
        <color theme="0" tint="-0.14996795556505021"/>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3743705557422"/>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theme="0" tint="-0.14996795556505021"/>
      </right>
      <top/>
      <bottom/>
      <diagonal/>
    </border>
    <border>
      <left style="thin">
        <color theme="0" tint="-0.14996795556505021"/>
      </left>
      <right style="thin">
        <color theme="0" tint="-0.14993743705557422"/>
      </right>
      <top/>
      <bottom/>
      <diagonal/>
    </border>
    <border>
      <left/>
      <right style="thin">
        <color theme="0" tint="-0.14996795556505021"/>
      </right>
      <top/>
      <bottom/>
      <diagonal/>
    </border>
    <border>
      <left style="thin">
        <color theme="0" tint="-0.14996795556505021"/>
      </left>
      <right style="thin">
        <color theme="0" tint="-0.14996795556505021"/>
      </right>
      <top style="dotted">
        <color indexed="64"/>
      </top>
      <bottom style="thin">
        <color indexed="64"/>
      </bottom>
      <diagonal/>
    </border>
    <border>
      <left/>
      <right/>
      <top/>
      <bottom style="thin">
        <color theme="0" tint="-0.14996795556505021"/>
      </bottom>
      <diagonal/>
    </border>
    <border>
      <left/>
      <right/>
      <top style="thin">
        <color theme="0" tint="-0.14993743705557422"/>
      </top>
      <bottom style="thin">
        <color theme="0" tint="-0.14996795556505021"/>
      </bottom>
      <diagonal/>
    </border>
    <border>
      <left/>
      <right/>
      <top style="thin">
        <color theme="0" tint="-0.14996795556505021"/>
      </top>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dotted">
        <color indexed="64"/>
      </right>
      <top style="thin">
        <color indexed="64"/>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dotted">
        <color indexed="64"/>
      </right>
      <top style="thin">
        <color theme="0" tint="-0.14996795556505021"/>
      </top>
      <bottom style="thin">
        <color theme="0" tint="-0.14996795556505021"/>
      </bottom>
      <diagonal/>
    </border>
    <border>
      <left/>
      <right style="thin">
        <color indexed="64"/>
      </right>
      <top style="thin">
        <color theme="0" tint="-0.14996795556505021"/>
      </top>
      <bottom style="thin">
        <color theme="0" tint="-0.14996795556505021"/>
      </bottom>
      <diagonal/>
    </border>
    <border>
      <left style="thin">
        <color theme="0" tint="-0.14996795556505021"/>
      </left>
      <right style="thin">
        <color theme="0" tint="-0.14996795556505021"/>
      </right>
      <top/>
      <bottom/>
      <diagonal/>
    </border>
    <border>
      <left style="thin">
        <color theme="0" tint="-0.14996795556505021"/>
      </left>
      <right style="dotted">
        <color indexed="64"/>
      </right>
      <top/>
      <bottom style="dotted">
        <color indexed="64"/>
      </bottom>
      <diagonal/>
    </border>
    <border>
      <left style="thin">
        <color indexed="64"/>
      </left>
      <right style="thin">
        <color theme="0" tint="-0.14996795556505021"/>
      </right>
      <top/>
      <bottom style="dotted">
        <color indexed="64"/>
      </bottom>
      <diagonal/>
    </border>
    <border>
      <left style="thin">
        <color theme="0" tint="-0.14996795556505021"/>
      </left>
      <right style="thin">
        <color theme="0" tint="-0.14996795556505021"/>
      </right>
      <top/>
      <bottom style="dotted">
        <color indexed="64"/>
      </bottom>
      <diagonal/>
    </border>
    <border>
      <left style="thin">
        <color indexed="64"/>
      </left>
      <right style="thin">
        <color theme="0" tint="-0.14996795556505021"/>
      </right>
      <top style="dotted">
        <color indexed="64"/>
      </top>
      <bottom style="thin">
        <color indexed="64"/>
      </bottom>
      <diagonal/>
    </border>
    <border>
      <left style="thin">
        <color theme="0" tint="-0.14996795556505021"/>
      </left>
      <right style="dotted">
        <color indexed="64"/>
      </right>
      <top/>
      <bottom style="thin">
        <color indexed="64"/>
      </bottom>
      <diagonal/>
    </border>
    <border>
      <left style="thin">
        <color indexed="64"/>
      </left>
      <right style="thin">
        <color theme="0" tint="-0.14996795556505021"/>
      </right>
      <top/>
      <bottom style="thin">
        <color indexed="64"/>
      </bottom>
      <diagonal/>
    </border>
    <border>
      <left style="thin">
        <color theme="0" tint="-0.14996795556505021"/>
      </left>
      <right style="thin">
        <color theme="0" tint="-0.14996795556505021"/>
      </right>
      <top/>
      <bottom style="thin">
        <color indexed="64"/>
      </bottom>
      <diagonal/>
    </border>
    <border>
      <left style="thin">
        <color indexed="64"/>
      </left>
      <right/>
      <top style="thin">
        <color indexed="64"/>
      </top>
      <bottom style="thin">
        <color theme="0" tint="-0.14996795556505021"/>
      </bottom>
      <diagonal/>
    </border>
    <border>
      <left style="dotted">
        <color indexed="64"/>
      </left>
      <right style="dotted">
        <color indexed="64"/>
      </right>
      <top style="thin">
        <color indexed="64"/>
      </top>
      <bottom style="thin">
        <color theme="0" tint="-0.14996795556505021"/>
      </bottom>
      <diagonal/>
    </border>
    <border>
      <left style="thin">
        <color indexed="64"/>
      </left>
      <right style="thin">
        <color theme="0" tint="-0.14996795556505021"/>
      </right>
      <top style="thin">
        <color indexed="64"/>
      </top>
      <bottom style="dotted">
        <color indexed="64"/>
      </bottom>
      <diagonal/>
    </border>
    <border>
      <left style="thin">
        <color theme="0" tint="-0.14996795556505021"/>
      </left>
      <right style="thin">
        <color theme="0" tint="-0.14993743705557422"/>
      </right>
      <top style="thin">
        <color indexed="64"/>
      </top>
      <bottom style="dotted">
        <color indexed="64"/>
      </bottom>
      <diagonal/>
    </border>
    <border>
      <left/>
      <right style="thin">
        <color theme="0" tint="-0.14996795556505021"/>
      </right>
      <top style="thin">
        <color indexed="64"/>
      </top>
      <bottom style="dotted">
        <color indexed="64"/>
      </bottom>
      <diagonal/>
    </border>
    <border>
      <left style="thin">
        <color indexed="64"/>
      </left>
      <right style="thin">
        <color theme="0" tint="-0.14996795556505021"/>
      </right>
      <top/>
      <bottom style="thin">
        <color theme="0" tint="-0.14996795556505021"/>
      </bottom>
      <diagonal/>
    </border>
    <border>
      <left style="thin">
        <color theme="0" tint="-0.14996795556505021"/>
      </left>
      <right style="thin">
        <color theme="0" tint="-0.14993743705557422"/>
      </right>
      <top/>
      <bottom style="thin">
        <color theme="0" tint="-0.14996795556505021"/>
      </bottom>
      <diagonal/>
    </border>
    <border>
      <left/>
      <right style="dotted">
        <color indexed="64"/>
      </right>
      <top/>
      <bottom style="thin">
        <color theme="0" tint="-0.14996795556505021"/>
      </bottom>
      <diagonal/>
    </border>
    <border>
      <left/>
      <right style="dotted">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3743705557422"/>
      </right>
      <top style="thin">
        <color theme="0" tint="-0.14996795556505021"/>
      </top>
      <bottom style="thin">
        <color indexed="64"/>
      </bottom>
      <diagonal/>
    </border>
    <border>
      <left/>
      <right style="dotted">
        <color indexed="64"/>
      </right>
      <top style="thin">
        <color theme="0" tint="-0.14996795556505021"/>
      </top>
      <bottom style="thin">
        <color indexed="64"/>
      </bottom>
      <diagonal/>
    </border>
    <border>
      <left/>
      <right style="thin">
        <color indexed="64"/>
      </right>
      <top style="thin">
        <color theme="0" tint="-0.14996795556505021"/>
      </top>
      <bottom style="thin">
        <color indexed="64"/>
      </bottom>
      <diagonal/>
    </border>
    <border>
      <left/>
      <right style="thin">
        <color theme="0" tint="-0.14996795556505021"/>
      </right>
      <top/>
      <bottom style="thin">
        <color theme="0" tint="-0.14996795556505021"/>
      </bottom>
      <diagonal/>
    </border>
    <border>
      <left style="thin">
        <color indexed="64"/>
      </left>
      <right style="thin">
        <color theme="0" tint="-0.14996795556505021"/>
      </right>
      <top style="thin">
        <color theme="0" tint="-0.14996795556505021"/>
      </top>
      <bottom/>
      <diagonal/>
    </border>
    <border>
      <left style="thin">
        <color theme="0" tint="-0.14996795556505021"/>
      </left>
      <right style="thin">
        <color theme="0" tint="-0.14993743705557422"/>
      </right>
      <top style="thin">
        <color theme="0" tint="-0.14996795556505021"/>
      </top>
      <bottom/>
      <diagonal/>
    </border>
    <border>
      <left/>
      <right style="dotted">
        <color indexed="64"/>
      </right>
      <top style="thin">
        <color theme="0" tint="-0.14996795556505021"/>
      </top>
      <bottom/>
      <diagonal/>
    </border>
    <border>
      <left/>
      <right style="thin">
        <color theme="0" tint="-0.14996795556505021"/>
      </right>
      <top style="thin">
        <color theme="0" tint="-0.14996795556505021"/>
      </top>
      <bottom/>
      <diagonal/>
    </border>
    <border>
      <left/>
      <right style="thin">
        <color theme="0" tint="-0.14996795556505021"/>
      </right>
      <top style="thin">
        <color theme="0" tint="-0.14996795556505021"/>
      </top>
      <bottom style="thin">
        <color indexed="64"/>
      </bottom>
      <diagonal/>
    </border>
    <border>
      <left style="thin">
        <color indexed="64"/>
      </left>
      <right style="dotted">
        <color indexed="64"/>
      </right>
      <top style="thin">
        <color theme="0" tint="-0.14996795556505021"/>
      </top>
      <bottom style="thin">
        <color theme="0" tint="-0.14996795556505021"/>
      </bottom>
      <diagonal/>
    </border>
    <border>
      <left style="dotted">
        <color indexed="64"/>
      </left>
      <right style="thin">
        <color theme="0" tint="-0.14996795556505021"/>
      </right>
      <top style="thin">
        <color theme="0" tint="-0.14996795556505021"/>
      </top>
      <bottom style="thin">
        <color theme="0" tint="-0.14996795556505021"/>
      </bottom>
      <diagonal/>
    </border>
    <border>
      <left style="dotted">
        <color indexed="64"/>
      </left>
      <right style="dotted">
        <color indexed="64"/>
      </right>
      <top style="thin">
        <color theme="0" tint="-0.14996795556505021"/>
      </top>
      <bottom style="thin">
        <color theme="0" tint="-0.14996795556505021"/>
      </bottom>
      <diagonal/>
    </border>
    <border>
      <left style="thin">
        <color indexed="64"/>
      </left>
      <right style="dotted">
        <color indexed="64"/>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dotted">
        <color indexed="64"/>
      </right>
      <top style="thin">
        <color theme="0" tint="-0.14996795556505021"/>
      </top>
      <bottom/>
      <diagonal/>
    </border>
    <border>
      <left style="dotted">
        <color indexed="64"/>
      </left>
      <right style="dotted">
        <color indexed="64"/>
      </right>
      <top style="thin">
        <color theme="0" tint="-0.14996795556505021"/>
      </top>
      <bottom/>
      <diagonal/>
    </border>
    <border>
      <left style="thin">
        <color theme="0" tint="-0.14996795556505021"/>
      </left>
      <right style="dotted">
        <color indexed="64"/>
      </right>
      <top style="dotted">
        <color indexed="64"/>
      </top>
      <bottom style="thin">
        <color indexed="64"/>
      </bottom>
      <diagonal/>
    </border>
    <border>
      <left style="thin">
        <color theme="0" tint="-0.14996795556505021"/>
      </left>
      <right style="thin">
        <color theme="0" tint="-0.14996795556505021"/>
      </right>
      <top style="thin">
        <color indexed="64"/>
      </top>
      <bottom style="dotted">
        <color indexed="64"/>
      </bottom>
      <diagonal/>
    </border>
    <border>
      <left style="thin">
        <color theme="0" tint="-0.14996795556505021"/>
      </left>
      <right style="dotted">
        <color indexed="64"/>
      </right>
      <top style="thin">
        <color indexed="64"/>
      </top>
      <bottom style="dotted">
        <color indexed="64"/>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dotted">
        <color indexed="64"/>
      </right>
      <top/>
      <bottom style="thin">
        <color theme="0" tint="-0.14996795556505021"/>
      </bottom>
      <diagonal/>
    </border>
    <border>
      <left style="thin">
        <color indexed="64"/>
      </left>
      <right style="thin">
        <color theme="0" tint="-0.14996795556505021"/>
      </right>
      <top style="thin">
        <color theme="0" tint="-0.14996795556505021"/>
      </top>
      <bottom style="dotted">
        <color indexed="64"/>
      </bottom>
      <diagonal/>
    </border>
    <border>
      <left style="thin">
        <color theme="0" tint="-0.14996795556505021"/>
      </left>
      <right style="thin">
        <color theme="0" tint="-0.14996795556505021"/>
      </right>
      <top style="thin">
        <color theme="0" tint="-0.14996795556505021"/>
      </top>
      <bottom style="dotted">
        <color indexed="64"/>
      </bottom>
      <diagonal/>
    </border>
    <border>
      <left style="thin">
        <color theme="0" tint="-0.14996795556505021"/>
      </left>
      <right style="dotted">
        <color indexed="64"/>
      </right>
      <top style="thin">
        <color theme="0" tint="-0.14996795556505021"/>
      </top>
      <bottom style="dotted">
        <color indexed="64"/>
      </bottom>
      <diagonal/>
    </border>
    <border>
      <left/>
      <right style="thin">
        <color indexed="64"/>
      </right>
      <top style="thin">
        <color theme="0" tint="-0.14996795556505021"/>
      </top>
      <bottom style="dotted">
        <color indexed="64"/>
      </bottom>
      <diagonal/>
    </border>
    <border>
      <left/>
      <right/>
      <top style="thin">
        <color theme="0" tint="-0.14996795556505021"/>
      </top>
      <bottom style="thin">
        <color indexed="64"/>
      </bottom>
      <diagonal/>
    </border>
    <border>
      <left style="dotted">
        <color indexed="64"/>
      </left>
      <right style="thin">
        <color theme="0" tint="-0.14996795556505021"/>
      </right>
      <top/>
      <bottom style="thin">
        <color theme="0" tint="-0.14996795556505021"/>
      </bottom>
      <diagonal/>
    </border>
    <border>
      <left style="dotted">
        <color indexed="64"/>
      </left>
      <right style="thin">
        <color theme="0" tint="-0.14996795556505021"/>
      </right>
      <top style="thin">
        <color indexed="64"/>
      </top>
      <bottom style="dotted">
        <color indexed="64"/>
      </bottom>
      <diagonal/>
    </border>
    <border>
      <left style="thin">
        <color indexed="64"/>
      </left>
      <right style="dotted">
        <color indexed="64"/>
      </right>
      <top/>
      <bottom style="thin">
        <color theme="0" tint="-0.14996795556505021"/>
      </bottom>
      <diagonal/>
    </border>
    <border>
      <left style="dotted">
        <color indexed="64"/>
      </left>
      <right style="dotted">
        <color indexed="64"/>
      </right>
      <top/>
      <bottom style="thin">
        <color theme="0" tint="-0.14996795556505021"/>
      </bottom>
      <diagonal/>
    </border>
    <border>
      <left style="thin">
        <color indexed="64"/>
      </left>
      <right style="dotted">
        <color indexed="64"/>
      </right>
      <top style="thin">
        <color theme="0" tint="-0.14996795556505021"/>
      </top>
      <bottom style="thin">
        <color indexed="64"/>
      </bottom>
      <diagonal/>
    </border>
    <border>
      <left style="dotted">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dotted">
        <color indexed="64"/>
      </right>
      <top style="thin">
        <color theme="0" tint="-0.14996795556505021"/>
      </top>
      <bottom style="thin">
        <color indexed="64"/>
      </bottom>
      <diagonal/>
    </border>
    <border>
      <left style="dotted">
        <color indexed="64"/>
      </left>
      <right style="dotted">
        <color indexed="64"/>
      </right>
      <top style="thin">
        <color theme="0" tint="-0.14996795556505021"/>
      </top>
      <bottom style="thin">
        <color indexed="64"/>
      </bottom>
      <diagonal/>
    </border>
    <border>
      <left style="thin">
        <color theme="0" tint="-0.14996795556505021"/>
      </left>
      <right/>
      <top style="thin">
        <color indexed="64"/>
      </top>
      <bottom style="thin">
        <color theme="0" tint="-0.14996795556505021"/>
      </bottom>
      <diagonal/>
    </border>
    <border>
      <left style="thin">
        <color theme="0" tint="-0.14996795556505021"/>
      </left>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top/>
      <bottom/>
      <diagonal/>
    </border>
    <border>
      <left style="thin">
        <color theme="0" tint="-0.14996795556505021"/>
      </left>
      <right/>
      <top style="dotted">
        <color indexed="64"/>
      </top>
      <bottom style="thin">
        <color indexed="64"/>
      </bottom>
      <diagonal/>
    </border>
    <border>
      <left style="thin">
        <color theme="0" tint="-0.14996795556505021"/>
      </left>
      <right style="thin">
        <color indexed="64"/>
      </right>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right style="thin">
        <color theme="0" tint="-0.14996795556505021"/>
      </right>
      <top style="thin">
        <color theme="0" tint="-0.14996795556505021"/>
      </top>
      <bottom style="dotted">
        <color indexed="64"/>
      </bottom>
      <diagonal/>
    </border>
    <border>
      <left style="thin">
        <color theme="0" tint="-0.14996795556505021"/>
      </left>
      <right/>
      <top style="thin">
        <color theme="0" tint="-0.14996795556505021"/>
      </top>
      <bottom style="dotted">
        <color indexed="64"/>
      </bottom>
      <diagonal/>
    </border>
    <border>
      <left style="thin">
        <color theme="0" tint="-0.14996795556505021"/>
      </left>
      <right style="thin">
        <color indexed="64"/>
      </right>
      <top style="thin">
        <color theme="0" tint="-0.14996795556505021"/>
      </top>
      <bottom style="dotted">
        <color indexed="64"/>
      </bottom>
      <diagonal/>
    </border>
    <border>
      <left style="thin">
        <color theme="0" tint="-0.14996795556505021"/>
      </left>
      <right/>
      <top style="dotted">
        <color indexed="64"/>
      </top>
      <bottom style="thin">
        <color theme="0" tint="-0.14996795556505021"/>
      </bottom>
      <diagonal/>
    </border>
    <border>
      <left style="thin">
        <color indexed="64"/>
      </left>
      <right style="thin">
        <color theme="0" tint="-0.14996795556505021"/>
      </right>
      <top style="dotted">
        <color indexed="64"/>
      </top>
      <bottom style="thin">
        <color theme="0" tint="-0.14996795556505021"/>
      </bottom>
      <diagonal/>
    </border>
    <border>
      <left style="thin">
        <color theme="0" tint="-0.14996795556505021"/>
      </left>
      <right style="thin">
        <color indexed="64"/>
      </right>
      <top style="dotted">
        <color indexed="64"/>
      </top>
      <bottom style="thin">
        <color theme="0" tint="-0.14996795556505021"/>
      </bottom>
      <diagonal/>
    </border>
    <border>
      <left style="thin">
        <color indexed="64"/>
      </left>
      <right/>
      <top style="thin">
        <color theme="0" tint="-0.14996795556505021"/>
      </top>
      <bottom style="thin">
        <color theme="0" tint="-0.14996795556505021"/>
      </bottom>
      <diagonal/>
    </border>
    <border>
      <left style="thin">
        <color indexed="64"/>
      </left>
      <right/>
      <top/>
      <bottom style="thin">
        <color theme="0" tint="-0.14996795556505021"/>
      </bottom>
      <diagonal/>
    </border>
    <border>
      <left/>
      <right/>
      <top style="dotted">
        <color indexed="64"/>
      </top>
      <bottom style="thin">
        <color theme="0" tint="-0.14996795556505021"/>
      </bottom>
      <diagonal/>
    </border>
    <border>
      <left style="thin">
        <color theme="0" tint="-0.14996795556505021"/>
      </left>
      <right style="thin">
        <color theme="0" tint="-0.14996795556505021"/>
      </right>
      <top style="dotted">
        <color indexed="64"/>
      </top>
      <bottom style="thin">
        <color theme="0" tint="-0.14996795556505021"/>
      </bottom>
      <diagonal/>
    </border>
    <border>
      <left style="thin">
        <color indexed="64"/>
      </left>
      <right/>
      <top style="dotted">
        <color indexed="64"/>
      </top>
      <bottom style="thin">
        <color theme="0" tint="-0.14996795556505021"/>
      </bottom>
      <diagonal/>
    </border>
    <border>
      <left/>
      <right style="dotted">
        <color indexed="64"/>
      </right>
      <top style="dotted">
        <color indexed="64"/>
      </top>
      <bottom style="thin">
        <color theme="0" tint="-0.14996795556505021"/>
      </bottom>
      <diagonal/>
    </border>
    <border>
      <left/>
      <right style="thin">
        <color indexed="64"/>
      </right>
      <top style="dotted">
        <color indexed="64"/>
      </top>
      <bottom style="thin">
        <color theme="0" tint="-0.14996795556505021"/>
      </bottom>
      <diagonal/>
    </border>
    <border>
      <left style="thin">
        <color theme="0" tint="-0.14996795556505021"/>
      </left>
      <right style="dotted">
        <color indexed="64"/>
      </right>
      <top style="dotted">
        <color indexed="64"/>
      </top>
      <bottom style="thin">
        <color theme="0" tint="-0.14996795556505021"/>
      </bottom>
      <diagonal/>
    </border>
    <border>
      <left style="thin">
        <color theme="0" tint="-0.14996795556505021"/>
      </left>
      <right/>
      <top/>
      <bottom style="thin">
        <color indexed="64"/>
      </bottom>
      <diagonal/>
    </border>
    <border>
      <left style="thin">
        <color theme="0" tint="-0.14996795556505021"/>
      </left>
      <right/>
      <top style="thin">
        <color indexed="64"/>
      </top>
      <bottom style="dotted">
        <color indexed="64"/>
      </bottom>
      <diagonal/>
    </border>
    <border>
      <left style="thin">
        <color indexed="64"/>
      </left>
      <right/>
      <top style="thin">
        <color theme="0" tint="-0.14996795556505021"/>
      </top>
      <bottom style="thin">
        <color indexed="64"/>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style="thin">
        <color indexed="64"/>
      </left>
      <right style="thin">
        <color theme="0" tint="-0.14996795556505021"/>
      </right>
      <top style="thin">
        <color indexed="64"/>
      </top>
      <bottom/>
      <diagonal/>
    </border>
    <border>
      <left style="thin">
        <color theme="0" tint="-0.14996795556505021"/>
      </left>
      <right style="thin">
        <color theme="0" tint="-0.14993743705557422"/>
      </right>
      <top style="thin">
        <color indexed="64"/>
      </top>
      <bottom/>
      <diagonal/>
    </border>
    <border>
      <left/>
      <right style="thin">
        <color theme="0" tint="-0.14996795556505021"/>
      </right>
      <top/>
      <bottom style="thin">
        <color indexed="64"/>
      </bottom>
      <diagonal/>
    </border>
    <border>
      <left/>
      <right/>
      <top style="thin">
        <color theme="0" tint="-0.14996795556505021"/>
      </top>
      <bottom style="dotted">
        <color indexed="64"/>
      </bottom>
      <diagonal/>
    </border>
    <border>
      <left style="thin">
        <color theme="0" tint="-0.14996795556505021"/>
      </left>
      <right style="thin">
        <color theme="0" tint="-0.14993743705557422"/>
      </right>
      <top style="dotted">
        <color indexed="64"/>
      </top>
      <bottom style="thin">
        <color theme="0" tint="-0.14996795556505021"/>
      </bottom>
      <diagonal/>
    </border>
    <border>
      <left style="dotted">
        <color indexed="64"/>
      </left>
      <right style="thin">
        <color theme="0" tint="-0.14996795556505021"/>
      </right>
      <top style="thin">
        <color indexed="64"/>
      </top>
      <bottom/>
      <diagonal/>
    </border>
    <border>
      <left style="thin">
        <color theme="0" tint="-0.14996795556505021"/>
      </left>
      <right style="thin">
        <color theme="0" tint="-0.14996795556505021"/>
      </right>
      <top style="thin">
        <color indexed="64"/>
      </top>
      <bottom/>
      <diagonal/>
    </border>
    <border>
      <left style="thin">
        <color theme="0" tint="-0.14996795556505021"/>
      </left>
      <right style="dotted">
        <color indexed="64"/>
      </right>
      <top style="thin">
        <color indexed="64"/>
      </top>
      <bottom/>
      <diagonal/>
    </border>
    <border>
      <left style="thin">
        <color theme="0" tint="-0.14996795556505021"/>
      </left>
      <right style="thin">
        <color indexed="64"/>
      </right>
      <top style="thin">
        <color indexed="64"/>
      </top>
      <bottom style="dotted">
        <color indexed="64"/>
      </bottom>
      <diagonal/>
    </border>
    <border>
      <left style="thin">
        <color theme="0" tint="-0.14996795556505021"/>
      </left>
      <right style="thin">
        <color indexed="64"/>
      </right>
      <top/>
      <bottom style="thin">
        <color indexed="64"/>
      </bottom>
      <diagonal/>
    </border>
    <border>
      <left style="thin">
        <color indexed="64"/>
      </left>
      <right style="thin">
        <color theme="0" tint="-0.14996795556505021"/>
      </right>
      <top style="dotted">
        <color indexed="64"/>
      </top>
      <bottom style="dotted">
        <color indexed="64"/>
      </bottom>
      <diagonal/>
    </border>
    <border>
      <left style="thin">
        <color theme="0" tint="-0.14996795556505021"/>
      </left>
      <right style="thin">
        <color theme="0" tint="-0.14996795556505021"/>
      </right>
      <top style="dotted">
        <color indexed="64"/>
      </top>
      <bottom style="dotted">
        <color indexed="64"/>
      </bottom>
      <diagonal/>
    </border>
    <border>
      <left style="thin">
        <color theme="0" tint="-0.14996795556505021"/>
      </left>
      <right style="dotted">
        <color indexed="64"/>
      </right>
      <top style="dotted">
        <color indexed="64"/>
      </top>
      <bottom style="dotted">
        <color indexed="64"/>
      </bottom>
      <diagonal/>
    </border>
    <border>
      <left style="thin">
        <color theme="0" tint="-0.14996795556505021"/>
      </left>
      <right style="dotted">
        <color indexed="64"/>
      </right>
      <top/>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theme="0" tint="-0.24994659260841701"/>
      </left>
      <right style="dotted">
        <color indexed="64"/>
      </right>
      <top style="thin">
        <color theme="0" tint="-0.24994659260841701"/>
      </top>
      <bottom style="thin">
        <color theme="0" tint="-0.24994659260841701"/>
      </bottom>
      <diagonal/>
    </border>
    <border>
      <left style="thin">
        <color theme="0" tint="-0.24994659260841701"/>
      </left>
      <right style="dotted">
        <color indexed="64"/>
      </right>
      <top style="thin">
        <color theme="0" tint="-0.24994659260841701"/>
      </top>
      <bottom style="thin">
        <color indexed="64"/>
      </bottom>
      <diagonal/>
    </border>
    <border>
      <left style="thin">
        <color indexed="64"/>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dotted">
        <color indexed="64"/>
      </right>
      <top/>
      <bottom style="thin">
        <color theme="0" tint="-0.24994659260841701"/>
      </bottom>
      <diagonal/>
    </border>
    <border>
      <left/>
      <right style="thin">
        <color indexed="64"/>
      </right>
      <top/>
      <bottom style="thin">
        <color theme="0" tint="-0.24994659260841701"/>
      </bottom>
      <diagonal/>
    </border>
    <border>
      <left/>
      <right style="thin">
        <color theme="0" tint="-0.24994659260841701"/>
      </right>
      <top style="thin">
        <color indexed="64"/>
      </top>
      <bottom style="dotted">
        <color indexed="64"/>
      </bottom>
      <diagonal/>
    </border>
    <border>
      <left style="thin">
        <color theme="0" tint="-0.24994659260841701"/>
      </left>
      <right style="thin">
        <color theme="0" tint="-0.24994659260841701"/>
      </right>
      <top style="thin">
        <color indexed="64"/>
      </top>
      <bottom style="dotted">
        <color indexed="64"/>
      </bottom>
      <diagonal/>
    </border>
    <border>
      <left style="thin">
        <color theme="0" tint="-0.24994659260841701"/>
      </left>
      <right style="dotted">
        <color indexed="64"/>
      </right>
      <top style="thin">
        <color indexed="64"/>
      </top>
      <bottom style="dotted">
        <color indexed="64"/>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indexed="64"/>
      </left>
      <right style="thin">
        <color theme="0" tint="-0.24994659260841701"/>
      </right>
      <top style="thin">
        <color indexed="64"/>
      </top>
      <bottom style="dotted">
        <color indexed="64"/>
      </bottom>
      <diagonal/>
    </border>
    <border>
      <left style="thin">
        <color theme="0" tint="-0.14996795556505021"/>
      </left>
      <right style="thin">
        <color theme="0" tint="-0.14993743705557422"/>
      </right>
      <top style="dotted">
        <color indexed="64"/>
      </top>
      <bottom style="dotted">
        <color indexed="64"/>
      </bottom>
      <diagonal/>
    </border>
    <border>
      <left style="thin">
        <color theme="0" tint="-0.14996795556505021"/>
      </left>
      <right/>
      <top style="dotted">
        <color indexed="64"/>
      </top>
      <bottom style="dotted">
        <color indexed="64"/>
      </bottom>
      <diagonal/>
    </border>
    <border>
      <left style="thin">
        <color theme="0" tint="-0.14996795556505021"/>
      </left>
      <right/>
      <top/>
      <bottom style="dotted">
        <color indexed="64"/>
      </bottom>
      <diagonal/>
    </border>
    <border>
      <left style="thin">
        <color theme="0" tint="-0.14996795556505021"/>
      </left>
      <right/>
      <top style="thin">
        <color indexed="64"/>
      </top>
      <bottom style="thin">
        <color indexed="64"/>
      </bottom>
      <diagonal/>
    </border>
    <border>
      <left style="thin">
        <color theme="0" tint="-0.14996795556505021"/>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dotted">
        <color indexed="64"/>
      </left>
      <right/>
      <top style="thin">
        <color indexed="64"/>
      </top>
      <bottom style="thin">
        <color theme="0" tint="-0.14996795556505021"/>
      </bottom>
      <diagonal/>
    </border>
    <border>
      <left style="dotted">
        <color indexed="64"/>
      </left>
      <right/>
      <top style="thin">
        <color theme="0" tint="-0.14996795556505021"/>
      </top>
      <bottom style="thin">
        <color theme="0" tint="-0.14996795556505021"/>
      </bottom>
      <diagonal/>
    </border>
    <border>
      <left style="dotted">
        <color indexed="64"/>
      </left>
      <right/>
      <top/>
      <bottom/>
      <diagonal/>
    </border>
    <border>
      <left style="dotted">
        <color indexed="64"/>
      </left>
      <right/>
      <top style="dotted">
        <color indexed="64"/>
      </top>
      <bottom style="thin">
        <color indexed="64"/>
      </bottom>
      <diagonal/>
    </border>
    <border>
      <left style="thin">
        <color theme="0" tint="-0.14996795556505021"/>
      </left>
      <right style="thin">
        <color indexed="64"/>
      </right>
      <top style="thin">
        <color indexed="64"/>
      </top>
      <bottom style="thin">
        <color theme="0" tint="-0.14996795556505021"/>
      </bottom>
      <diagonal/>
    </border>
    <border>
      <left style="thin">
        <color theme="0" tint="-0.14996795556505021"/>
      </left>
      <right style="thin">
        <color indexed="64"/>
      </right>
      <top/>
      <bottom/>
      <diagonal/>
    </border>
    <border>
      <left style="thin">
        <color theme="0" tint="-0.14996795556505021"/>
      </left>
      <right style="thin">
        <color indexed="64"/>
      </right>
      <top style="dotted">
        <color indexed="64"/>
      </top>
      <bottom style="thin">
        <color indexed="64"/>
      </bottom>
      <diagonal/>
    </border>
    <border>
      <left/>
      <right style="thin">
        <color theme="0" tint="-0.14996795556505021"/>
      </right>
      <top style="dotted">
        <color indexed="64"/>
      </top>
      <bottom style="thin">
        <color indexed="64"/>
      </bottom>
      <diagonal/>
    </border>
    <border>
      <left style="dotted">
        <color indexed="64"/>
      </left>
      <right/>
      <top/>
      <bottom style="thin">
        <color indexed="64"/>
      </bottom>
      <diagonal/>
    </border>
    <border>
      <left style="dotted">
        <color indexed="64"/>
      </left>
      <right/>
      <top style="thin">
        <color theme="0" tint="-0.14996795556505021"/>
      </top>
      <bottom style="thin">
        <color indexed="64"/>
      </bottom>
      <diagonal/>
    </border>
    <border>
      <left style="thin">
        <color theme="0" tint="-0.14996795556505021"/>
      </left>
      <right/>
      <top style="thin">
        <color theme="0" tint="-0.14996795556505021"/>
      </top>
      <bottom/>
      <diagonal/>
    </border>
    <border>
      <left style="thin">
        <color theme="0" tint="-0.14996795556505021"/>
      </left>
      <right style="thin">
        <color indexed="64"/>
      </right>
      <top style="thin">
        <color theme="0" tint="-0.14996795556505021"/>
      </top>
      <bottom/>
      <diagonal/>
    </border>
    <border>
      <left style="dotted">
        <color indexed="64"/>
      </left>
      <right/>
      <top style="thin">
        <color indexed="64"/>
      </top>
      <bottom style="dotted">
        <color indexed="64"/>
      </bottom>
      <diagonal/>
    </border>
    <border>
      <left style="dotted">
        <color indexed="64"/>
      </left>
      <right/>
      <top/>
      <bottom style="thin">
        <color theme="0" tint="-0.14996795556505021"/>
      </bottom>
      <diagonal/>
    </border>
    <border>
      <left style="dotted">
        <color indexed="64"/>
      </left>
      <right/>
      <top style="thin">
        <color theme="0" tint="-0.14996795556505021"/>
      </top>
      <bottom/>
      <diagonal/>
    </border>
    <border>
      <left style="thin">
        <color theme="0" tint="-0.14996795556505021"/>
      </left>
      <right style="thin">
        <color indexed="64"/>
      </right>
      <top style="thin">
        <color indexed="64"/>
      </top>
      <bottom/>
      <diagonal/>
    </border>
    <border>
      <left/>
      <right style="thin">
        <color theme="0" tint="-0.14996795556505021"/>
      </right>
      <top style="thin">
        <color indexed="64"/>
      </top>
      <bottom/>
      <diagonal/>
    </border>
    <border>
      <left style="thin">
        <color theme="0" tint="-0.14996795556505021"/>
      </left>
      <right/>
      <top style="thin">
        <color indexed="64"/>
      </top>
      <bottom/>
      <diagonal/>
    </border>
    <border>
      <left style="thin">
        <color theme="0" tint="-0.14996795556505021"/>
      </left>
      <right style="thin">
        <color indexed="64"/>
      </right>
      <top style="thin">
        <color indexed="64"/>
      </top>
      <bottom style="thin">
        <color indexed="64"/>
      </bottom>
      <diagonal/>
    </border>
    <border>
      <left style="thin">
        <color theme="0" tint="-0.14996795556505021"/>
      </left>
      <right style="thin">
        <color indexed="64"/>
      </right>
      <top/>
      <bottom style="dotted">
        <color indexed="64"/>
      </bottom>
      <diagonal/>
    </border>
    <border>
      <left style="thin">
        <color indexed="64"/>
      </left>
      <right style="thin">
        <color theme="0" tint="-0.14996795556505021"/>
      </right>
      <top style="thin">
        <color indexed="64"/>
      </top>
      <bottom style="thin">
        <color indexed="64"/>
      </bottom>
      <diagonal/>
    </border>
    <border>
      <left style="thin">
        <color theme="0" tint="-0.14996795556505021"/>
      </left>
      <right style="thin">
        <color theme="0" tint="-0.14993743705557422"/>
      </right>
      <top style="thin">
        <color theme="0" tint="-0.14996795556505021"/>
      </top>
      <bottom style="dotted">
        <color indexed="64"/>
      </bottom>
      <diagonal/>
    </border>
    <border>
      <left style="thin">
        <color theme="0" tint="-0.14993743705557422"/>
      </left>
      <right style="thin">
        <color theme="0" tint="-0.14990691854609822"/>
      </right>
      <top style="thin">
        <color indexed="64"/>
      </top>
      <bottom style="dotted">
        <color indexed="64"/>
      </bottom>
      <diagonal/>
    </border>
    <border>
      <left style="thin">
        <color theme="0" tint="-0.14993743705557422"/>
      </left>
      <right style="thin">
        <color theme="0" tint="-0.14990691854609822"/>
      </right>
      <top/>
      <bottom style="thin">
        <color theme="0" tint="-0.14996795556505021"/>
      </bottom>
      <diagonal/>
    </border>
    <border>
      <left style="thin">
        <color theme="0" tint="-0.14993743705557422"/>
      </left>
      <right style="thin">
        <color theme="0" tint="-0.14990691854609822"/>
      </right>
      <top style="thin">
        <color theme="0" tint="-0.14996795556505021"/>
      </top>
      <bottom style="thin">
        <color theme="0" tint="-0.14996795556505021"/>
      </bottom>
      <diagonal/>
    </border>
    <border>
      <left style="thin">
        <color theme="0" tint="-0.14993743705557422"/>
      </left>
      <right style="thin">
        <color theme="0" tint="-0.14990691854609822"/>
      </right>
      <top style="thin">
        <color theme="0" tint="-0.14996795556505021"/>
      </top>
      <bottom style="thin">
        <color indexed="64"/>
      </bottom>
      <diagonal/>
    </border>
    <border>
      <left style="thin">
        <color theme="0" tint="-0.14993743705557422"/>
      </left>
      <right style="thin">
        <color theme="0" tint="-0.14990691854609822"/>
      </right>
      <top style="thin">
        <color theme="0" tint="-0.14996795556505021"/>
      </top>
      <bottom style="dotted">
        <color indexed="64"/>
      </bottom>
      <diagonal/>
    </border>
    <border>
      <left style="thin">
        <color theme="0" tint="-0.14993743705557422"/>
      </left>
      <right style="thin">
        <color theme="0" tint="-0.14990691854609822"/>
      </right>
      <top style="dotted">
        <color indexed="64"/>
      </top>
      <bottom style="thin">
        <color theme="0" tint="-0.14996795556505021"/>
      </bottom>
      <diagonal/>
    </border>
    <border>
      <left style="thin">
        <color theme="0" tint="-0.14993743705557422"/>
      </left>
      <right style="thin">
        <color indexed="64"/>
      </right>
      <top style="thin">
        <color indexed="64"/>
      </top>
      <bottom style="dotted">
        <color indexed="64"/>
      </bottom>
      <diagonal/>
    </border>
    <border>
      <left style="thin">
        <color theme="0" tint="-0.14993743705557422"/>
      </left>
      <right style="thin">
        <color indexed="64"/>
      </right>
      <top/>
      <bottom style="thin">
        <color theme="0" tint="-0.14996795556505021"/>
      </bottom>
      <diagonal/>
    </border>
    <border>
      <left style="thin">
        <color theme="0" tint="-0.14993743705557422"/>
      </left>
      <right style="thin">
        <color indexed="64"/>
      </right>
      <top style="thin">
        <color theme="0" tint="-0.14996795556505021"/>
      </top>
      <bottom style="thin">
        <color theme="0" tint="-0.14996795556505021"/>
      </bottom>
      <diagonal/>
    </border>
    <border>
      <left style="thin">
        <color theme="0" tint="-0.14993743705557422"/>
      </left>
      <right style="thin">
        <color indexed="64"/>
      </right>
      <top style="thin">
        <color theme="0" tint="-0.14996795556505021"/>
      </top>
      <bottom style="thin">
        <color indexed="64"/>
      </bottom>
      <diagonal/>
    </border>
    <border>
      <left style="thin">
        <color theme="0" tint="-0.14993743705557422"/>
      </left>
      <right style="thin">
        <color indexed="64"/>
      </right>
      <top style="thin">
        <color theme="0" tint="-0.14996795556505021"/>
      </top>
      <bottom style="dotted">
        <color indexed="64"/>
      </bottom>
      <diagonal/>
    </border>
    <border>
      <left style="thin">
        <color theme="0" tint="-0.14993743705557422"/>
      </left>
      <right style="thin">
        <color indexed="64"/>
      </right>
      <top style="dotted">
        <color indexed="64"/>
      </top>
      <bottom style="thin">
        <color theme="0" tint="-0.14996795556505021"/>
      </bottom>
      <diagonal/>
    </border>
    <border>
      <left/>
      <right style="thin">
        <color theme="0" tint="-0.14996795556505021"/>
      </right>
      <top style="dotted">
        <color indexed="64"/>
      </top>
      <bottom style="dotted">
        <color indexed="64"/>
      </bottom>
      <diagonal/>
    </border>
    <border>
      <left style="dotted">
        <color indexed="64"/>
      </left>
      <right/>
      <top style="thin">
        <color theme="0" tint="-0.14996795556505021"/>
      </top>
      <bottom style="dotted">
        <color indexed="64"/>
      </bottom>
      <diagonal/>
    </border>
    <border>
      <left style="thin">
        <color theme="0" tint="-0.14996795556505021"/>
      </left>
      <right style="thin">
        <color auto="1"/>
      </right>
      <top style="dotted">
        <color indexed="64"/>
      </top>
      <bottom style="dotted">
        <color indexed="64"/>
      </bottom>
      <diagonal/>
    </border>
    <border>
      <left/>
      <right style="dotted">
        <color indexed="64"/>
      </right>
      <top style="thin">
        <color theme="0" tint="-0.14996795556505021"/>
      </top>
      <bottom style="dotted">
        <color indexed="64"/>
      </bottom>
      <diagonal/>
    </border>
    <border>
      <left style="dotted">
        <color indexed="64"/>
      </left>
      <right style="hair">
        <color indexed="64"/>
      </right>
      <top style="thin">
        <color indexed="64"/>
      </top>
      <bottom style="thin">
        <color indexed="64"/>
      </bottom>
      <diagonal/>
    </border>
    <border>
      <left style="dotted">
        <color indexed="64"/>
      </left>
      <right style="hair">
        <color indexed="64"/>
      </right>
      <top style="thin">
        <color indexed="64"/>
      </top>
      <bottom style="dotted">
        <color indexed="64"/>
      </bottom>
      <diagonal/>
    </border>
    <border>
      <left style="dotted">
        <color indexed="64"/>
      </left>
      <right style="hair">
        <color indexed="64"/>
      </right>
      <top style="dotted">
        <color indexed="64"/>
      </top>
      <bottom style="dotted">
        <color indexed="64"/>
      </bottom>
      <diagonal/>
    </border>
    <border>
      <left style="dotted">
        <color indexed="64"/>
      </left>
      <right style="hair">
        <color indexed="64"/>
      </right>
      <top/>
      <bottom style="thin">
        <color theme="0" tint="-0.14996795556505021"/>
      </bottom>
      <diagonal/>
    </border>
    <border>
      <left style="dotted">
        <color indexed="64"/>
      </left>
      <right style="hair">
        <color indexed="64"/>
      </right>
      <top style="thin">
        <color theme="0" tint="-0.14996795556505021"/>
      </top>
      <bottom style="thin">
        <color theme="0" tint="-0.14996795556505021"/>
      </bottom>
      <diagonal/>
    </border>
    <border>
      <left style="dotted">
        <color indexed="64"/>
      </left>
      <right style="hair">
        <color indexed="64"/>
      </right>
      <top style="thin">
        <color theme="0" tint="-0.14996795556505021"/>
      </top>
      <bottom/>
      <diagonal/>
    </border>
    <border>
      <left style="dotted">
        <color indexed="64"/>
      </left>
      <right style="hair">
        <color indexed="64"/>
      </right>
      <top style="thin">
        <color theme="0" tint="-0.14996795556505021"/>
      </top>
      <bottom style="dotted">
        <color indexed="64"/>
      </bottom>
      <diagonal/>
    </border>
    <border>
      <left style="dotted">
        <color indexed="64"/>
      </left>
      <right style="hair">
        <color indexed="64"/>
      </right>
      <top/>
      <bottom/>
      <diagonal/>
    </border>
    <border>
      <left style="dotted">
        <color indexed="64"/>
      </left>
      <right style="hair">
        <color indexed="64"/>
      </right>
      <top/>
      <bottom style="thin">
        <color indexed="64"/>
      </bottom>
      <diagonal/>
    </border>
    <border>
      <left style="dotted">
        <color indexed="64"/>
      </left>
      <right style="hair">
        <color indexed="64"/>
      </right>
      <top style="thin">
        <color theme="0" tint="-0.14996795556505021"/>
      </top>
      <bottom style="thin">
        <color indexed="64"/>
      </bottom>
      <diagonal/>
    </border>
    <border>
      <left style="thin">
        <color theme="0" tint="-0.14996795556505021"/>
      </left>
      <right style="thin">
        <color theme="0" tint="-0.14996795556505021"/>
      </right>
      <top style="thin">
        <color indexed="64"/>
      </top>
      <bottom style="thin">
        <color indexed="64"/>
      </bottom>
      <diagonal/>
    </border>
    <border>
      <left/>
      <right style="thin">
        <color theme="0" tint="-0.14996795556505021"/>
      </right>
      <top/>
      <bottom style="dotted">
        <color indexed="64"/>
      </bottom>
      <diagonal/>
    </border>
    <border>
      <left style="dotted">
        <color indexed="64"/>
      </left>
      <right/>
      <top/>
      <bottom style="dotted">
        <color indexed="64"/>
      </bottom>
      <diagonal/>
    </border>
    <border>
      <left style="dotted">
        <color auto="1"/>
      </left>
      <right style="thin">
        <color theme="0" tint="-0.14996795556505021"/>
      </right>
      <top style="thin">
        <color theme="0" tint="-0.14996795556505021"/>
      </top>
      <bottom style="dotted">
        <color auto="1"/>
      </bottom>
      <diagonal/>
    </border>
    <border>
      <left style="thin">
        <color theme="0" tint="-0.14993743705557422"/>
      </left>
      <right style="thin">
        <color theme="0" tint="-0.14996795556505021"/>
      </right>
      <top style="thin">
        <color theme="0" tint="-0.14996795556505021"/>
      </top>
      <bottom style="dotted">
        <color indexed="64"/>
      </bottom>
      <diagonal/>
    </border>
    <border>
      <left style="thin">
        <color indexed="64"/>
      </left>
      <right/>
      <top style="thin">
        <color theme="0" tint="-0.14996795556505021"/>
      </top>
      <bottom style="dotted">
        <color auto="1"/>
      </bottom>
      <diagonal/>
    </border>
    <border>
      <left style="dotted">
        <color indexed="64"/>
      </left>
      <right/>
      <top style="dotted">
        <color indexed="64"/>
      </top>
      <bottom style="thin">
        <color theme="0" tint="-0.14996795556505021"/>
      </bottom>
      <diagonal/>
    </border>
    <border>
      <left style="thin">
        <color theme="0" tint="-0.24994659260841701"/>
      </left>
      <right/>
      <top style="thin">
        <color indexed="64"/>
      </top>
      <bottom style="dotted">
        <color indexed="64"/>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indexed="64"/>
      </bottom>
      <diagonal/>
    </border>
    <border>
      <left/>
      <right/>
      <top style="thin">
        <color theme="0" tint="-0.24994659260841701"/>
      </top>
      <bottom style="thin">
        <color indexed="64"/>
      </bottom>
      <diagonal/>
    </border>
    <border>
      <left style="dotted">
        <color indexed="64"/>
      </left>
      <right style="dotted">
        <color indexed="64"/>
      </right>
      <top style="dotted">
        <color indexed="64"/>
      </top>
      <bottom style="thin">
        <color theme="0" tint="-0.14996795556505021"/>
      </bottom>
      <diagonal/>
    </border>
    <border>
      <left style="thin">
        <color theme="0" tint="-0.14996795556505021"/>
      </left>
      <right style="thin">
        <color indexed="64"/>
      </right>
      <top/>
      <bottom style="thin">
        <color theme="0" tint="-0.24994659260841701"/>
      </bottom>
      <diagonal/>
    </border>
    <border>
      <left style="thin">
        <color theme="0" tint="-0.14996795556505021"/>
      </left>
      <right style="thin">
        <color indexed="64"/>
      </right>
      <top style="thin">
        <color theme="0" tint="-0.24994659260841701"/>
      </top>
      <bottom style="thin">
        <color theme="0" tint="-0.24994659260841701"/>
      </bottom>
      <diagonal/>
    </border>
    <border>
      <left style="thin">
        <color theme="0" tint="-0.14996795556505021"/>
      </left>
      <right style="thin">
        <color indexed="64"/>
      </right>
      <top style="thin">
        <color theme="0" tint="-0.24994659260841701"/>
      </top>
      <bottom style="thin">
        <color indexed="64"/>
      </bottom>
      <diagonal/>
    </border>
    <border>
      <left/>
      <right/>
      <top/>
      <bottom style="double">
        <color indexed="64"/>
      </bottom>
      <diagonal/>
    </border>
    <border>
      <left style="thin">
        <color indexed="64"/>
      </left>
      <right/>
      <top style="double">
        <color indexed="64"/>
      </top>
      <bottom style="thin">
        <color indexed="64"/>
      </bottom>
      <diagonal/>
    </border>
    <border>
      <left style="thin">
        <color theme="0" tint="-0.14996795556505021"/>
      </left>
      <right style="thin">
        <color theme="0" tint="-0.14993743705557422"/>
      </right>
      <top style="thin">
        <color indexed="64"/>
      </top>
      <bottom style="thin">
        <color indexed="64"/>
      </bottom>
      <diagonal/>
    </border>
    <border>
      <left style="thin">
        <color theme="0" tint="-0.14996795556505021"/>
      </left>
      <right style="thin">
        <color theme="0" tint="-0.14993743705557422"/>
      </right>
      <top/>
      <bottom style="dotted">
        <color indexed="64"/>
      </bottom>
      <diagonal/>
    </border>
    <border>
      <left style="thin">
        <color theme="0" tint="-0.24994659260841701"/>
      </left>
      <right style="thin">
        <color indexed="64"/>
      </right>
      <top style="thin">
        <color indexed="64"/>
      </top>
      <bottom style="thin">
        <color indexed="64"/>
      </bottom>
      <diagonal/>
    </border>
    <border>
      <left style="thin">
        <color theme="0" tint="-0.24994659260841701"/>
      </left>
      <right style="thin">
        <color indexed="64"/>
      </right>
      <top/>
      <bottom/>
      <diagonal/>
    </border>
    <border>
      <left style="thin">
        <color theme="0" tint="-0.24994659260841701"/>
      </left>
      <right style="thin">
        <color indexed="64"/>
      </right>
      <top/>
      <bottom style="dotted">
        <color indexed="64"/>
      </bottom>
      <diagonal/>
    </border>
    <border>
      <left style="thin">
        <color theme="0" tint="-0.24994659260841701"/>
      </left>
      <right style="thin">
        <color indexed="64"/>
      </right>
      <top style="dotted">
        <color indexed="64"/>
      </top>
      <bottom style="thin">
        <color theme="0" tint="-0.14996795556505021"/>
      </bottom>
      <diagonal/>
    </border>
    <border>
      <left style="thin">
        <color theme="0" tint="-0.24994659260841701"/>
      </left>
      <right style="thin">
        <color indexed="64"/>
      </right>
      <top style="thin">
        <color indexed="64"/>
      </top>
      <bottom style="thin">
        <color theme="0" tint="-0.14996795556505021"/>
      </bottom>
      <diagonal/>
    </border>
    <border>
      <left style="thin">
        <color indexed="64"/>
      </left>
      <right/>
      <top style="thin">
        <color theme="0" tint="-0.14996795556505021"/>
      </top>
      <bottom style="thin">
        <color theme="0" tint="-0.24994659260841701"/>
      </bottom>
      <diagonal/>
    </border>
    <border>
      <left style="thin">
        <color theme="0" tint="-0.14996795556505021"/>
      </left>
      <right style="thin">
        <color theme="0" tint="-0.14993743705557422"/>
      </right>
      <top style="thin">
        <color theme="0" tint="-0.14996795556505021"/>
      </top>
      <bottom style="thin">
        <color theme="0" tint="-0.24994659260841701"/>
      </bottom>
      <diagonal/>
    </border>
    <border>
      <left/>
      <right/>
      <top style="thin">
        <color theme="0" tint="-0.14996795556505021"/>
      </top>
      <bottom style="thin">
        <color theme="0" tint="-0.24994659260841701"/>
      </bottom>
      <diagonal/>
    </border>
    <border>
      <left style="dotted">
        <color indexed="64"/>
      </left>
      <right/>
      <top style="thin">
        <color theme="0" tint="-0.14996795556505021"/>
      </top>
      <bottom style="thin">
        <color theme="0" tint="-0.24994659260841701"/>
      </bottom>
      <diagonal/>
    </border>
    <border>
      <left style="thin">
        <color theme="0" tint="-0.24994659260841701"/>
      </left>
      <right style="thin">
        <color indexed="64"/>
      </right>
      <top style="thin">
        <color theme="0" tint="-0.14996795556505021"/>
      </top>
      <bottom style="thin">
        <color theme="0" tint="-0.24994659260841701"/>
      </bottom>
      <diagonal/>
    </border>
    <border>
      <left style="thin">
        <color indexed="64"/>
      </left>
      <right/>
      <top style="thin">
        <color theme="0" tint="-0.24994659260841701"/>
      </top>
      <bottom style="dotted">
        <color indexed="64"/>
      </bottom>
      <diagonal/>
    </border>
    <border>
      <left style="thin">
        <color theme="0" tint="-0.14996795556505021"/>
      </left>
      <right style="thin">
        <color theme="0" tint="-0.14993743705557422"/>
      </right>
      <top style="thin">
        <color theme="0" tint="-0.24994659260841701"/>
      </top>
      <bottom style="dotted">
        <color indexed="64"/>
      </bottom>
      <diagonal/>
    </border>
    <border>
      <left/>
      <right/>
      <top style="thin">
        <color theme="0" tint="-0.24994659260841701"/>
      </top>
      <bottom style="dotted">
        <color indexed="64"/>
      </bottom>
      <diagonal/>
    </border>
    <border>
      <left style="dotted">
        <color indexed="64"/>
      </left>
      <right/>
      <top style="thin">
        <color theme="0" tint="-0.24994659260841701"/>
      </top>
      <bottom style="dotted">
        <color indexed="64"/>
      </bottom>
      <diagonal/>
    </border>
    <border>
      <left style="thin">
        <color theme="0" tint="-0.24994659260841701"/>
      </left>
      <right style="thin">
        <color indexed="64"/>
      </right>
      <top style="thin">
        <color theme="0" tint="-0.24994659260841701"/>
      </top>
      <bottom style="dotted">
        <color indexed="64"/>
      </bottom>
      <diagonal/>
    </border>
    <border>
      <left style="thin">
        <color indexed="64"/>
      </left>
      <right/>
      <top style="thin">
        <color theme="0" tint="-0.24994659260841701"/>
      </top>
      <bottom style="thin">
        <color indexed="64"/>
      </bottom>
      <diagonal/>
    </border>
    <border>
      <left style="thin">
        <color theme="0" tint="-0.14996795556505021"/>
      </left>
      <right style="thin">
        <color theme="0" tint="-0.14993743705557422"/>
      </right>
      <top style="thin">
        <color theme="0" tint="-0.24994659260841701"/>
      </top>
      <bottom style="thin">
        <color indexed="64"/>
      </bottom>
      <diagonal/>
    </border>
    <border>
      <left style="dotted">
        <color indexed="64"/>
      </left>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bottom style="thin">
        <color theme="0" tint="-0.14993743705557422"/>
      </bottom>
      <diagonal/>
    </border>
    <border>
      <left style="thin">
        <color theme="0" tint="-0.14993743705557422"/>
      </left>
      <right style="thin">
        <color indexed="64"/>
      </right>
      <top style="thin">
        <color indexed="64"/>
      </top>
      <bottom style="thin">
        <color theme="0" tint="-0.14993743705557422"/>
      </bottom>
      <diagonal/>
    </border>
    <border>
      <left style="thin">
        <color theme="0" tint="-0.14993743705557422"/>
      </left>
      <right style="thin">
        <color indexed="64"/>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indexed="64"/>
      </bottom>
      <diagonal/>
    </border>
    <border>
      <left style="thin">
        <color theme="0" tint="-0.14993743705557422"/>
      </left>
      <right style="thin">
        <color indexed="64"/>
      </right>
      <top style="thin">
        <color theme="0" tint="-0.14993743705557422"/>
      </top>
      <bottom style="thin">
        <color indexed="64"/>
      </bottom>
      <diagonal/>
    </border>
    <border>
      <left/>
      <right/>
      <top style="thin">
        <color indexed="64"/>
      </top>
      <bottom style="double">
        <color indexed="64"/>
      </bottom>
      <diagonal/>
    </border>
    <border>
      <left/>
      <right/>
      <top style="double">
        <color indexed="64"/>
      </top>
      <bottom style="thin">
        <color indexed="64"/>
      </bottom>
      <diagonal/>
    </border>
    <border>
      <left style="thin">
        <color indexed="64"/>
      </left>
      <right style="thin">
        <color indexed="64"/>
      </right>
      <top style="dotted">
        <color indexed="64"/>
      </top>
      <bottom/>
      <diagonal/>
    </border>
    <border>
      <left style="thin">
        <color indexed="64"/>
      </left>
      <right/>
      <top style="hair">
        <color indexed="64"/>
      </top>
      <bottom style="dotted">
        <color indexed="64"/>
      </bottom>
      <diagonal/>
    </border>
    <border>
      <left style="thin">
        <color theme="0" tint="-0.14996795556505021"/>
      </left>
      <right style="thin">
        <color theme="0" tint="-0.14993743705557422"/>
      </right>
      <top style="hair">
        <color indexed="64"/>
      </top>
      <bottom style="dotted">
        <color indexed="64"/>
      </bottom>
      <diagonal/>
    </border>
    <border>
      <left/>
      <right/>
      <top style="hair">
        <color indexed="64"/>
      </top>
      <bottom style="dotted">
        <color indexed="64"/>
      </bottom>
      <diagonal/>
    </border>
    <border>
      <left style="dotted">
        <color indexed="64"/>
      </left>
      <right/>
      <top style="hair">
        <color indexed="64"/>
      </top>
      <bottom style="dotted">
        <color indexed="64"/>
      </bottom>
      <diagonal/>
    </border>
    <border>
      <left style="thin">
        <color theme="0" tint="-0.24994659260841701"/>
      </left>
      <right style="thin">
        <color indexed="64"/>
      </right>
      <top style="hair">
        <color indexed="64"/>
      </top>
      <bottom style="dotted">
        <color indexed="64"/>
      </bottom>
      <diagonal/>
    </border>
    <border>
      <left style="thin">
        <color indexed="64"/>
      </left>
      <right/>
      <top style="thin">
        <color theme="0" tint="-0.24994659260841701"/>
      </top>
      <bottom/>
      <diagonal/>
    </border>
    <border>
      <left style="thin">
        <color theme="0" tint="-0.14996795556505021"/>
      </left>
      <right style="thin">
        <color theme="0" tint="-0.14993743705557422"/>
      </right>
      <top style="thin">
        <color theme="0" tint="-0.24994659260841701"/>
      </top>
      <bottom/>
      <diagonal/>
    </border>
    <border>
      <left/>
      <right/>
      <top style="thin">
        <color theme="0" tint="-0.24994659260841701"/>
      </top>
      <bottom/>
      <diagonal/>
    </border>
    <border>
      <left style="dotted">
        <color indexed="64"/>
      </left>
      <right/>
      <top style="thin">
        <color theme="0" tint="-0.24994659260841701"/>
      </top>
      <bottom/>
      <diagonal/>
    </border>
    <border>
      <left style="thin">
        <color theme="0" tint="-0.24994659260841701"/>
      </left>
      <right style="thin">
        <color indexed="64"/>
      </right>
      <top style="thin">
        <color theme="0" tint="-0.24994659260841701"/>
      </top>
      <bottom/>
      <diagonal/>
    </border>
    <border>
      <left style="thin">
        <color theme="0" tint="-0.24994659260841701"/>
      </left>
      <right style="thin">
        <color auto="1"/>
      </right>
      <top style="thin">
        <color theme="0" tint="-0.24994659260841701"/>
      </top>
      <bottom style="thin">
        <color theme="0" tint="-0.24994659260841701"/>
      </bottom>
      <diagonal/>
    </border>
    <border>
      <left style="thin">
        <color theme="0" tint="-0.24994659260841701"/>
      </left>
      <right style="thin">
        <color auto="1"/>
      </right>
      <top/>
      <bottom style="thin">
        <color theme="0" tint="-0.24994659260841701"/>
      </bottom>
      <diagonal/>
    </border>
    <border>
      <left style="thin">
        <color theme="0" tint="-0.24994659260841701"/>
      </left>
      <right style="thin">
        <color auto="1"/>
      </right>
      <top style="thin">
        <color indexed="64"/>
      </top>
      <bottom style="dotted">
        <color indexed="64"/>
      </bottom>
      <diagonal/>
    </border>
    <border>
      <left style="thin">
        <color theme="0" tint="-0.14996795556505021"/>
      </left>
      <right style="thin">
        <color theme="0" tint="-0.14993743705557422"/>
      </right>
      <top style="thin">
        <color theme="0" tint="-0.14993743705557422"/>
      </top>
      <bottom/>
      <diagonal/>
    </border>
    <border>
      <left style="thin">
        <color theme="0" tint="-0.14993743705557422"/>
      </left>
      <right style="thin">
        <color indexed="64"/>
      </right>
      <top style="thin">
        <color theme="0" tint="-0.14993743705557422"/>
      </top>
      <bottom/>
      <diagonal/>
    </border>
    <border>
      <left style="thin">
        <color theme="0" tint="-0.499984740745262"/>
      </left>
      <right style="thin">
        <color indexed="64"/>
      </right>
      <top style="thin">
        <color indexed="64"/>
      </top>
      <bottom style="dotted">
        <color indexed="64"/>
      </bottom>
      <diagonal/>
    </border>
    <border>
      <left style="thin">
        <color theme="0" tint="-0.499984740745262"/>
      </left>
      <right style="thin">
        <color indexed="64"/>
      </right>
      <top/>
      <bottom style="thin">
        <color theme="0" tint="-0.24994659260841701"/>
      </bottom>
      <diagonal/>
    </border>
    <border>
      <left style="thin">
        <color theme="0" tint="-0.499984740745262"/>
      </left>
      <right style="thin">
        <color indexed="64"/>
      </right>
      <top style="thin">
        <color theme="0" tint="-0.24994659260841701"/>
      </top>
      <bottom style="thin">
        <color theme="0" tint="-0.24994659260841701"/>
      </bottom>
      <diagonal/>
    </border>
    <border>
      <left style="thin">
        <color theme="0" tint="-0.499984740745262"/>
      </left>
      <right style="thin">
        <color indexed="64"/>
      </right>
      <top style="thin">
        <color theme="0" tint="-0.24994659260841701"/>
      </top>
      <bottom style="thin">
        <color indexed="64"/>
      </bottom>
      <diagonal/>
    </border>
  </borders>
  <cellStyleXfs count="7">
    <xf numFmtId="0" fontId="0" fillId="0" borderId="0"/>
    <xf numFmtId="0" fontId="38" fillId="2" borderId="0">
      <alignment horizontal="left"/>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5" fillId="0" borderId="0"/>
    <xf numFmtId="0" fontId="13" fillId="2" borderId="1"/>
    <xf numFmtId="164" fontId="78" fillId="0" borderId="0"/>
  </cellStyleXfs>
  <cellXfs count="1857">
    <xf numFmtId="0" fontId="0" fillId="0" borderId="0" xfId="0"/>
    <xf numFmtId="0" fontId="45" fillId="4" borderId="0" xfId="0" applyFont="1" applyFill="1" applyAlignment="1">
      <alignment horizontal="centerContinuous" vertical="center"/>
    </xf>
    <xf numFmtId="0" fontId="2" fillId="0" borderId="0" xfId="0" applyFont="1"/>
    <xf numFmtId="0" fontId="3" fillId="0" borderId="0" xfId="0" applyFont="1"/>
    <xf numFmtId="0" fontId="0" fillId="0" borderId="0" xfId="0" applyFill="1"/>
    <xf numFmtId="0" fontId="4" fillId="0" borderId="0" xfId="0" applyFont="1"/>
    <xf numFmtId="0" fontId="5" fillId="0" borderId="0" xfId="0" applyFont="1"/>
    <xf numFmtId="0" fontId="6" fillId="0" borderId="0" xfId="0" applyFont="1"/>
    <xf numFmtId="0" fontId="7" fillId="0" borderId="0" xfId="0" applyFont="1"/>
    <xf numFmtId="0" fontId="9" fillId="0" borderId="0" xfId="2" applyFont="1" applyAlignment="1" applyProtection="1"/>
    <xf numFmtId="0" fontId="9" fillId="3" borderId="0" xfId="2" applyFont="1" applyFill="1" applyAlignment="1" applyProtection="1"/>
    <xf numFmtId="0" fontId="6" fillId="3" borderId="0" xfId="0" applyFont="1" applyFill="1"/>
    <xf numFmtId="0" fontId="10" fillId="0" borderId="0" xfId="0" applyFont="1"/>
    <xf numFmtId="0" fontId="46" fillId="0" borderId="0" xfId="2" applyFont="1" applyAlignment="1" applyProtection="1"/>
    <xf numFmtId="0" fontId="11" fillId="0" borderId="0" xfId="0" applyFont="1"/>
    <xf numFmtId="0" fontId="47" fillId="0" borderId="0" xfId="0" applyFont="1" applyFill="1"/>
    <xf numFmtId="0" fontId="7" fillId="0" borderId="0" xfId="0" applyFont="1" applyFill="1"/>
    <xf numFmtId="0" fontId="11" fillId="0" borderId="0" xfId="0" applyFont="1" applyFill="1"/>
    <xf numFmtId="0" fontId="48" fillId="0" borderId="0" xfId="2" applyFont="1" applyFill="1" applyAlignment="1" applyProtection="1"/>
    <xf numFmtId="0" fontId="0" fillId="4" borderId="0" xfId="0" applyFill="1"/>
    <xf numFmtId="0" fontId="12" fillId="0" borderId="0" xfId="2" applyFont="1" applyAlignment="1" applyProtection="1">
      <alignment horizontal="left"/>
      <protection locked="0"/>
    </xf>
    <xf numFmtId="0" fontId="13" fillId="0" borderId="0" xfId="0" applyFont="1" applyAlignment="1" applyProtection="1">
      <alignment horizontal="left"/>
    </xf>
    <xf numFmtId="0" fontId="12" fillId="0" borderId="0" xfId="2" quotePrefix="1" applyFont="1" applyAlignment="1" applyProtection="1">
      <alignment horizontal="left"/>
      <protection locked="0"/>
    </xf>
    <xf numFmtId="0" fontId="0" fillId="0" borderId="0" xfId="0" applyAlignment="1" applyProtection="1">
      <alignment horizontal="left"/>
    </xf>
    <xf numFmtId="0" fontId="12" fillId="0" borderId="0" xfId="2" applyFont="1" applyAlignment="1" applyProtection="1">
      <alignment horizontal="left" vertical="center"/>
    </xf>
    <xf numFmtId="0" fontId="12" fillId="0" borderId="0" xfId="2" quotePrefix="1" applyFont="1" applyAlignment="1" applyProtection="1">
      <alignment horizontal="left" vertical="center"/>
    </xf>
    <xf numFmtId="0" fontId="12" fillId="0" borderId="0" xfId="2" applyFont="1" applyAlignment="1" applyProtection="1">
      <alignment horizontal="left" vertical="center"/>
      <protection locked="0"/>
    </xf>
    <xf numFmtId="0" fontId="13" fillId="0" borderId="0" xfId="0" applyFont="1" applyAlignment="1" applyProtection="1">
      <alignment horizontal="left" vertical="center"/>
    </xf>
    <xf numFmtId="0" fontId="12" fillId="0" borderId="0" xfId="2" quotePrefix="1" applyFont="1" applyAlignment="1" applyProtection="1">
      <alignment horizontal="left" vertical="center"/>
      <protection locked="0"/>
    </xf>
    <xf numFmtId="0" fontId="0" fillId="0" borderId="0" xfId="0" applyAlignment="1" applyProtection="1">
      <alignment horizontal="left" vertical="center"/>
    </xf>
    <xf numFmtId="0" fontId="49" fillId="5" borderId="0" xfId="0" applyFont="1" applyFill="1" applyAlignment="1" applyProtection="1">
      <alignment horizontal="centerContinuous" vertical="center"/>
    </xf>
    <xf numFmtId="0" fontId="0" fillId="0" borderId="0" xfId="0" applyProtection="1"/>
    <xf numFmtId="0" fontId="0" fillId="5" borderId="0" xfId="0" applyFill="1" applyProtection="1"/>
    <xf numFmtId="0" fontId="50" fillId="5" borderId="0" xfId="0" applyFont="1" applyFill="1" applyProtection="1"/>
    <xf numFmtId="0" fontId="51" fillId="5" borderId="0" xfId="0" applyFont="1" applyFill="1" applyProtection="1"/>
    <xf numFmtId="0" fontId="0" fillId="5" borderId="2" xfId="0" applyFill="1" applyBorder="1" applyProtection="1"/>
    <xf numFmtId="0" fontId="16" fillId="5" borderId="5" xfId="0" applyFont="1" applyFill="1" applyBorder="1" applyAlignment="1" applyProtection="1">
      <alignment horizontal="centerContinuous" vertical="center"/>
    </xf>
    <xf numFmtId="0" fontId="16" fillId="5" borderId="7" xfId="0" applyFont="1" applyFill="1" applyBorder="1" applyAlignment="1" applyProtection="1">
      <alignment horizontal="right" vertical="center"/>
    </xf>
    <xf numFmtId="0" fontId="52" fillId="5" borderId="5" xfId="0" applyFont="1" applyFill="1" applyBorder="1" applyAlignment="1" applyProtection="1">
      <alignment horizontal="center" vertical="center"/>
    </xf>
    <xf numFmtId="0" fontId="0" fillId="0" borderId="0" xfId="0" applyAlignment="1" applyProtection="1">
      <alignment vertical="center"/>
    </xf>
    <xf numFmtId="0" fontId="16" fillId="5" borderId="8" xfId="0" applyFont="1" applyFill="1" applyBorder="1" applyAlignment="1" applyProtection="1">
      <alignment vertical="center"/>
    </xf>
    <xf numFmtId="3" fontId="0" fillId="0" borderId="50" xfId="0" applyNumberFormat="1" applyFill="1" applyBorder="1" applyAlignment="1" applyProtection="1">
      <alignment horizontal="right" vertical="center"/>
      <protection locked="0"/>
    </xf>
    <xf numFmtId="3" fontId="0" fillId="0" borderId="51" xfId="0" applyNumberFormat="1" applyFill="1" applyBorder="1" applyAlignment="1" applyProtection="1">
      <alignment horizontal="right" vertical="center"/>
      <protection locked="0"/>
    </xf>
    <xf numFmtId="3" fontId="0" fillId="0" borderId="54" xfId="0" applyNumberFormat="1" applyFill="1" applyBorder="1" applyAlignment="1" applyProtection="1">
      <alignment horizontal="right" vertical="center"/>
      <protection locked="0"/>
    </xf>
    <xf numFmtId="3" fontId="0" fillId="0" borderId="55" xfId="0" applyNumberFormat="1" applyFill="1" applyBorder="1" applyAlignment="1" applyProtection="1">
      <alignment horizontal="right" vertical="center"/>
      <protection locked="0"/>
    </xf>
    <xf numFmtId="3" fontId="53" fillId="0" borderId="56" xfId="0" applyNumberFormat="1" applyFont="1" applyFill="1" applyBorder="1" applyAlignment="1" applyProtection="1">
      <alignment horizontal="right" vertical="center"/>
      <protection locked="0"/>
    </xf>
    <xf numFmtId="0" fontId="52" fillId="5" borderId="8" xfId="0" applyFont="1" applyFill="1" applyBorder="1" applyAlignment="1" applyProtection="1">
      <alignment vertical="center"/>
    </xf>
    <xf numFmtId="3" fontId="53" fillId="0" borderId="58" xfId="0" applyNumberFormat="1" applyFont="1" applyFill="1" applyBorder="1" applyAlignment="1" applyProtection="1">
      <alignment horizontal="right" vertical="center"/>
      <protection locked="0"/>
    </xf>
    <xf numFmtId="3" fontId="53" fillId="0" borderId="59" xfId="0" applyNumberFormat="1" applyFont="1" applyFill="1" applyBorder="1" applyAlignment="1" applyProtection="1">
      <alignment horizontal="right" vertical="center"/>
      <protection locked="0"/>
    </xf>
    <xf numFmtId="3" fontId="53" fillId="0" borderId="0" xfId="0" applyNumberFormat="1" applyFont="1" applyFill="1" applyBorder="1" applyAlignment="1" applyProtection="1">
      <alignment horizontal="right" vertical="center"/>
      <protection locked="0"/>
    </xf>
    <xf numFmtId="0" fontId="16" fillId="5" borderId="9" xfId="0" applyFont="1" applyFill="1" applyBorder="1" applyAlignment="1" applyProtection="1">
      <alignment vertical="center"/>
    </xf>
    <xf numFmtId="3" fontId="0" fillId="0" borderId="10" xfId="0" applyNumberFormat="1" applyFill="1" applyBorder="1" applyAlignment="1" applyProtection="1">
      <alignment horizontal="right" vertical="center"/>
      <protection locked="0"/>
    </xf>
    <xf numFmtId="3" fontId="0" fillId="0" borderId="61" xfId="0" applyNumberFormat="1" applyFill="1" applyBorder="1" applyAlignment="1" applyProtection="1">
      <alignment horizontal="right" vertical="center"/>
      <protection locked="0"/>
    </xf>
    <xf numFmtId="3" fontId="0" fillId="0" borderId="11" xfId="0" applyNumberFormat="1" applyFill="1" applyBorder="1" applyAlignment="1" applyProtection="1">
      <alignment horizontal="right" vertical="center"/>
      <protection locked="0"/>
    </xf>
    <xf numFmtId="0" fontId="13" fillId="5" borderId="0" xfId="0" applyFont="1" applyFill="1" applyProtection="1"/>
    <xf numFmtId="0" fontId="17" fillId="5" borderId="0" xfId="0" applyFont="1" applyFill="1" applyProtection="1"/>
    <xf numFmtId="0" fontId="0" fillId="6" borderId="62" xfId="0" applyFill="1" applyBorder="1" applyAlignment="1" applyProtection="1">
      <alignment horizontal="left"/>
      <protection locked="0"/>
    </xf>
    <xf numFmtId="0" fontId="0" fillId="6" borderId="62" xfId="0" applyFill="1" applyBorder="1" applyProtection="1">
      <protection locked="0"/>
    </xf>
    <xf numFmtId="0" fontId="0" fillId="6" borderId="56" xfId="0" applyFill="1" applyBorder="1" applyAlignment="1" applyProtection="1">
      <alignment horizontal="left"/>
      <protection locked="0"/>
    </xf>
    <xf numFmtId="0" fontId="0" fillId="6" borderId="56" xfId="0" applyFill="1" applyBorder="1" applyProtection="1">
      <protection locked="0"/>
    </xf>
    <xf numFmtId="0" fontId="16" fillId="5" borderId="12" xfId="0" applyFont="1" applyFill="1" applyBorder="1" applyProtection="1"/>
    <xf numFmtId="0" fontId="16" fillId="5" borderId="13" xfId="0" applyFont="1" applyFill="1" applyBorder="1" applyProtection="1"/>
    <xf numFmtId="0" fontId="50" fillId="5" borderId="0" xfId="0" applyFont="1" applyFill="1" applyAlignment="1" applyProtection="1"/>
    <xf numFmtId="0" fontId="51" fillId="5" borderId="0" xfId="0" applyFont="1" applyFill="1" applyAlignment="1" applyProtection="1"/>
    <xf numFmtId="0" fontId="0" fillId="5" borderId="0" xfId="0" applyFill="1" applyAlignment="1" applyProtection="1"/>
    <xf numFmtId="0" fontId="17" fillId="5" borderId="0" xfId="0" applyFont="1" applyFill="1" applyAlignment="1" applyProtection="1"/>
    <xf numFmtId="0" fontId="0" fillId="0" borderId="0" xfId="0" applyAlignment="1" applyProtection="1">
      <alignment wrapText="1"/>
    </xf>
    <xf numFmtId="0" fontId="49" fillId="7" borderId="0" xfId="0" applyFont="1" applyFill="1" applyAlignment="1" applyProtection="1">
      <alignment horizontal="centerContinuous" vertical="center"/>
    </xf>
    <xf numFmtId="0" fontId="0" fillId="7" borderId="0" xfId="0" applyFill="1" applyProtection="1"/>
    <xf numFmtId="0" fontId="50" fillId="7" borderId="0" xfId="0" applyFont="1" applyFill="1" applyAlignment="1" applyProtection="1"/>
    <xf numFmtId="0" fontId="51" fillId="7" borderId="0" xfId="0" applyFont="1" applyFill="1" applyAlignment="1" applyProtection="1"/>
    <xf numFmtId="0" fontId="17" fillId="7" borderId="0" xfId="0" applyFont="1" applyFill="1" applyProtection="1"/>
    <xf numFmtId="0" fontId="0" fillId="7" borderId="0" xfId="0" applyFill="1" applyAlignment="1" applyProtection="1">
      <alignment horizontal="centerContinuous" vertical="center"/>
    </xf>
    <xf numFmtId="0" fontId="49" fillId="8" borderId="0" xfId="0" applyFont="1" applyFill="1" applyAlignment="1" applyProtection="1">
      <alignment horizontal="centerContinuous" vertical="center"/>
    </xf>
    <xf numFmtId="0" fontId="0" fillId="8" borderId="0" xfId="0" applyFill="1" applyAlignment="1" applyProtection="1">
      <alignment horizontal="centerContinuous" vertical="center"/>
    </xf>
    <xf numFmtId="0" fontId="0" fillId="8" borderId="0" xfId="0" applyFill="1" applyProtection="1"/>
    <xf numFmtId="0" fontId="50" fillId="8" borderId="0" xfId="0" applyFont="1" applyFill="1" applyAlignment="1" applyProtection="1"/>
    <xf numFmtId="0" fontId="51" fillId="8" borderId="0" xfId="0" applyFont="1" applyFill="1" applyAlignment="1" applyProtection="1"/>
    <xf numFmtId="0" fontId="51" fillId="8" borderId="0" xfId="0" applyFont="1" applyFill="1" applyAlignment="1" applyProtection="1">
      <alignment vertical="center"/>
    </xf>
    <xf numFmtId="0" fontId="17" fillId="8" borderId="0" xfId="0" applyFont="1" applyFill="1" applyProtection="1"/>
    <xf numFmtId="0" fontId="51" fillId="8" borderId="0" xfId="0" applyFont="1" applyFill="1" applyBorder="1" applyAlignment="1" applyProtection="1"/>
    <xf numFmtId="0" fontId="16" fillId="8" borderId="0" xfId="0" applyFont="1" applyFill="1" applyProtection="1"/>
    <xf numFmtId="0" fontId="49" fillId="9" borderId="0" xfId="0" applyFont="1" applyFill="1" applyAlignment="1" applyProtection="1">
      <alignment horizontal="centerContinuous" vertical="center"/>
    </xf>
    <xf numFmtId="0" fontId="0" fillId="9" borderId="0" xfId="0" applyFill="1" applyAlignment="1" applyProtection="1">
      <alignment horizontal="centerContinuous" vertical="center"/>
    </xf>
    <xf numFmtId="0" fontId="0" fillId="9" borderId="0" xfId="0" applyFill="1" applyProtection="1"/>
    <xf numFmtId="0" fontId="50" fillId="9" borderId="0" xfId="0" applyFont="1" applyFill="1" applyAlignment="1" applyProtection="1"/>
    <xf numFmtId="0" fontId="51" fillId="9" borderId="0" xfId="0" applyFont="1" applyFill="1" applyAlignment="1" applyProtection="1"/>
    <xf numFmtId="0" fontId="51" fillId="9" borderId="0" xfId="0" applyFont="1" applyFill="1" applyAlignment="1" applyProtection="1">
      <alignment horizontal="left" vertical="center" indent="3"/>
    </xf>
    <xf numFmtId="0" fontId="51" fillId="9" borderId="0" xfId="0" applyFont="1" applyFill="1" applyAlignment="1" applyProtection="1">
      <alignment vertical="center"/>
    </xf>
    <xf numFmtId="0" fontId="17" fillId="9" borderId="0" xfId="0" applyFont="1" applyFill="1" applyProtection="1"/>
    <xf numFmtId="0" fontId="49" fillId="10" borderId="0" xfId="0" applyFont="1" applyFill="1" applyAlignment="1" applyProtection="1">
      <alignment horizontal="centerContinuous" vertical="center"/>
    </xf>
    <xf numFmtId="0" fontId="0" fillId="10" borderId="0" xfId="0" applyFill="1" applyAlignment="1" applyProtection="1">
      <alignment horizontal="centerContinuous" vertical="center"/>
    </xf>
    <xf numFmtId="0" fontId="0" fillId="10" borderId="0" xfId="0" applyFill="1" applyProtection="1"/>
    <xf numFmtId="0" fontId="50" fillId="10" borderId="0" xfId="0" applyFont="1" applyFill="1" applyAlignment="1" applyProtection="1"/>
    <xf numFmtId="0" fontId="51" fillId="10" borderId="0" xfId="0" applyFont="1" applyFill="1" applyAlignment="1" applyProtection="1"/>
    <xf numFmtId="0" fontId="17" fillId="10" borderId="0" xfId="0" applyFont="1" applyFill="1" applyProtection="1"/>
    <xf numFmtId="0" fontId="49" fillId="11" borderId="0" xfId="0" applyFont="1" applyFill="1" applyAlignment="1" applyProtection="1">
      <alignment horizontal="centerContinuous" vertical="center"/>
    </xf>
    <xf numFmtId="0" fontId="50" fillId="11" borderId="0" xfId="0" applyFont="1" applyFill="1" applyAlignment="1" applyProtection="1"/>
    <xf numFmtId="0" fontId="51" fillId="11" borderId="0" xfId="0" applyFont="1" applyFill="1" applyAlignment="1" applyProtection="1"/>
    <xf numFmtId="0" fontId="17" fillId="11" borderId="0" xfId="0" applyFont="1" applyFill="1" applyProtection="1"/>
    <xf numFmtId="0" fontId="0" fillId="11" borderId="0" xfId="0" applyFill="1" applyProtection="1"/>
    <xf numFmtId="0" fontId="14" fillId="0" borderId="0" xfId="0" applyFont="1" applyAlignment="1" applyProtection="1"/>
    <xf numFmtId="0" fontId="0" fillId="0" borderId="0" xfId="0" applyAlignment="1" applyProtection="1"/>
    <xf numFmtId="0" fontId="0" fillId="12" borderId="0" xfId="0" applyFill="1" applyAlignment="1" applyProtection="1"/>
    <xf numFmtId="0" fontId="54" fillId="12" borderId="0" xfId="0" applyFont="1" applyFill="1" applyAlignment="1" applyProtection="1"/>
    <xf numFmtId="0" fontId="55" fillId="12" borderId="0" xfId="0" applyFont="1" applyFill="1" applyBorder="1" applyAlignment="1" applyProtection="1"/>
    <xf numFmtId="0" fontId="51" fillId="12" borderId="0" xfId="0" applyFont="1" applyFill="1" applyAlignment="1" applyProtection="1"/>
    <xf numFmtId="0" fontId="15" fillId="12" borderId="0" xfId="0" applyFont="1" applyFill="1" applyAlignment="1" applyProtection="1"/>
    <xf numFmtId="0" fontId="0" fillId="12" borderId="0" xfId="0" applyFill="1" applyAlignment="1" applyProtection="1">
      <alignment horizontal="left"/>
    </xf>
    <xf numFmtId="0" fontId="0" fillId="12" borderId="0" xfId="0" applyFill="1" applyProtection="1"/>
    <xf numFmtId="0" fontId="54" fillId="12" borderId="0" xfId="0" applyFont="1" applyFill="1" applyProtection="1"/>
    <xf numFmtId="0" fontId="16" fillId="12" borderId="0" xfId="0" applyFont="1" applyFill="1" applyProtection="1"/>
    <xf numFmtId="0" fontId="15" fillId="12" borderId="0" xfId="0" applyFont="1" applyFill="1" applyProtection="1"/>
    <xf numFmtId="0" fontId="13" fillId="12" borderId="0" xfId="0" applyFont="1" applyFill="1" applyAlignment="1" applyProtection="1">
      <alignment horizontal="left"/>
    </xf>
    <xf numFmtId="0" fontId="4" fillId="12" borderId="0" xfId="0" applyFont="1" applyFill="1" applyProtection="1"/>
    <xf numFmtId="0" fontId="13" fillId="12" borderId="0" xfId="0" applyFont="1" applyFill="1" applyAlignment="1" applyProtection="1"/>
    <xf numFmtId="0" fontId="0" fillId="12" borderId="0" xfId="0" quotePrefix="1" applyFill="1" applyProtection="1"/>
    <xf numFmtId="0" fontId="13" fillId="12" borderId="0" xfId="0" applyFont="1" applyFill="1" applyAlignment="1" applyProtection="1">
      <alignment horizontal="right"/>
    </xf>
    <xf numFmtId="0" fontId="0" fillId="12" borderId="0" xfId="0" applyFill="1" applyAlignment="1" applyProtection="1">
      <alignment horizontal="left" indent="1"/>
    </xf>
    <xf numFmtId="0" fontId="0" fillId="12" borderId="0" xfId="0" quotePrefix="1" applyFill="1" applyBorder="1" applyProtection="1"/>
    <xf numFmtId="0" fontId="0" fillId="12" borderId="0" xfId="0" applyFill="1" applyBorder="1" applyProtection="1"/>
    <xf numFmtId="0" fontId="16" fillId="0" borderId="0" xfId="0" applyFont="1" applyProtection="1"/>
    <xf numFmtId="0" fontId="15" fillId="0" borderId="0" xfId="0" applyFont="1" applyProtection="1"/>
    <xf numFmtId="0" fontId="56" fillId="13" borderId="3" xfId="0" applyFont="1" applyFill="1" applyBorder="1" applyAlignment="1" applyProtection="1">
      <alignment vertical="top" wrapText="1"/>
    </xf>
    <xf numFmtId="0" fontId="15" fillId="0" borderId="3" xfId="0" applyFont="1" applyBorder="1" applyProtection="1"/>
    <xf numFmtId="0" fontId="56" fillId="0" borderId="8" xfId="0" applyFont="1" applyBorder="1" applyAlignment="1" applyProtection="1">
      <alignment vertical="top" wrapText="1"/>
    </xf>
    <xf numFmtId="0" fontId="15" fillId="0" borderId="8" xfId="0" applyFont="1" applyBorder="1" applyProtection="1"/>
    <xf numFmtId="0" fontId="56" fillId="13" borderId="8" xfId="0" applyFont="1" applyFill="1" applyBorder="1" applyAlignment="1" applyProtection="1">
      <alignment vertical="top" wrapText="1"/>
    </xf>
    <xf numFmtId="0" fontId="15" fillId="0" borderId="7" xfId="0" applyFont="1" applyBorder="1" applyProtection="1"/>
    <xf numFmtId="0" fontId="56" fillId="0" borderId="8" xfId="0" applyFont="1" applyFill="1" applyBorder="1" applyAlignment="1" applyProtection="1">
      <alignment vertical="top" wrapText="1"/>
    </xf>
    <xf numFmtId="0" fontId="56" fillId="13" borderId="7" xfId="0" applyFont="1" applyFill="1" applyBorder="1" applyAlignment="1" applyProtection="1">
      <alignment vertical="top" wrapText="1"/>
    </xf>
    <xf numFmtId="0" fontId="15" fillId="0" borderId="0" xfId="4" applyFill="1" applyProtection="1"/>
    <xf numFmtId="0" fontId="15" fillId="11" borderId="0" xfId="4" applyFill="1" applyProtection="1"/>
    <xf numFmtId="0" fontId="16" fillId="11" borderId="0" xfId="0" applyFont="1" applyFill="1" applyAlignment="1" applyProtection="1">
      <alignment horizontal="right"/>
    </xf>
    <xf numFmtId="1" fontId="0" fillId="11" borderId="0" xfId="0" applyNumberFormat="1" applyFill="1" applyProtection="1"/>
    <xf numFmtId="0" fontId="16" fillId="11" borderId="0" xfId="4" applyFont="1" applyFill="1" applyProtection="1"/>
    <xf numFmtId="0" fontId="24" fillId="11" borderId="2" xfId="4" applyFont="1" applyFill="1" applyBorder="1" applyProtection="1"/>
    <xf numFmtId="0" fontId="0" fillId="11" borderId="3" xfId="0" applyFill="1" applyBorder="1" applyAlignment="1" applyProtection="1"/>
    <xf numFmtId="0" fontId="20" fillId="11" borderId="7" xfId="0" applyFont="1" applyFill="1" applyBorder="1" applyAlignment="1" applyProtection="1"/>
    <xf numFmtId="0" fontId="13" fillId="11" borderId="13" xfId="0" applyFont="1" applyFill="1" applyBorder="1" applyAlignment="1" applyProtection="1">
      <alignment horizontal="left"/>
    </xf>
    <xf numFmtId="3" fontId="0" fillId="11" borderId="0" xfId="0" applyNumberFormat="1" applyFill="1" applyBorder="1" applyAlignment="1" applyProtection="1">
      <alignment horizontal="right" vertical="center"/>
    </xf>
    <xf numFmtId="0" fontId="13" fillId="11" borderId="0" xfId="0" applyFont="1" applyFill="1" applyProtection="1"/>
    <xf numFmtId="0" fontId="0" fillId="11" borderId="0" xfId="0" applyFill="1" applyBorder="1" applyProtection="1"/>
    <xf numFmtId="0" fontId="25" fillId="11" borderId="0" xfId="0" applyFont="1" applyFill="1" applyBorder="1" applyAlignment="1" applyProtection="1">
      <alignment horizontal="left"/>
    </xf>
    <xf numFmtId="0" fontId="15" fillId="0" borderId="0" xfId="4" applyProtection="1"/>
    <xf numFmtId="0" fontId="15" fillId="11" borderId="0" xfId="0" applyFont="1" applyFill="1" applyProtection="1"/>
    <xf numFmtId="0" fontId="17" fillId="11" borderId="13" xfId="0" applyFont="1" applyFill="1" applyBorder="1" applyProtection="1"/>
    <xf numFmtId="0" fontId="15" fillId="11" borderId="13" xfId="4" applyFont="1" applyFill="1" applyBorder="1" applyAlignment="1" applyProtection="1">
      <alignment horizontal="left" indent="1"/>
    </xf>
    <xf numFmtId="0" fontId="58" fillId="11" borderId="17" xfId="4" applyFont="1" applyFill="1" applyBorder="1" applyAlignment="1" applyProtection="1">
      <alignment horizontal="left" indent="1"/>
    </xf>
    <xf numFmtId="0" fontId="15" fillId="11" borderId="0" xfId="4" applyFont="1" applyFill="1" applyProtection="1"/>
    <xf numFmtId="0" fontId="15" fillId="11" borderId="0" xfId="0" applyFont="1" applyFill="1" applyBorder="1" applyProtection="1"/>
    <xf numFmtId="0" fontId="59" fillId="11" borderId="0" xfId="4" applyFont="1" applyFill="1" applyBorder="1" applyAlignment="1" applyProtection="1">
      <alignment horizontal="left" vertical="top" indent="3"/>
    </xf>
    <xf numFmtId="0" fontId="13" fillId="11" borderId="0" xfId="4" applyFont="1" applyFill="1" applyAlignment="1" applyProtection="1"/>
    <xf numFmtId="0" fontId="13" fillId="11" borderId="0" xfId="4" applyNumberFormat="1" applyFont="1" applyFill="1" applyProtection="1"/>
    <xf numFmtId="0" fontId="13" fillId="11" borderId="0" xfId="4" applyFont="1" applyFill="1" applyProtection="1"/>
    <xf numFmtId="0" fontId="16" fillId="11" borderId="12" xfId="0" applyFont="1" applyFill="1" applyBorder="1" applyAlignment="1" applyProtection="1">
      <alignment horizontal="left" vertical="center" wrapText="1"/>
    </xf>
    <xf numFmtId="0" fontId="16" fillId="11" borderId="20" xfId="0" applyFont="1" applyFill="1" applyBorder="1" applyAlignment="1" applyProtection="1">
      <alignment horizontal="left" wrapText="1"/>
    </xf>
    <xf numFmtId="0" fontId="37" fillId="11" borderId="3" xfId="4" applyFont="1" applyFill="1" applyBorder="1" applyAlignment="1" applyProtection="1">
      <alignment vertical="center"/>
    </xf>
    <xf numFmtId="0" fontId="37" fillId="11" borderId="7" xfId="4" applyFont="1" applyFill="1" applyBorder="1" applyAlignment="1" applyProtection="1">
      <alignment vertical="center"/>
    </xf>
    <xf numFmtId="0" fontId="15" fillId="11" borderId="8" xfId="4" applyFont="1" applyFill="1" applyBorder="1" applyAlignment="1" applyProtection="1">
      <alignment horizontal="left" wrapText="1" indent="1"/>
    </xf>
    <xf numFmtId="0" fontId="15" fillId="11" borderId="8" xfId="4" applyFont="1" applyFill="1" applyBorder="1" applyAlignment="1" applyProtection="1">
      <alignment horizontal="left" indent="2"/>
    </xf>
    <xf numFmtId="0" fontId="58" fillId="11" borderId="21" xfId="4" applyFont="1" applyFill="1" applyBorder="1" applyAlignment="1" applyProtection="1">
      <alignment horizontal="left" indent="2"/>
    </xf>
    <xf numFmtId="0" fontId="15" fillId="10" borderId="0" xfId="4" applyFill="1" applyProtection="1"/>
    <xf numFmtId="0" fontId="16" fillId="10" borderId="0" xfId="0" applyFont="1" applyFill="1" applyAlignment="1" applyProtection="1">
      <alignment horizontal="right"/>
    </xf>
    <xf numFmtId="0" fontId="0" fillId="10" borderId="3" xfId="0" applyFill="1" applyBorder="1" applyProtection="1"/>
    <xf numFmtId="0" fontId="60" fillId="10" borderId="24" xfId="0" applyFont="1" applyFill="1" applyBorder="1" applyAlignment="1" applyProtection="1">
      <alignment horizontal="center" vertical="top" wrapText="1"/>
    </xf>
    <xf numFmtId="0" fontId="0" fillId="10" borderId="0" xfId="0" applyFill="1" applyAlignment="1" applyProtection="1">
      <alignment vertical="center"/>
    </xf>
    <xf numFmtId="0" fontId="13" fillId="10" borderId="13" xfId="0" applyFont="1" applyFill="1" applyBorder="1" applyAlignment="1" applyProtection="1">
      <alignment horizontal="left"/>
    </xf>
    <xf numFmtId="3" fontId="0" fillId="10" borderId="0" xfId="0" applyNumberFormat="1" applyFill="1" applyBorder="1" applyAlignment="1" applyProtection="1">
      <alignment horizontal="right" vertical="center"/>
    </xf>
    <xf numFmtId="0" fontId="13" fillId="10" borderId="0" xfId="0" applyFont="1" applyFill="1" applyProtection="1"/>
    <xf numFmtId="0" fontId="0" fillId="10" borderId="0" xfId="0" applyFill="1" applyBorder="1" applyProtection="1"/>
    <xf numFmtId="0" fontId="25" fillId="10" borderId="0" xfId="0" applyFont="1" applyFill="1" applyBorder="1" applyAlignment="1" applyProtection="1">
      <alignment horizontal="left"/>
    </xf>
    <xf numFmtId="0" fontId="16" fillId="10" borderId="0" xfId="0" applyFont="1" applyFill="1" applyProtection="1"/>
    <xf numFmtId="0" fontId="15" fillId="10" borderId="0" xfId="0" applyFont="1" applyFill="1" applyProtection="1"/>
    <xf numFmtId="0" fontId="34" fillId="10" borderId="3" xfId="0" applyFont="1" applyFill="1" applyBorder="1" applyProtection="1"/>
    <xf numFmtId="0" fontId="25" fillId="10" borderId="8" xfId="0" applyFont="1" applyFill="1" applyBorder="1" applyAlignment="1" applyProtection="1"/>
    <xf numFmtId="0" fontId="15" fillId="10" borderId="13" xfId="4" applyFont="1" applyFill="1" applyBorder="1" applyAlignment="1" applyProtection="1">
      <alignment horizontal="left" indent="1"/>
    </xf>
    <xf numFmtId="0" fontId="58" fillId="10" borderId="17" xfId="4" applyFont="1" applyFill="1" applyBorder="1" applyAlignment="1" applyProtection="1">
      <alignment horizontal="left" indent="1"/>
    </xf>
    <xf numFmtId="0" fontId="15" fillId="10" borderId="0" xfId="4" applyFont="1" applyFill="1" applyProtection="1"/>
    <xf numFmtId="0" fontId="15" fillId="10" borderId="0" xfId="0" applyFont="1" applyFill="1" applyBorder="1" applyProtection="1"/>
    <xf numFmtId="0" fontId="59" fillId="10" borderId="0" xfId="4" applyFont="1" applyFill="1" applyBorder="1" applyAlignment="1" applyProtection="1">
      <alignment horizontal="left" vertical="top" indent="3"/>
    </xf>
    <xf numFmtId="0" fontId="13" fillId="10" borderId="0" xfId="4" applyFont="1" applyFill="1" applyAlignment="1" applyProtection="1"/>
    <xf numFmtId="0" fontId="13" fillId="10" borderId="0" xfId="4" applyNumberFormat="1" applyFont="1" applyFill="1" applyProtection="1"/>
    <xf numFmtId="0" fontId="13" fillId="10" borderId="0" xfId="4" applyFont="1" applyFill="1" applyProtection="1"/>
    <xf numFmtId="0" fontId="16" fillId="10" borderId="13" xfId="0" applyFont="1" applyFill="1" applyBorder="1" applyAlignment="1" applyProtection="1">
      <alignment wrapText="1"/>
    </xf>
    <xf numFmtId="0" fontId="15" fillId="9" borderId="0" xfId="4" applyFill="1" applyProtection="1"/>
    <xf numFmtId="0" fontId="16" fillId="9" borderId="0" xfId="0" applyFont="1" applyFill="1" applyAlignment="1" applyProtection="1">
      <alignment horizontal="right"/>
    </xf>
    <xf numFmtId="1" fontId="0" fillId="9" borderId="0" xfId="0" applyNumberFormat="1" applyFill="1" applyProtection="1"/>
    <xf numFmtId="0" fontId="0" fillId="9" borderId="2" xfId="0" applyFill="1" applyBorder="1" applyProtection="1"/>
    <xf numFmtId="0" fontId="0" fillId="9" borderId="3" xfId="0" applyFill="1" applyBorder="1" applyProtection="1"/>
    <xf numFmtId="0" fontId="16" fillId="9" borderId="4" xfId="0" applyFont="1" applyFill="1" applyBorder="1" applyAlignment="1" applyProtection="1">
      <alignment horizontal="centerContinuous" vertical="center"/>
    </xf>
    <xf numFmtId="0" fontId="16" fillId="9" borderId="5" xfId="0" applyFont="1" applyFill="1" applyBorder="1" applyAlignment="1" applyProtection="1">
      <alignment horizontal="centerContinuous" vertical="center"/>
    </xf>
    <xf numFmtId="0" fontId="0" fillId="9" borderId="6" xfId="0" applyFill="1" applyBorder="1" applyAlignment="1" applyProtection="1">
      <alignment horizontal="centerContinuous" vertical="center"/>
    </xf>
    <xf numFmtId="0" fontId="25" fillId="9" borderId="7" xfId="0" applyFont="1" applyFill="1" applyBorder="1" applyAlignment="1" applyProtection="1">
      <alignment horizontal="left" wrapText="1"/>
    </xf>
    <xf numFmtId="0" fontId="15" fillId="9" borderId="8" xfId="0" applyFont="1" applyFill="1" applyBorder="1" applyAlignment="1" applyProtection="1">
      <alignment horizontal="left" wrapText="1" indent="1"/>
    </xf>
    <xf numFmtId="0" fontId="15" fillId="9" borderId="8" xfId="0" applyFont="1" applyFill="1" applyBorder="1" applyAlignment="1" applyProtection="1">
      <alignment horizontal="left" indent="1"/>
    </xf>
    <xf numFmtId="0" fontId="15" fillId="9" borderId="7" xfId="0" applyFont="1" applyFill="1" applyBorder="1" applyAlignment="1" applyProtection="1">
      <alignment horizontal="left" indent="1"/>
    </xf>
    <xf numFmtId="0" fontId="61" fillId="9" borderId="0" xfId="0" applyFont="1" applyFill="1" applyBorder="1" applyAlignment="1" applyProtection="1">
      <alignment horizontal="left" indent="1"/>
    </xf>
    <xf numFmtId="0" fontId="62" fillId="9" borderId="0" xfId="0" applyFont="1" applyFill="1" applyBorder="1" applyProtection="1"/>
    <xf numFmtId="0" fontId="16" fillId="9" borderId="0" xfId="0" applyFont="1" applyFill="1" applyProtection="1"/>
    <xf numFmtId="0" fontId="0" fillId="9" borderId="5" xfId="0" applyFill="1" applyBorder="1" applyAlignment="1" applyProtection="1">
      <alignment horizontal="centerContinuous" vertical="center"/>
    </xf>
    <xf numFmtId="0" fontId="0" fillId="9" borderId="0" xfId="0" applyFill="1" applyBorder="1" applyProtection="1"/>
    <xf numFmtId="0" fontId="59" fillId="9" borderId="3" xfId="0" applyFont="1" applyFill="1" applyBorder="1" applyAlignment="1" applyProtection="1">
      <alignment horizontal="left"/>
    </xf>
    <xf numFmtId="0" fontId="59" fillId="9" borderId="7" xfId="0" applyFont="1" applyFill="1" applyBorder="1" applyAlignment="1" applyProtection="1">
      <alignment horizontal="left" wrapText="1"/>
    </xf>
    <xf numFmtId="0" fontId="62" fillId="9" borderId="5" xfId="0" applyFont="1" applyFill="1" applyBorder="1" applyAlignment="1" applyProtection="1">
      <alignment horizontal="center" vertical="center" wrapText="1"/>
    </xf>
    <xf numFmtId="0" fontId="62" fillId="9" borderId="7" xfId="0" applyFont="1" applyFill="1" applyBorder="1" applyAlignment="1" applyProtection="1">
      <alignment horizontal="left" indent="1"/>
    </xf>
    <xf numFmtId="0" fontId="15" fillId="8" borderId="0" xfId="4" applyFill="1" applyProtection="1"/>
    <xf numFmtId="0" fontId="16" fillId="8" borderId="0" xfId="0" applyFont="1" applyFill="1" applyAlignment="1" applyProtection="1">
      <alignment horizontal="right"/>
    </xf>
    <xf numFmtId="0" fontId="0" fillId="8" borderId="3" xfId="0" applyFill="1" applyBorder="1" applyProtection="1"/>
    <xf numFmtId="0" fontId="16" fillId="8" borderId="4" xfId="0" applyFont="1" applyFill="1" applyBorder="1" applyAlignment="1" applyProtection="1">
      <alignment horizontal="centerContinuous" vertical="center"/>
    </xf>
    <xf numFmtId="0" fontId="16" fillId="8" borderId="5" xfId="0" applyFont="1" applyFill="1" applyBorder="1" applyAlignment="1" applyProtection="1">
      <alignment horizontal="centerContinuous" vertical="center"/>
    </xf>
    <xf numFmtId="0" fontId="16" fillId="8" borderId="6" xfId="0" applyFont="1" applyFill="1" applyBorder="1" applyAlignment="1" applyProtection="1">
      <alignment horizontal="centerContinuous" vertical="center"/>
    </xf>
    <xf numFmtId="0" fontId="0" fillId="8" borderId="8" xfId="0" applyFill="1" applyBorder="1" applyProtection="1"/>
    <xf numFmtId="0" fontId="16" fillId="8" borderId="17" xfId="0" applyFont="1" applyFill="1" applyBorder="1" applyAlignment="1" applyProtection="1">
      <alignment horizontal="centerContinuous" vertical="center"/>
    </xf>
    <xf numFmtId="0" fontId="16" fillId="8" borderId="2" xfId="0" applyFont="1" applyFill="1" applyBorder="1" applyAlignment="1" applyProtection="1">
      <alignment horizontal="centerContinuous" vertical="center"/>
    </xf>
    <xf numFmtId="0" fontId="15" fillId="8" borderId="13" xfId="0" applyFont="1" applyFill="1" applyBorder="1" applyAlignment="1" applyProtection="1">
      <alignment horizontal="left" indent="1"/>
    </xf>
    <xf numFmtId="0" fontId="62" fillId="8" borderId="19" xfId="0" applyFont="1" applyFill="1" applyBorder="1" applyAlignment="1" applyProtection="1">
      <alignment horizontal="left" indent="1"/>
    </xf>
    <xf numFmtId="0" fontId="59" fillId="8" borderId="7" xfId="0" applyFont="1" applyFill="1" applyBorder="1" applyAlignment="1" applyProtection="1">
      <alignment horizontal="left"/>
    </xf>
    <xf numFmtId="0" fontId="16" fillId="8" borderId="27" xfId="0" applyFont="1" applyFill="1" applyBorder="1" applyAlignment="1" applyProtection="1">
      <alignment wrapText="1"/>
    </xf>
    <xf numFmtId="0" fontId="15" fillId="8" borderId="13" xfId="0" applyFont="1" applyFill="1" applyBorder="1" applyAlignment="1" applyProtection="1">
      <alignment horizontal="left" indent="2"/>
    </xf>
    <xf numFmtId="0" fontId="62" fillId="8" borderId="19" xfId="0" applyFont="1" applyFill="1" applyBorder="1" applyAlignment="1" applyProtection="1">
      <alignment horizontal="left" indent="2"/>
    </xf>
    <xf numFmtId="0" fontId="61" fillId="8" borderId="27" xfId="0" applyFont="1" applyFill="1" applyBorder="1" applyAlignment="1" applyProtection="1">
      <alignment wrapText="1"/>
    </xf>
    <xf numFmtId="0" fontId="62" fillId="8" borderId="13" xfId="0" applyFont="1" applyFill="1" applyBorder="1" applyAlignment="1" applyProtection="1">
      <alignment horizontal="left" indent="2"/>
    </xf>
    <xf numFmtId="0" fontId="0" fillId="0" borderId="0" xfId="0" applyFill="1" applyProtection="1"/>
    <xf numFmtId="0" fontId="62" fillId="8" borderId="5" xfId="0" applyFont="1" applyFill="1" applyBorder="1" applyAlignment="1" applyProtection="1">
      <alignment horizontal="center" vertical="center" wrapText="1"/>
    </xf>
    <xf numFmtId="0" fontId="0" fillId="8" borderId="0" xfId="0" applyFill="1" applyBorder="1" applyProtection="1"/>
    <xf numFmtId="0" fontId="0" fillId="0" borderId="0" xfId="0" applyBorder="1" applyProtection="1"/>
    <xf numFmtId="0" fontId="0" fillId="8" borderId="2" xfId="0" applyFill="1" applyBorder="1" applyProtection="1"/>
    <xf numFmtId="0" fontId="19" fillId="8" borderId="3" xfId="0" applyFont="1" applyFill="1" applyBorder="1" applyProtection="1"/>
    <xf numFmtId="0" fontId="61" fillId="8" borderId="14" xfId="0" applyFont="1" applyFill="1" applyBorder="1" applyAlignment="1" applyProtection="1">
      <alignment horizontal="centerContinuous" vertical="center" wrapText="1"/>
    </xf>
    <xf numFmtId="0" fontId="19" fillId="8" borderId="8" xfId="0" applyFont="1" applyFill="1" applyBorder="1" applyProtection="1"/>
    <xf numFmtId="0" fontId="16" fillId="8" borderId="0" xfId="0" applyFont="1" applyFill="1" applyBorder="1" applyAlignment="1" applyProtection="1">
      <alignment horizontal="left" vertical="center"/>
    </xf>
    <xf numFmtId="0" fontId="16" fillId="8" borderId="0" xfId="0" applyFont="1" applyFill="1" applyBorder="1" applyAlignment="1" applyProtection="1">
      <alignment horizontal="centerContinuous" vertical="center"/>
    </xf>
    <xf numFmtId="0" fontId="61" fillId="8" borderId="0" xfId="0" applyFont="1" applyFill="1" applyBorder="1" applyAlignment="1" applyProtection="1">
      <alignment horizontal="center" vertical="center" wrapText="1"/>
    </xf>
    <xf numFmtId="0" fontId="62" fillId="8" borderId="2" xfId="0" applyFont="1" applyFill="1" applyBorder="1" applyAlignment="1" applyProtection="1">
      <alignment horizontal="centerContinuous" vertical="center" wrapText="1"/>
    </xf>
    <xf numFmtId="0" fontId="0" fillId="8" borderId="2" xfId="0" applyFill="1" applyBorder="1" applyAlignment="1" applyProtection="1">
      <alignment vertical="center"/>
    </xf>
    <xf numFmtId="0" fontId="61" fillId="8" borderId="2" xfId="0" applyFont="1" applyFill="1" applyBorder="1" applyAlignment="1" applyProtection="1">
      <alignment horizontal="center" vertical="top" wrapText="1"/>
    </xf>
    <xf numFmtId="0" fontId="15" fillId="8" borderId="8" xfId="0" applyFont="1" applyFill="1" applyBorder="1" applyAlignment="1" applyProtection="1">
      <alignment horizontal="left" wrapText="1"/>
    </xf>
    <xf numFmtId="0" fontId="16" fillId="8" borderId="8" xfId="0" applyFont="1" applyFill="1" applyBorder="1" applyAlignment="1" applyProtection="1">
      <alignment horizontal="left" indent="1"/>
    </xf>
    <xf numFmtId="0" fontId="15" fillId="8" borderId="8" xfId="0" applyFont="1" applyFill="1" applyBorder="1" applyAlignment="1" applyProtection="1">
      <alignment horizontal="left" indent="2"/>
    </xf>
    <xf numFmtId="0" fontId="62" fillId="8" borderId="8" xfId="0" applyFont="1" applyFill="1" applyBorder="1" applyAlignment="1" applyProtection="1">
      <alignment horizontal="left" indent="2"/>
    </xf>
    <xf numFmtId="0" fontId="61" fillId="8" borderId="7" xfId="0" applyFont="1" applyFill="1" applyBorder="1" applyAlignment="1" applyProtection="1">
      <alignment horizontal="left" indent="1"/>
    </xf>
    <xf numFmtId="0" fontId="15" fillId="8" borderId="8" xfId="0" applyFont="1" applyFill="1" applyBorder="1" applyAlignment="1" applyProtection="1">
      <alignment horizontal="left" indent="1"/>
    </xf>
    <xf numFmtId="0" fontId="62" fillId="8" borderId="7" xfId="0" applyFont="1" applyFill="1" applyBorder="1" applyAlignment="1" applyProtection="1">
      <alignment horizontal="left" indent="1"/>
    </xf>
    <xf numFmtId="0" fontId="13" fillId="8" borderId="0" xfId="0" applyFont="1" applyFill="1" applyProtection="1"/>
    <xf numFmtId="0" fontId="16" fillId="8" borderId="28" xfId="0" applyFont="1" applyFill="1" applyBorder="1" applyAlignment="1" applyProtection="1">
      <alignment horizontal="left" vertical="center"/>
    </xf>
    <xf numFmtId="0" fontId="63" fillId="8" borderId="12" xfId="0" applyFont="1" applyFill="1" applyBorder="1" applyProtection="1"/>
    <xf numFmtId="0" fontId="59" fillId="8" borderId="13" xfId="0" applyFont="1" applyFill="1" applyBorder="1" applyProtection="1"/>
    <xf numFmtId="0" fontId="59" fillId="8" borderId="17" xfId="0" applyFont="1" applyFill="1" applyBorder="1" applyAlignment="1" applyProtection="1">
      <alignment horizontal="left" vertical="top" wrapText="1"/>
    </xf>
    <xf numFmtId="0" fontId="16" fillId="8" borderId="8" xfId="0" applyFont="1" applyFill="1" applyBorder="1" applyAlignment="1" applyProtection="1">
      <alignment horizontal="left" wrapText="1"/>
    </xf>
    <xf numFmtId="0" fontId="0" fillId="8" borderId="0" xfId="0" applyFill="1" applyAlignment="1" applyProtection="1">
      <alignment wrapText="1"/>
    </xf>
    <xf numFmtId="0" fontId="16" fillId="8" borderId="0" xfId="0" applyFont="1" applyFill="1" applyBorder="1" applyAlignment="1" applyProtection="1">
      <alignment horizontal="left" indent="2"/>
    </xf>
    <xf numFmtId="0" fontId="62" fillId="8" borderId="0" xfId="0" applyFont="1" applyFill="1" applyBorder="1" applyProtection="1"/>
    <xf numFmtId="0" fontId="15" fillId="7" borderId="0" xfId="4" applyFill="1" applyProtection="1"/>
    <xf numFmtId="0" fontId="16" fillId="7" borderId="0" xfId="0" applyFont="1" applyFill="1" applyProtection="1"/>
    <xf numFmtId="0" fontId="16" fillId="7" borderId="0" xfId="0" applyFont="1" applyFill="1" applyAlignment="1" applyProtection="1">
      <alignment horizontal="right"/>
    </xf>
    <xf numFmtId="0" fontId="0" fillId="7" borderId="3" xfId="0" applyFill="1" applyBorder="1" applyProtection="1"/>
    <xf numFmtId="0" fontId="16" fillId="7" borderId="14" xfId="0" applyFont="1" applyFill="1" applyBorder="1" applyAlignment="1" applyProtection="1">
      <alignment horizontal="centerContinuous" vertical="center"/>
    </xf>
    <xf numFmtId="0" fontId="59" fillId="7" borderId="7" xfId="0" applyFont="1" applyFill="1" applyBorder="1" applyProtection="1"/>
    <xf numFmtId="0" fontId="62" fillId="7" borderId="5" xfId="0" applyFont="1" applyFill="1" applyBorder="1" applyAlignment="1" applyProtection="1">
      <alignment horizontal="center" vertical="center" wrapText="1"/>
    </xf>
    <xf numFmtId="0" fontId="15" fillId="7" borderId="8" xfId="0" applyFont="1" applyFill="1" applyBorder="1" applyAlignment="1" applyProtection="1">
      <alignment horizontal="left" vertical="center" indent="1"/>
    </xf>
    <xf numFmtId="0" fontId="15" fillId="7" borderId="8" xfId="0" applyFont="1" applyFill="1" applyBorder="1" applyAlignment="1" applyProtection="1">
      <alignment horizontal="left" indent="1"/>
    </xf>
    <xf numFmtId="0" fontId="58" fillId="7" borderId="7" xfId="0" applyFont="1" applyFill="1" applyBorder="1" applyAlignment="1" applyProtection="1">
      <alignment horizontal="left" indent="1"/>
    </xf>
    <xf numFmtId="0" fontId="16" fillId="7" borderId="8" xfId="0" applyFont="1" applyFill="1" applyBorder="1" applyAlignment="1" applyProtection="1">
      <alignment wrapText="1"/>
    </xf>
    <xf numFmtId="0" fontId="15" fillId="7" borderId="8" xfId="0" applyFont="1" applyFill="1" applyBorder="1" applyAlignment="1" applyProtection="1">
      <alignment horizontal="left" indent="2"/>
    </xf>
    <xf numFmtId="0" fontId="58" fillId="7" borderId="29" xfId="0" applyFont="1" applyFill="1" applyBorder="1" applyAlignment="1" applyProtection="1">
      <alignment horizontal="left" indent="2"/>
    </xf>
    <xf numFmtId="0" fontId="62" fillId="7" borderId="8" xfId="0" applyFont="1" applyFill="1" applyBorder="1" applyAlignment="1" applyProtection="1">
      <alignment horizontal="left" indent="2"/>
    </xf>
    <xf numFmtId="0" fontId="58" fillId="7" borderId="7" xfId="0" applyFont="1" applyFill="1" applyBorder="1" applyAlignment="1" applyProtection="1">
      <alignment horizontal="left" indent="2"/>
    </xf>
    <xf numFmtId="1" fontId="0" fillId="7" borderId="0" xfId="0" applyNumberFormat="1" applyFill="1" applyAlignment="1" applyProtection="1">
      <alignment horizontal="right"/>
    </xf>
    <xf numFmtId="0" fontId="0" fillId="7" borderId="2" xfId="0" applyFill="1" applyBorder="1" applyProtection="1"/>
    <xf numFmtId="0" fontId="16" fillId="7" borderId="7" xfId="0" applyFont="1" applyFill="1" applyBorder="1" applyAlignment="1" applyProtection="1">
      <alignment vertical="center"/>
    </xf>
    <xf numFmtId="0" fontId="16" fillId="7" borderId="8" xfId="0" applyFont="1" applyFill="1" applyBorder="1" applyProtection="1"/>
    <xf numFmtId="0" fontId="15" fillId="7" borderId="8" xfId="0" applyFont="1" applyFill="1" applyBorder="1" applyProtection="1"/>
    <xf numFmtId="0" fontId="57" fillId="7" borderId="8" xfId="0" applyFont="1" applyFill="1" applyBorder="1" applyProtection="1"/>
    <xf numFmtId="0" fontId="16" fillId="7" borderId="9" xfId="0" applyFont="1" applyFill="1" applyBorder="1" applyProtection="1"/>
    <xf numFmtId="0" fontId="24" fillId="7" borderId="3" xfId="0" applyFont="1" applyFill="1" applyBorder="1" applyProtection="1"/>
    <xf numFmtId="0" fontId="27" fillId="7" borderId="28" xfId="0" applyFont="1" applyFill="1" applyBorder="1" applyProtection="1"/>
    <xf numFmtId="0" fontId="62" fillId="7" borderId="17" xfId="0" applyFont="1" applyFill="1" applyBorder="1" applyAlignment="1" applyProtection="1">
      <alignment horizontal="left" indent="1"/>
    </xf>
    <xf numFmtId="0" fontId="28" fillId="7" borderId="13" xfId="0" applyFont="1" applyFill="1" applyBorder="1" applyProtection="1"/>
    <xf numFmtId="0" fontId="15" fillId="7" borderId="13" xfId="0" applyFont="1" applyFill="1" applyBorder="1" applyAlignment="1" applyProtection="1">
      <alignment horizontal="left" indent="1"/>
    </xf>
    <xf numFmtId="0" fontId="15" fillId="7" borderId="0" xfId="4" applyFont="1" applyFill="1" applyProtection="1"/>
    <xf numFmtId="0" fontId="15" fillId="0" borderId="0" xfId="4" applyFont="1" applyProtection="1"/>
    <xf numFmtId="0" fontId="13" fillId="7" borderId="0" xfId="4" applyFont="1" applyFill="1" applyProtection="1"/>
    <xf numFmtId="0" fontId="21" fillId="7" borderId="30" xfId="0" applyFont="1" applyFill="1" applyBorder="1" applyAlignment="1" applyProtection="1">
      <alignment horizontal="centerContinuous" vertical="center"/>
    </xf>
    <xf numFmtId="0" fontId="21" fillId="7" borderId="14" xfId="0" applyFont="1" applyFill="1" applyBorder="1" applyAlignment="1" applyProtection="1">
      <alignment horizontal="centerContinuous" vertical="center"/>
    </xf>
    <xf numFmtId="0" fontId="21" fillId="7" borderId="15" xfId="0" applyFont="1" applyFill="1" applyBorder="1" applyAlignment="1" applyProtection="1">
      <alignment horizontal="centerContinuous" vertical="center"/>
    </xf>
    <xf numFmtId="0" fontId="21" fillId="7" borderId="16" xfId="0" applyFont="1" applyFill="1" applyBorder="1" applyAlignment="1" applyProtection="1">
      <alignment horizontal="centerContinuous" vertical="center"/>
    </xf>
    <xf numFmtId="0" fontId="22" fillId="7" borderId="2" xfId="0" applyFont="1" applyFill="1" applyBorder="1" applyAlignment="1" applyProtection="1">
      <alignment horizontal="centerContinuous" vertical="center"/>
    </xf>
    <xf numFmtId="0" fontId="60" fillId="7" borderId="31" xfId="0" applyFont="1" applyFill="1" applyBorder="1" applyAlignment="1" applyProtection="1">
      <alignment horizontal="center" vertical="top" wrapText="1"/>
    </xf>
    <xf numFmtId="0" fontId="15" fillId="5" borderId="0" xfId="4" applyFill="1" applyProtection="1"/>
    <xf numFmtId="0" fontId="16" fillId="5" borderId="14" xfId="0" applyFont="1" applyFill="1" applyBorder="1" applyAlignment="1" applyProtection="1">
      <alignment horizontal="centerContinuous" vertical="center"/>
    </xf>
    <xf numFmtId="0" fontId="52" fillId="5" borderId="15" xfId="0" applyFont="1" applyFill="1" applyBorder="1" applyAlignment="1" applyProtection="1">
      <alignment horizontal="center" vertical="center"/>
    </xf>
    <xf numFmtId="0" fontId="16" fillId="5" borderId="16" xfId="0" applyFont="1" applyFill="1" applyBorder="1" applyAlignment="1" applyProtection="1">
      <alignment horizontal="centerContinuous" vertical="center"/>
    </xf>
    <xf numFmtId="0" fontId="25" fillId="5" borderId="27" xfId="0" applyFont="1" applyFill="1" applyBorder="1" applyAlignment="1" applyProtection="1">
      <alignment horizontal="left" vertical="center"/>
    </xf>
    <xf numFmtId="0" fontId="25" fillId="5" borderId="13" xfId="0" applyFont="1" applyFill="1" applyBorder="1" applyAlignment="1" applyProtection="1">
      <alignment horizontal="left" vertical="center"/>
    </xf>
    <xf numFmtId="0" fontId="25" fillId="5" borderId="0" xfId="0" applyFont="1" applyFill="1" applyBorder="1" applyAlignment="1" applyProtection="1">
      <alignment horizontal="left" vertical="center"/>
    </xf>
    <xf numFmtId="0" fontId="16" fillId="5" borderId="13" xfId="0" applyFont="1" applyFill="1" applyBorder="1" applyAlignment="1" applyProtection="1">
      <alignment horizontal="left" vertical="center"/>
    </xf>
    <xf numFmtId="0" fontId="16" fillId="5" borderId="0" xfId="0" applyFont="1" applyFill="1" applyProtection="1"/>
    <xf numFmtId="0" fontId="52" fillId="5" borderId="13" xfId="0" applyFont="1" applyFill="1" applyBorder="1" applyAlignment="1" applyProtection="1">
      <alignment horizontal="left" vertical="center"/>
    </xf>
    <xf numFmtId="0" fontId="52" fillId="5" borderId="0" xfId="0" applyFont="1" applyFill="1" applyBorder="1" applyAlignment="1" applyProtection="1">
      <alignment horizontal="left" vertical="center"/>
    </xf>
    <xf numFmtId="2" fontId="16" fillId="5" borderId="0" xfId="0" applyNumberFormat="1" applyFont="1" applyFill="1" applyAlignment="1" applyProtection="1">
      <alignment horizontal="left"/>
    </xf>
    <xf numFmtId="0" fontId="0" fillId="5" borderId="17" xfId="0" applyFill="1" applyBorder="1" applyProtection="1"/>
    <xf numFmtId="0" fontId="26" fillId="5" borderId="0" xfId="0" applyFont="1" applyFill="1" applyProtection="1"/>
    <xf numFmtId="0" fontId="21" fillId="5" borderId="30" xfId="0" applyFont="1" applyFill="1" applyBorder="1" applyAlignment="1" applyProtection="1">
      <alignment horizontal="centerContinuous" vertical="center"/>
    </xf>
    <xf numFmtId="0" fontId="21" fillId="5" borderId="14" xfId="0" applyFont="1" applyFill="1" applyBorder="1" applyAlignment="1" applyProtection="1">
      <alignment horizontal="centerContinuous" vertical="center"/>
    </xf>
    <xf numFmtId="0" fontId="21" fillId="5" borderId="15" xfId="0" applyFont="1" applyFill="1" applyBorder="1" applyAlignment="1" applyProtection="1">
      <alignment horizontal="centerContinuous" vertical="center"/>
    </xf>
    <xf numFmtId="0" fontId="60" fillId="5" borderId="22" xfId="0" applyFont="1" applyFill="1" applyBorder="1" applyAlignment="1" applyProtection="1">
      <alignment horizontal="center" vertical="center"/>
    </xf>
    <xf numFmtId="0" fontId="21" fillId="5" borderId="16" xfId="0" applyFont="1" applyFill="1" applyBorder="1" applyAlignment="1" applyProtection="1">
      <alignment horizontal="centerContinuous" vertical="center"/>
    </xf>
    <xf numFmtId="0" fontId="22" fillId="5" borderId="2" xfId="0" applyFont="1" applyFill="1" applyBorder="1" applyAlignment="1" applyProtection="1">
      <alignment horizontal="centerContinuous" vertical="center"/>
    </xf>
    <xf numFmtId="0" fontId="60" fillId="5" borderId="24" xfId="0" applyFont="1" applyFill="1" applyBorder="1" applyAlignment="1" applyProtection="1">
      <alignment horizontal="center" vertical="top" wrapText="1"/>
    </xf>
    <xf numFmtId="0" fontId="16" fillId="5" borderId="7" xfId="0" applyFont="1" applyFill="1" applyBorder="1" applyProtection="1"/>
    <xf numFmtId="0" fontId="65" fillId="5" borderId="26" xfId="0" applyFont="1" applyFill="1" applyBorder="1" applyAlignment="1" applyProtection="1">
      <alignment horizontal="center" vertical="center" wrapText="1"/>
    </xf>
    <xf numFmtId="0" fontId="60" fillId="5" borderId="31" xfId="0" applyFont="1" applyFill="1" applyBorder="1" applyAlignment="1" applyProtection="1">
      <alignment horizontal="center" vertical="top" wrapText="1"/>
    </xf>
    <xf numFmtId="0" fontId="21" fillId="5" borderId="19" xfId="0" applyFont="1" applyFill="1" applyBorder="1" applyAlignment="1" applyProtection="1">
      <alignment vertical="center" wrapText="1"/>
    </xf>
    <xf numFmtId="0" fontId="27" fillId="5" borderId="28" xfId="0" applyFont="1" applyFill="1" applyBorder="1" applyProtection="1"/>
    <xf numFmtId="0" fontId="16" fillId="5" borderId="8" xfId="0" applyFont="1" applyFill="1" applyBorder="1" applyAlignment="1" applyProtection="1">
      <alignment horizontal="left" indent="1"/>
    </xf>
    <xf numFmtId="0" fontId="15" fillId="5" borderId="8" xfId="0" applyFont="1" applyFill="1" applyBorder="1" applyAlignment="1" applyProtection="1">
      <alignment horizontal="left" indent="2"/>
    </xf>
    <xf numFmtId="0" fontId="58" fillId="5" borderId="8" xfId="0" quotePrefix="1" applyFont="1" applyFill="1" applyBorder="1" applyAlignment="1" applyProtection="1">
      <alignment horizontal="left" indent="2"/>
    </xf>
    <xf numFmtId="0" fontId="57" fillId="5" borderId="17" xfId="0" applyFont="1" applyFill="1" applyBorder="1" applyAlignment="1" applyProtection="1">
      <alignment horizontal="left" indent="1"/>
    </xf>
    <xf numFmtId="0" fontId="15" fillId="5" borderId="13" xfId="0" applyFont="1" applyFill="1" applyBorder="1" applyAlignment="1" applyProtection="1">
      <alignment horizontal="left" indent="1"/>
    </xf>
    <xf numFmtId="0" fontId="28" fillId="5" borderId="8" xfId="0" applyFont="1" applyFill="1" applyBorder="1" applyProtection="1"/>
    <xf numFmtId="0" fontId="58" fillId="5" borderId="17" xfId="0" applyFont="1" applyFill="1" applyBorder="1" applyAlignment="1" applyProtection="1">
      <alignment horizontal="left" indent="1"/>
    </xf>
    <xf numFmtId="0" fontId="15" fillId="5" borderId="0" xfId="4" applyFont="1" applyFill="1" applyProtection="1"/>
    <xf numFmtId="3" fontId="15" fillId="5" borderId="0" xfId="4" applyNumberFormat="1" applyFont="1" applyFill="1" applyBorder="1" applyAlignment="1" applyProtection="1">
      <alignment horizontal="right" vertical="center"/>
    </xf>
    <xf numFmtId="3" fontId="15" fillId="5" borderId="0" xfId="0" applyNumberFormat="1" applyFont="1" applyFill="1" applyBorder="1" applyAlignment="1" applyProtection="1">
      <alignment horizontal="right" vertical="center"/>
    </xf>
    <xf numFmtId="0" fontId="59" fillId="5" borderId="0" xfId="4" applyFont="1" applyFill="1" applyBorder="1" applyAlignment="1" applyProtection="1">
      <alignment horizontal="left" vertical="top" indent="3"/>
    </xf>
    <xf numFmtId="0" fontId="13" fillId="5" borderId="0" xfId="4" applyFont="1" applyFill="1" applyAlignment="1" applyProtection="1"/>
    <xf numFmtId="0" fontId="13" fillId="5" borderId="0" xfId="4" applyNumberFormat="1" applyFont="1" applyFill="1" applyProtection="1"/>
    <xf numFmtId="0" fontId="17" fillId="5" borderId="0" xfId="4" applyFont="1" applyFill="1" applyAlignment="1" applyProtection="1"/>
    <xf numFmtId="0" fontId="13" fillId="5" borderId="0" xfId="4" applyFont="1" applyFill="1" applyProtection="1"/>
    <xf numFmtId="0" fontId="52" fillId="5" borderId="23" xfId="0" applyFont="1" applyFill="1" applyBorder="1" applyAlignment="1" applyProtection="1">
      <alignment horizontal="center" vertical="top" wrapText="1"/>
    </xf>
    <xf numFmtId="0" fontId="16" fillId="5" borderId="25" xfId="0" applyFont="1" applyFill="1" applyBorder="1" applyAlignment="1" applyProtection="1">
      <alignment vertical="center" wrapText="1"/>
    </xf>
    <xf numFmtId="0" fontId="25" fillId="5" borderId="33" xfId="0" applyFont="1" applyFill="1" applyBorder="1" applyAlignment="1" applyProtection="1">
      <alignment horizontal="left" vertical="center"/>
    </xf>
    <xf numFmtId="0" fontId="25" fillId="5" borderId="25" xfId="0" applyFont="1" applyFill="1" applyBorder="1" applyAlignment="1" applyProtection="1">
      <alignment horizontal="left" vertical="center"/>
    </xf>
    <xf numFmtId="0" fontId="16" fillId="5" borderId="25" xfId="0" applyFont="1" applyFill="1" applyBorder="1" applyAlignment="1" applyProtection="1">
      <alignment horizontal="left" vertical="center"/>
    </xf>
    <xf numFmtId="0" fontId="53" fillId="0" borderId="0" xfId="0" applyFont="1" applyProtection="1"/>
    <xf numFmtId="0" fontId="52" fillId="5" borderId="25" xfId="0" applyFont="1" applyFill="1" applyBorder="1" applyAlignment="1" applyProtection="1">
      <alignment horizontal="left" vertical="center"/>
    </xf>
    <xf numFmtId="0" fontId="52" fillId="5" borderId="19" xfId="0" applyFont="1" applyFill="1" applyBorder="1" applyAlignment="1" applyProtection="1">
      <alignment horizontal="left" vertical="center"/>
    </xf>
    <xf numFmtId="0" fontId="15" fillId="5" borderId="7" xfId="4" applyFont="1" applyFill="1" applyBorder="1" applyProtection="1"/>
    <xf numFmtId="0" fontId="16" fillId="5" borderId="28" xfId="4" applyFont="1" applyFill="1" applyBorder="1" applyProtection="1"/>
    <xf numFmtId="0" fontId="16" fillId="5" borderId="8" xfId="4" applyFont="1" applyFill="1" applyBorder="1" applyAlignment="1" applyProtection="1">
      <alignment horizontal="left" indent="1"/>
    </xf>
    <xf numFmtId="0" fontId="15" fillId="5" borderId="8" xfId="4" quotePrefix="1" applyFont="1" applyFill="1" applyBorder="1" applyAlignment="1" applyProtection="1">
      <alignment horizontal="left" wrapText="1" indent="2"/>
    </xf>
    <xf numFmtId="0" fontId="15" fillId="5" borderId="8" xfId="4" quotePrefix="1" applyFont="1" applyFill="1" applyBorder="1" applyAlignment="1" applyProtection="1">
      <alignment horizontal="left" indent="2"/>
    </xf>
    <xf numFmtId="0" fontId="53" fillId="5" borderId="8" xfId="4" quotePrefix="1" applyFont="1" applyFill="1" applyBorder="1" applyAlignment="1" applyProtection="1">
      <alignment horizontal="left" indent="2"/>
    </xf>
    <xf numFmtId="0" fontId="52" fillId="5" borderId="7" xfId="4" applyFont="1" applyFill="1" applyBorder="1" applyAlignment="1" applyProtection="1">
      <alignment horizontal="left" indent="1"/>
    </xf>
    <xf numFmtId="0" fontId="17" fillId="5" borderId="8" xfId="4" applyFont="1" applyFill="1" applyBorder="1" applyProtection="1"/>
    <xf numFmtId="0" fontId="15" fillId="5" borderId="13" xfId="4" applyFont="1" applyFill="1" applyBorder="1" applyAlignment="1" applyProtection="1">
      <alignment horizontal="left" indent="1"/>
    </xf>
    <xf numFmtId="0" fontId="58" fillId="5" borderId="17" xfId="4" applyFont="1" applyFill="1" applyBorder="1" applyAlignment="1" applyProtection="1">
      <alignment horizontal="left" indent="1"/>
    </xf>
    <xf numFmtId="0" fontId="4" fillId="5" borderId="3" xfId="0" applyFont="1" applyFill="1" applyBorder="1" applyAlignment="1" applyProtection="1">
      <alignment wrapText="1"/>
    </xf>
    <xf numFmtId="0" fontId="4" fillId="5" borderId="8" xfId="0" applyFont="1" applyFill="1" applyBorder="1" applyAlignment="1" applyProtection="1">
      <alignment wrapText="1"/>
    </xf>
    <xf numFmtId="0" fontId="4" fillId="5" borderId="7" xfId="0" applyFont="1" applyFill="1" applyBorder="1" applyAlignment="1" applyProtection="1">
      <alignment wrapText="1"/>
    </xf>
    <xf numFmtId="0" fontId="21" fillId="5" borderId="13" xfId="0" applyFont="1" applyFill="1" applyBorder="1" applyAlignment="1" applyProtection="1">
      <alignment vertical="center" wrapText="1"/>
    </xf>
    <xf numFmtId="0" fontId="13" fillId="5" borderId="17" xfId="0" applyFont="1" applyFill="1" applyBorder="1" applyAlignment="1" applyProtection="1">
      <alignment horizontal="left" vertical="center" wrapText="1" indent="1"/>
    </xf>
    <xf numFmtId="0" fontId="0" fillId="0" borderId="0" xfId="0" applyFill="1" applyAlignment="1" applyProtection="1">
      <alignment wrapText="1"/>
    </xf>
    <xf numFmtId="0" fontId="16" fillId="5" borderId="0" xfId="0" applyFont="1" applyFill="1" applyBorder="1" applyAlignment="1" applyProtection="1">
      <alignment horizontal="center" vertical="center" textRotation="90" wrapText="1"/>
    </xf>
    <xf numFmtId="0" fontId="0" fillId="5" borderId="0" xfId="0" applyFill="1" applyBorder="1" applyAlignment="1" applyProtection="1">
      <alignment horizontal="center" vertical="center" wrapText="1"/>
    </xf>
    <xf numFmtId="0" fontId="18" fillId="5" borderId="0" xfId="0" applyFont="1" applyFill="1" applyBorder="1" applyAlignment="1" applyProtection="1">
      <alignment horizontal="center" vertical="center" wrapText="1"/>
    </xf>
    <xf numFmtId="0" fontId="16" fillId="5" borderId="12" xfId="0" applyFont="1" applyFill="1" applyBorder="1" applyAlignment="1" applyProtection="1">
      <alignment horizontal="centerContinuous" vertical="center"/>
    </xf>
    <xf numFmtId="0" fontId="19" fillId="5" borderId="14" xfId="0" applyFont="1" applyFill="1" applyBorder="1" applyAlignment="1" applyProtection="1">
      <alignment horizontal="centerContinuous" vertical="center"/>
    </xf>
    <xf numFmtId="0" fontId="19" fillId="5" borderId="16" xfId="0" applyFont="1" applyFill="1" applyBorder="1" applyAlignment="1" applyProtection="1">
      <alignment horizontal="centerContinuous" vertical="center"/>
    </xf>
    <xf numFmtId="0" fontId="20" fillId="5" borderId="17" xfId="0" applyFont="1" applyFill="1" applyBorder="1" applyAlignment="1" applyProtection="1">
      <alignment horizontal="centerContinuous" vertical="center"/>
    </xf>
    <xf numFmtId="0" fontId="16" fillId="5" borderId="17" xfId="0" applyFont="1" applyFill="1" applyBorder="1" applyAlignment="1" applyProtection="1">
      <alignment horizontal="centerContinuous" vertical="center"/>
    </xf>
    <xf numFmtId="0" fontId="16" fillId="5" borderId="2" xfId="0" applyFont="1" applyFill="1" applyBorder="1" applyAlignment="1" applyProtection="1">
      <alignment horizontal="centerContinuous" vertical="center"/>
    </xf>
    <xf numFmtId="0" fontId="16" fillId="5" borderId="19" xfId="0" applyFont="1" applyFill="1" applyBorder="1" applyAlignment="1" applyProtection="1">
      <alignment horizontal="centerContinuous" vertical="center"/>
    </xf>
    <xf numFmtId="0" fontId="19" fillId="5" borderId="2" xfId="0" applyFont="1" applyFill="1" applyBorder="1" applyAlignment="1" applyProtection="1">
      <alignment horizontal="centerContinuous" vertical="center"/>
    </xf>
    <xf numFmtId="0" fontId="19" fillId="5" borderId="19" xfId="0" applyFont="1" applyFill="1" applyBorder="1" applyAlignment="1" applyProtection="1">
      <alignment horizontal="centerContinuous" vertical="center"/>
    </xf>
    <xf numFmtId="0" fontId="15" fillId="5" borderId="0" xfId="0" applyFont="1" applyFill="1" applyBorder="1" applyAlignment="1" applyProtection="1">
      <alignment horizontal="centerContinuous" vertical="center"/>
    </xf>
    <xf numFmtId="0" fontId="16" fillId="5" borderId="0" xfId="0" applyFont="1" applyFill="1" applyBorder="1" applyAlignment="1" applyProtection="1">
      <alignment horizontal="centerContinuous" vertical="center"/>
    </xf>
    <xf numFmtId="0" fontId="0" fillId="5" borderId="16" xfId="0" applyFill="1" applyBorder="1" applyAlignment="1" applyProtection="1">
      <alignment horizontal="centerContinuous" vertical="center"/>
    </xf>
    <xf numFmtId="0" fontId="0" fillId="5" borderId="25" xfId="0" applyFill="1" applyBorder="1" applyAlignment="1" applyProtection="1">
      <alignment horizontal="centerContinuous" vertical="center"/>
    </xf>
    <xf numFmtId="0" fontId="0" fillId="5" borderId="8" xfId="0" applyFill="1" applyBorder="1" applyAlignment="1" applyProtection="1"/>
    <xf numFmtId="0" fontId="15" fillId="5" borderId="5" xfId="0" applyFont="1" applyFill="1" applyBorder="1" applyAlignment="1" applyProtection="1">
      <alignment horizontal="centerContinuous" vertical="center" wrapText="1"/>
    </xf>
    <xf numFmtId="0" fontId="53" fillId="5" borderId="26" xfId="0" applyFont="1" applyFill="1" applyBorder="1" applyAlignment="1" applyProtection="1">
      <alignment horizontal="center" vertical="center" wrapText="1"/>
    </xf>
    <xf numFmtId="0" fontId="15" fillId="5" borderId="6" xfId="0" applyFont="1" applyFill="1" applyBorder="1" applyAlignment="1" applyProtection="1">
      <alignment horizontal="centerContinuous" vertical="center" wrapText="1"/>
    </xf>
    <xf numFmtId="0" fontId="16" fillId="5" borderId="3" xfId="0" applyFont="1" applyFill="1" applyBorder="1" applyAlignment="1" applyProtection="1">
      <alignment vertical="center" wrapText="1"/>
    </xf>
    <xf numFmtId="0" fontId="52" fillId="5" borderId="25" xfId="0" applyFont="1" applyFill="1" applyBorder="1" applyAlignment="1" applyProtection="1">
      <alignment vertical="center" wrapText="1"/>
    </xf>
    <xf numFmtId="0" fontId="16" fillId="5" borderId="34" xfId="0" applyFont="1" applyFill="1" applyBorder="1" applyAlignment="1" applyProtection="1">
      <alignment vertical="center" wrapText="1"/>
    </xf>
    <xf numFmtId="0" fontId="16" fillId="5" borderId="0" xfId="0" applyFont="1" applyFill="1" applyBorder="1" applyAlignment="1" applyProtection="1">
      <alignment vertical="center" wrapText="1"/>
    </xf>
    <xf numFmtId="0" fontId="16" fillId="5" borderId="0" xfId="0" applyFont="1" applyFill="1" applyBorder="1" applyAlignment="1" applyProtection="1">
      <alignment horizontal="center" vertical="center" textRotation="90"/>
    </xf>
    <xf numFmtId="0" fontId="0" fillId="5" borderId="0" xfId="0" applyFill="1" applyBorder="1" applyAlignment="1" applyProtection="1">
      <alignment horizontal="center" vertical="center"/>
    </xf>
    <xf numFmtId="0" fontId="15" fillId="5" borderId="0" xfId="0" applyFont="1" applyFill="1" applyBorder="1" applyAlignment="1" applyProtection="1">
      <alignment horizontal="center" vertical="center"/>
    </xf>
    <xf numFmtId="0" fontId="13" fillId="5" borderId="0" xfId="0" applyFont="1" applyFill="1" applyBorder="1" applyAlignment="1" applyProtection="1">
      <alignment horizontal="centerContinuous" vertical="center"/>
    </xf>
    <xf numFmtId="0" fontId="0" fillId="5" borderId="0" xfId="0" applyFill="1" applyBorder="1" applyAlignment="1" applyProtection="1">
      <alignment horizontal="centerContinuous" vertical="center"/>
    </xf>
    <xf numFmtId="0" fontId="0" fillId="6" borderId="0" xfId="0" applyFill="1" applyProtection="1">
      <protection locked="0"/>
    </xf>
    <xf numFmtId="0" fontId="0" fillId="6" borderId="62" xfId="0" applyFill="1" applyBorder="1" applyAlignment="1" applyProtection="1">
      <alignment horizontal="left" vertical="center"/>
      <protection locked="0"/>
    </xf>
    <xf numFmtId="0" fontId="0" fillId="6" borderId="62" xfId="0" applyFill="1" applyBorder="1" applyAlignment="1" applyProtection="1">
      <alignment vertical="center"/>
      <protection locked="0"/>
    </xf>
    <xf numFmtId="0" fontId="0" fillId="6" borderId="56" xfId="0" applyFill="1" applyBorder="1" applyAlignment="1" applyProtection="1">
      <alignment vertical="center"/>
      <protection locked="0"/>
    </xf>
    <xf numFmtId="0" fontId="0" fillId="6" borderId="63" xfId="0" applyFill="1" applyBorder="1" applyProtection="1">
      <protection locked="0"/>
    </xf>
    <xf numFmtId="0" fontId="0" fillId="6" borderId="56" xfId="0" applyFill="1" applyBorder="1" applyAlignment="1" applyProtection="1">
      <alignment horizontal="left" vertical="center"/>
      <protection locked="0"/>
    </xf>
    <xf numFmtId="0" fontId="0" fillId="6" borderId="64" xfId="0" applyFill="1" applyBorder="1" applyProtection="1">
      <protection locked="0"/>
    </xf>
    <xf numFmtId="0" fontId="4" fillId="6" borderId="62" xfId="0" applyFont="1" applyFill="1" applyBorder="1" applyProtection="1">
      <protection locked="0"/>
    </xf>
    <xf numFmtId="0" fontId="4" fillId="6" borderId="0" xfId="0" applyFont="1" applyFill="1" applyProtection="1">
      <protection locked="0"/>
    </xf>
    <xf numFmtId="1" fontId="0" fillId="0" borderId="0" xfId="0" applyNumberFormat="1" applyFill="1" applyAlignment="1" applyProtection="1">
      <alignment horizontal="right"/>
      <protection locked="0"/>
    </xf>
    <xf numFmtId="3" fontId="15" fillId="0" borderId="50" xfId="0" applyNumberFormat="1" applyFont="1" applyFill="1" applyBorder="1" applyAlignment="1" applyProtection="1">
      <alignment horizontal="right" vertical="center"/>
      <protection locked="0"/>
    </xf>
    <xf numFmtId="3" fontId="0" fillId="0" borderId="65" xfId="0" applyNumberFormat="1" applyFill="1" applyBorder="1" applyAlignment="1" applyProtection="1">
      <alignment horizontal="right" vertical="center"/>
      <protection locked="0"/>
    </xf>
    <xf numFmtId="3" fontId="53" fillId="0" borderId="66" xfId="0" applyNumberFormat="1" applyFont="1" applyFill="1" applyBorder="1" applyAlignment="1" applyProtection="1">
      <alignment horizontal="right" vertical="center"/>
      <protection locked="0"/>
    </xf>
    <xf numFmtId="3" fontId="16" fillId="0" borderId="54" xfId="0" applyNumberFormat="1" applyFont="1" applyFill="1" applyBorder="1" applyAlignment="1" applyProtection="1">
      <alignment horizontal="right" vertical="center"/>
      <protection locked="0"/>
    </xf>
    <xf numFmtId="3" fontId="0" fillId="0" borderId="67" xfId="0" applyNumberFormat="1" applyFill="1" applyBorder="1" applyAlignment="1" applyProtection="1">
      <alignment horizontal="right" vertical="center"/>
      <protection locked="0"/>
    </xf>
    <xf numFmtId="3" fontId="53" fillId="0" borderId="68" xfId="0" applyNumberFormat="1" applyFont="1" applyFill="1" applyBorder="1" applyAlignment="1" applyProtection="1">
      <alignment horizontal="right" vertical="center"/>
      <protection locked="0"/>
    </xf>
    <xf numFmtId="3" fontId="52" fillId="0" borderId="58" xfId="0" applyNumberFormat="1" applyFont="1" applyFill="1" applyBorder="1" applyAlignment="1" applyProtection="1">
      <alignment horizontal="right" vertical="center"/>
      <protection locked="0"/>
    </xf>
    <xf numFmtId="3" fontId="53" fillId="0" borderId="70" xfId="0" applyNumberFormat="1" applyFont="1" applyFill="1" applyBorder="1" applyAlignment="1" applyProtection="1">
      <alignment horizontal="right" vertical="center"/>
      <protection locked="0"/>
    </xf>
    <xf numFmtId="3" fontId="53" fillId="0" borderId="71" xfId="0" applyNumberFormat="1" applyFont="1" applyFill="1" applyBorder="1" applyAlignment="1" applyProtection="1">
      <alignment horizontal="right" vertical="center"/>
      <protection locked="0"/>
    </xf>
    <xf numFmtId="3" fontId="16" fillId="0" borderId="74" xfId="0" applyNumberFormat="1" applyFont="1" applyFill="1" applyBorder="1" applyAlignment="1" applyProtection="1">
      <alignment horizontal="right" vertical="center"/>
      <protection locked="0"/>
    </xf>
    <xf numFmtId="3" fontId="16" fillId="0" borderId="61" xfId="0" applyNumberFormat="1" applyFont="1" applyFill="1" applyBorder="1" applyAlignment="1" applyProtection="1">
      <alignment horizontal="right" vertical="center"/>
      <protection locked="0"/>
    </xf>
    <xf numFmtId="3" fontId="52" fillId="0" borderId="75" xfId="0" applyNumberFormat="1" applyFont="1" applyFill="1" applyBorder="1" applyAlignment="1" applyProtection="1">
      <alignment horizontal="right" vertical="center"/>
      <protection locked="0"/>
    </xf>
    <xf numFmtId="3" fontId="16" fillId="0" borderId="76" xfId="0" applyNumberFormat="1" applyFont="1" applyFill="1" applyBorder="1" applyAlignment="1" applyProtection="1">
      <alignment horizontal="right" vertical="center"/>
      <protection locked="0"/>
    </xf>
    <xf numFmtId="3" fontId="16" fillId="0" borderId="77" xfId="0" applyNumberFormat="1" applyFont="1" applyFill="1" applyBorder="1" applyAlignment="1" applyProtection="1">
      <alignment horizontal="right" vertical="center"/>
      <protection locked="0"/>
    </xf>
    <xf numFmtId="3" fontId="4" fillId="0" borderId="78" xfId="0" applyNumberFormat="1" applyFont="1" applyFill="1" applyBorder="1" applyAlignment="1" applyProtection="1">
      <alignment vertical="center"/>
      <protection locked="0"/>
    </xf>
    <xf numFmtId="3" fontId="4" fillId="0" borderId="50" xfId="0" applyNumberFormat="1" applyFont="1" applyFill="1" applyBorder="1" applyAlignment="1" applyProtection="1">
      <alignment vertical="center"/>
      <protection locked="0"/>
    </xf>
    <xf numFmtId="3" fontId="4" fillId="0" borderId="65" xfId="0" applyNumberFormat="1" applyFont="1" applyFill="1" applyBorder="1" applyAlignment="1" applyProtection="1">
      <alignment vertical="center"/>
      <protection locked="0"/>
    </xf>
    <xf numFmtId="3" fontId="65" fillId="0" borderId="66" xfId="0" applyNumberFormat="1" applyFont="1" applyFill="1" applyBorder="1" applyAlignment="1" applyProtection="1">
      <alignment vertical="center"/>
      <protection locked="0"/>
    </xf>
    <xf numFmtId="3" fontId="4" fillId="0" borderId="79" xfId="0" applyNumberFormat="1" applyFont="1" applyFill="1" applyBorder="1" applyAlignment="1" applyProtection="1">
      <alignment vertical="center"/>
      <protection locked="0"/>
    </xf>
    <xf numFmtId="0" fontId="0" fillId="6" borderId="62" xfId="0" applyFill="1" applyBorder="1" applyAlignment="1" applyProtection="1">
      <protection locked="0"/>
    </xf>
    <xf numFmtId="0" fontId="0" fillId="6" borderId="56" xfId="0" applyFill="1" applyBorder="1" applyAlignment="1" applyProtection="1">
      <protection locked="0"/>
    </xf>
    <xf numFmtId="0" fontId="12" fillId="0" borderId="0" xfId="2" applyFont="1" applyAlignment="1" applyProtection="1">
      <alignment horizontal="left" vertical="center" wrapText="1"/>
      <protection locked="0"/>
    </xf>
    <xf numFmtId="0" fontId="12" fillId="0" borderId="0" xfId="2" quotePrefix="1" applyFont="1" applyAlignment="1" applyProtection="1">
      <alignment horizontal="left" vertical="center" wrapText="1"/>
      <protection locked="0"/>
    </xf>
    <xf numFmtId="3" fontId="13" fillId="0" borderId="17" xfId="0" applyNumberFormat="1" applyFont="1" applyFill="1" applyBorder="1" applyAlignment="1" applyProtection="1">
      <alignment vertical="center"/>
      <protection locked="0"/>
    </xf>
    <xf numFmtId="3" fontId="13" fillId="0" borderId="76" xfId="0" applyNumberFormat="1" applyFont="1" applyFill="1" applyBorder="1" applyAlignment="1" applyProtection="1">
      <alignment vertical="center"/>
      <protection locked="0"/>
    </xf>
    <xf numFmtId="3" fontId="13" fillId="0" borderId="77" xfId="0" applyNumberFormat="1" applyFont="1" applyFill="1" applyBorder="1" applyAlignment="1" applyProtection="1">
      <alignment vertical="center"/>
      <protection locked="0"/>
    </xf>
    <xf numFmtId="3" fontId="66" fillId="0" borderId="75" xfId="0" applyNumberFormat="1" applyFont="1" applyFill="1" applyBorder="1" applyAlignment="1" applyProtection="1">
      <alignment vertical="center"/>
      <protection locked="0"/>
    </xf>
    <xf numFmtId="3" fontId="13" fillId="0" borderId="31" xfId="0" applyNumberFormat="1" applyFont="1" applyFill="1" applyBorder="1" applyAlignment="1" applyProtection="1">
      <alignment vertical="center"/>
      <protection locked="0"/>
    </xf>
    <xf numFmtId="0" fontId="0" fillId="0" borderId="0" xfId="0" applyAlignment="1" applyProtection="1">
      <alignment vertical="center" wrapText="1"/>
    </xf>
    <xf numFmtId="3" fontId="16" fillId="0" borderId="80" xfId="4" applyNumberFormat="1" applyFont="1" applyFill="1" applyBorder="1" applyAlignment="1" applyProtection="1">
      <alignment horizontal="right" vertical="center"/>
      <protection locked="0"/>
    </xf>
    <xf numFmtId="3" fontId="16" fillId="0" borderId="81" xfId="4" applyNumberFormat="1" applyFont="1" applyFill="1" applyBorder="1" applyAlignment="1" applyProtection="1">
      <alignment horizontal="right" vertical="center"/>
      <protection locked="0"/>
    </xf>
    <xf numFmtId="3" fontId="16" fillId="0" borderId="37" xfId="4" applyNumberFormat="1" applyFont="1" applyFill="1" applyBorder="1" applyAlignment="1" applyProtection="1">
      <alignment horizontal="right" vertical="center"/>
      <protection locked="0"/>
    </xf>
    <xf numFmtId="3" fontId="16" fillId="0" borderId="83" xfId="4" applyNumberFormat="1" applyFont="1" applyFill="1" applyBorder="1" applyAlignment="1" applyProtection="1">
      <alignment horizontal="right" vertical="center"/>
      <protection locked="0"/>
    </xf>
    <xf numFmtId="3" fontId="16" fillId="0" borderId="84" xfId="4" applyNumberFormat="1" applyFont="1" applyFill="1" applyBorder="1" applyAlignment="1" applyProtection="1">
      <alignment horizontal="right" vertical="center"/>
      <protection locked="0"/>
    </xf>
    <xf numFmtId="3" fontId="16" fillId="0" borderId="85" xfId="4" applyNumberFormat="1" applyFont="1" applyFill="1" applyBorder="1" applyAlignment="1" applyProtection="1">
      <alignment horizontal="right" vertical="center"/>
      <protection locked="0"/>
    </xf>
    <xf numFmtId="3" fontId="4" fillId="0" borderId="97" xfId="0" applyNumberFormat="1" applyFont="1" applyFill="1" applyBorder="1" applyAlignment="1" applyProtection="1">
      <alignment vertical="center"/>
      <protection locked="0"/>
    </xf>
    <xf numFmtId="3" fontId="4" fillId="0" borderId="98" xfId="0" applyNumberFormat="1" applyFont="1" applyFill="1" applyBorder="1" applyAlignment="1" applyProtection="1">
      <alignment vertical="center"/>
      <protection locked="0"/>
    </xf>
    <xf numFmtId="3" fontId="4" fillId="0" borderId="67" xfId="0" applyNumberFormat="1" applyFont="1" applyFill="1" applyBorder="1" applyAlignment="1" applyProtection="1">
      <alignment vertical="center"/>
      <protection locked="0"/>
    </xf>
    <xf numFmtId="3" fontId="65" fillId="0" borderId="68" xfId="0" applyNumberFormat="1" applyFont="1" applyFill="1" applyBorder="1" applyAlignment="1" applyProtection="1">
      <alignment vertical="center"/>
      <protection locked="0"/>
    </xf>
    <xf numFmtId="3" fontId="4" fillId="0" borderId="99" xfId="0" applyNumberFormat="1" applyFont="1" applyFill="1" applyBorder="1" applyAlignment="1" applyProtection="1">
      <alignment vertical="center"/>
      <protection locked="0"/>
    </xf>
    <xf numFmtId="3" fontId="4" fillId="0" borderId="68" xfId="0" applyNumberFormat="1" applyFont="1" applyFill="1" applyBorder="1" applyAlignment="1" applyProtection="1">
      <alignment vertical="center"/>
      <protection locked="0"/>
    </xf>
    <xf numFmtId="3" fontId="4" fillId="0" borderId="100" xfId="0" applyNumberFormat="1" applyFont="1" applyFill="1" applyBorder="1" applyAlignment="1" applyProtection="1">
      <alignment vertical="center"/>
      <protection locked="0"/>
    </xf>
    <xf numFmtId="3" fontId="4" fillId="0" borderId="101" xfId="0" applyNumberFormat="1" applyFont="1" applyFill="1" applyBorder="1" applyAlignment="1" applyProtection="1">
      <alignment vertical="center"/>
      <protection locked="0"/>
    </xf>
    <xf numFmtId="3" fontId="65" fillId="0" borderId="102" xfId="0" applyNumberFormat="1" applyFont="1" applyFill="1" applyBorder="1" applyAlignment="1" applyProtection="1">
      <alignment vertical="center"/>
      <protection locked="0"/>
    </xf>
    <xf numFmtId="3" fontId="4" fillId="0" borderId="103" xfId="0" applyNumberFormat="1" applyFont="1" applyFill="1" applyBorder="1" applyAlignment="1" applyProtection="1">
      <alignment vertical="center"/>
      <protection locked="0"/>
    </xf>
    <xf numFmtId="3" fontId="4" fillId="0" borderId="102" xfId="0" applyNumberFormat="1" applyFont="1" applyFill="1" applyBorder="1" applyAlignment="1" applyProtection="1">
      <alignment vertical="center"/>
      <protection locked="0"/>
    </xf>
    <xf numFmtId="3" fontId="4" fillId="0" borderId="38" xfId="0" applyNumberFormat="1" applyFont="1" applyFill="1" applyBorder="1" applyAlignment="1" applyProtection="1">
      <alignment vertical="center"/>
      <protection locked="0"/>
    </xf>
    <xf numFmtId="3" fontId="4" fillId="0" borderId="61" xfId="0" applyNumberFormat="1" applyFont="1" applyFill="1" applyBorder="1" applyAlignment="1" applyProtection="1">
      <alignment vertical="center"/>
      <protection locked="0"/>
    </xf>
    <xf numFmtId="3" fontId="65" fillId="0" borderId="104" xfId="0" applyNumberFormat="1" applyFont="1" applyFill="1" applyBorder="1" applyAlignment="1" applyProtection="1">
      <alignment vertical="center"/>
      <protection locked="0"/>
    </xf>
    <xf numFmtId="3" fontId="4" fillId="0" borderId="39" xfId="0" applyNumberFormat="1" applyFont="1" applyFill="1" applyBorder="1" applyAlignment="1" applyProtection="1">
      <alignment vertical="center"/>
      <protection locked="0"/>
    </xf>
    <xf numFmtId="3" fontId="4" fillId="0" borderId="80" xfId="0" applyNumberFormat="1" applyFont="1" applyFill="1" applyBorder="1" applyAlignment="1" applyProtection="1">
      <alignment vertical="center"/>
      <protection locked="0"/>
    </xf>
    <xf numFmtId="3" fontId="4" fillId="0" borderId="105" xfId="0" applyNumberFormat="1" applyFont="1" applyFill="1" applyBorder="1" applyAlignment="1" applyProtection="1">
      <alignment vertical="center"/>
      <protection locked="0"/>
    </xf>
    <xf numFmtId="3" fontId="4" fillId="0" borderId="106" xfId="0" applyNumberFormat="1" applyFont="1" applyFill="1" applyBorder="1" applyAlignment="1" applyProtection="1">
      <alignment vertical="center"/>
      <protection locked="0"/>
    </xf>
    <xf numFmtId="3" fontId="4" fillId="0" borderId="83" xfId="0" applyNumberFormat="1" applyFont="1" applyFill="1" applyBorder="1" applyAlignment="1" applyProtection="1">
      <alignment vertical="center"/>
      <protection locked="0"/>
    </xf>
    <xf numFmtId="3" fontId="4" fillId="0" borderId="107" xfId="0" applyNumberFormat="1" applyFont="1" applyFill="1" applyBorder="1" applyAlignment="1" applyProtection="1">
      <alignment vertical="center"/>
      <protection locked="0"/>
    </xf>
    <xf numFmtId="3" fontId="4" fillId="0" borderId="108" xfId="0" applyNumberFormat="1" applyFont="1" applyFill="1" applyBorder="1" applyAlignment="1" applyProtection="1">
      <alignment vertical="center"/>
      <protection locked="0"/>
    </xf>
    <xf numFmtId="3" fontId="4" fillId="0" borderId="54" xfId="0" applyNumberFormat="1" applyFont="1" applyFill="1" applyBorder="1" applyAlignment="1" applyProtection="1">
      <alignment vertical="center"/>
      <protection locked="0"/>
    </xf>
    <xf numFmtId="3" fontId="65" fillId="0" borderId="109" xfId="0" applyNumberFormat="1" applyFont="1" applyFill="1" applyBorder="1" applyAlignment="1" applyProtection="1">
      <alignment vertical="center"/>
      <protection locked="0"/>
    </xf>
    <xf numFmtId="3" fontId="65" fillId="0" borderId="110" xfId="0" applyNumberFormat="1" applyFont="1" applyFill="1" applyBorder="1" applyAlignment="1" applyProtection="1">
      <alignment vertical="center"/>
      <protection locked="0"/>
    </xf>
    <xf numFmtId="3" fontId="65" fillId="0" borderId="111" xfId="0" applyNumberFormat="1" applyFont="1" applyFill="1" applyBorder="1" applyAlignment="1" applyProtection="1">
      <alignment vertical="center"/>
      <protection locked="0"/>
    </xf>
    <xf numFmtId="3" fontId="4" fillId="0" borderId="92" xfId="0" applyNumberFormat="1" applyFont="1" applyFill="1" applyBorder="1" applyAlignment="1" applyProtection="1">
      <alignment vertical="center"/>
      <protection locked="0"/>
    </xf>
    <xf numFmtId="3" fontId="4" fillId="0" borderId="76" xfId="0" applyNumberFormat="1" applyFont="1" applyFill="1" applyBorder="1" applyAlignment="1" applyProtection="1">
      <alignment vertical="center"/>
      <protection locked="0"/>
    </xf>
    <xf numFmtId="3" fontId="4" fillId="0" borderId="77" xfId="0" applyNumberFormat="1" applyFont="1" applyFill="1" applyBorder="1" applyAlignment="1" applyProtection="1">
      <alignment vertical="center"/>
      <protection locked="0"/>
    </xf>
    <xf numFmtId="3" fontId="4" fillId="0" borderId="75" xfId="0" applyNumberFormat="1" applyFont="1" applyFill="1" applyBorder="1" applyAlignment="1" applyProtection="1">
      <alignment vertical="center"/>
      <protection locked="0"/>
    </xf>
    <xf numFmtId="3" fontId="0" fillId="0" borderId="80" xfId="0" applyNumberFormat="1" applyFill="1" applyBorder="1" applyAlignment="1" applyProtection="1">
      <alignment horizontal="right" vertical="center"/>
      <protection locked="0"/>
    </xf>
    <xf numFmtId="3" fontId="0" fillId="0" borderId="81" xfId="0" applyNumberFormat="1" applyFill="1" applyBorder="1" applyAlignment="1" applyProtection="1">
      <alignment horizontal="right" vertical="center"/>
      <protection locked="0"/>
    </xf>
    <xf numFmtId="3" fontId="53" fillId="0" borderId="40" xfId="0" applyNumberFormat="1" applyFont="1" applyFill="1" applyBorder="1" applyAlignment="1" applyProtection="1">
      <alignment horizontal="right" vertical="center"/>
      <protection locked="0"/>
    </xf>
    <xf numFmtId="3" fontId="0" fillId="0" borderId="83" xfId="0" applyNumberFormat="1" applyFill="1" applyBorder="1" applyAlignment="1" applyProtection="1">
      <alignment horizontal="right" vertical="center"/>
      <protection locked="0"/>
    </xf>
    <xf numFmtId="3" fontId="0" fillId="0" borderId="84" xfId="0" applyNumberFormat="1" applyFill="1" applyBorder="1" applyAlignment="1" applyProtection="1">
      <alignment horizontal="right" vertical="center"/>
      <protection locked="0"/>
    </xf>
    <xf numFmtId="3" fontId="53" fillId="0" borderId="62" xfId="0" applyNumberFormat="1" applyFont="1" applyFill="1" applyBorder="1" applyAlignment="1" applyProtection="1">
      <alignment horizontal="right" vertical="center"/>
      <protection locked="0"/>
    </xf>
    <xf numFmtId="3" fontId="0" fillId="0" borderId="87" xfId="0" applyNumberFormat="1" applyFill="1" applyBorder="1" applyAlignment="1" applyProtection="1">
      <alignment horizontal="right" vertical="center"/>
      <protection locked="0"/>
    </xf>
    <xf numFmtId="3" fontId="0" fillId="0" borderId="88" xfId="0" applyNumberFormat="1" applyFill="1" applyBorder="1" applyAlignment="1" applyProtection="1">
      <alignment horizontal="right" vertical="center"/>
      <protection locked="0"/>
    </xf>
    <xf numFmtId="3" fontId="53" fillId="0" borderId="113" xfId="0" applyNumberFormat="1" applyFont="1" applyFill="1" applyBorder="1" applyAlignment="1" applyProtection="1">
      <alignment horizontal="right" vertical="center"/>
      <protection locked="0"/>
    </xf>
    <xf numFmtId="3" fontId="0" fillId="0" borderId="92" xfId="0" applyNumberFormat="1" applyFill="1" applyBorder="1" applyAlignment="1" applyProtection="1">
      <alignment horizontal="right" vertical="center"/>
      <protection locked="0"/>
    </xf>
    <xf numFmtId="3" fontId="0" fillId="0" borderId="93" xfId="0" applyNumberFormat="1" applyFill="1" applyBorder="1" applyAlignment="1" applyProtection="1">
      <alignment horizontal="right" vertical="center"/>
      <protection locked="0"/>
    </xf>
    <xf numFmtId="3" fontId="53" fillId="0" borderId="64" xfId="0" applyNumberFormat="1" applyFont="1" applyFill="1" applyBorder="1" applyAlignment="1" applyProtection="1">
      <alignment horizontal="right" vertical="center"/>
      <protection locked="0"/>
    </xf>
    <xf numFmtId="3" fontId="58" fillId="0" borderId="87" xfId="0" applyNumberFormat="1" applyFont="1" applyFill="1" applyBorder="1" applyAlignment="1" applyProtection="1">
      <alignment horizontal="right" vertical="center"/>
      <protection locked="0"/>
    </xf>
    <xf numFmtId="3" fontId="58" fillId="0" borderId="88" xfId="0" applyNumberFormat="1" applyFont="1" applyFill="1" applyBorder="1" applyAlignment="1" applyProtection="1">
      <alignment horizontal="right" vertical="center"/>
      <protection locked="0"/>
    </xf>
    <xf numFmtId="3" fontId="58" fillId="0" borderId="113" xfId="0" applyNumberFormat="1" applyFont="1" applyFill="1" applyBorder="1" applyAlignment="1" applyProtection="1">
      <alignment horizontal="right" vertical="center"/>
      <protection locked="0"/>
    </xf>
    <xf numFmtId="3" fontId="4" fillId="0" borderId="114" xfId="0" applyNumberFormat="1" applyFont="1" applyFill="1" applyBorder="1" applyAlignment="1" applyProtection="1">
      <alignment vertical="center"/>
      <protection locked="0"/>
    </xf>
    <xf numFmtId="0" fontId="0" fillId="0" borderId="0" xfId="0" applyProtection="1">
      <protection locked="0"/>
    </xf>
    <xf numFmtId="3" fontId="21" fillId="0" borderId="41" xfId="0" applyNumberFormat="1" applyFont="1" applyFill="1" applyBorder="1" applyAlignment="1" applyProtection="1">
      <alignment vertical="center"/>
      <protection locked="0"/>
    </xf>
    <xf numFmtId="3" fontId="21" fillId="0" borderId="115" xfId="0" applyNumberFormat="1" applyFont="1" applyFill="1" applyBorder="1" applyAlignment="1" applyProtection="1">
      <alignment vertical="center"/>
      <protection locked="0"/>
    </xf>
    <xf numFmtId="3" fontId="21" fillId="0" borderId="105" xfId="0" applyNumberFormat="1" applyFont="1" applyFill="1" applyBorder="1" applyAlignment="1" applyProtection="1">
      <alignment vertical="center"/>
      <protection locked="0"/>
    </xf>
    <xf numFmtId="3" fontId="60" fillId="0" borderId="106" xfId="0" applyNumberFormat="1" applyFont="1" applyFill="1" applyBorder="1" applyAlignment="1" applyProtection="1">
      <alignment vertical="center"/>
      <protection locked="0"/>
    </xf>
    <xf numFmtId="3" fontId="21" fillId="0" borderId="42" xfId="0" applyNumberFormat="1" applyFont="1" applyFill="1" applyBorder="1" applyAlignment="1" applyProtection="1">
      <alignment vertical="center"/>
      <protection locked="0"/>
    </xf>
    <xf numFmtId="3" fontId="4" fillId="0" borderId="116" xfId="0" applyNumberFormat="1" applyFont="1" applyFill="1" applyBorder="1" applyAlignment="1" applyProtection="1">
      <alignment vertical="center"/>
      <protection locked="0"/>
    </xf>
    <xf numFmtId="3" fontId="65" fillId="0" borderId="108" xfId="0" applyNumberFormat="1" applyFont="1" applyFill="1" applyBorder="1" applyAlignment="1" applyProtection="1">
      <alignment vertical="center"/>
      <protection locked="0"/>
    </xf>
    <xf numFmtId="3" fontId="4" fillId="0" borderId="117" xfId="0" applyNumberFormat="1" applyFont="1" applyFill="1" applyBorder="1" applyAlignment="1" applyProtection="1">
      <alignment vertical="center"/>
      <protection locked="0"/>
    </xf>
    <xf numFmtId="3" fontId="4" fillId="0" borderId="118" xfId="0" applyNumberFormat="1" applyFont="1" applyFill="1" applyBorder="1" applyAlignment="1" applyProtection="1">
      <alignment vertical="center"/>
      <protection locked="0"/>
    </xf>
    <xf numFmtId="3" fontId="4" fillId="0" borderId="119" xfId="0" applyNumberFormat="1" applyFont="1" applyFill="1" applyBorder="1" applyAlignment="1" applyProtection="1">
      <alignment vertical="center"/>
      <protection locked="0"/>
    </xf>
    <xf numFmtId="3" fontId="4" fillId="0" borderId="120" xfId="0" applyNumberFormat="1" applyFont="1" applyFill="1" applyBorder="1" applyAlignment="1" applyProtection="1">
      <alignment vertical="center"/>
      <protection locked="0"/>
    </xf>
    <xf numFmtId="3" fontId="65" fillId="0" borderId="121" xfId="0" applyNumberFormat="1" applyFont="1" applyFill="1" applyBorder="1" applyAlignment="1" applyProtection="1">
      <alignment vertical="center"/>
      <protection locked="0"/>
    </xf>
    <xf numFmtId="3" fontId="4" fillId="0" borderId="122" xfId="0" applyNumberFormat="1" applyFont="1" applyFill="1" applyBorder="1" applyAlignment="1" applyProtection="1">
      <alignment vertical="center"/>
      <protection locked="0"/>
    </xf>
    <xf numFmtId="1" fontId="0" fillId="0" borderId="0" xfId="0" applyNumberFormat="1" applyProtection="1">
      <protection locked="0"/>
    </xf>
    <xf numFmtId="3" fontId="0" fillId="0" borderId="50" xfId="0" applyNumberFormat="1" applyFill="1" applyBorder="1" applyProtection="1">
      <protection locked="0"/>
    </xf>
    <xf numFmtId="3" fontId="0" fillId="0" borderId="65" xfId="0" applyNumberFormat="1" applyFill="1" applyBorder="1" applyProtection="1">
      <protection locked="0"/>
    </xf>
    <xf numFmtId="3" fontId="58" fillId="0" borderId="123" xfId="0" applyNumberFormat="1" applyFont="1" applyFill="1" applyBorder="1" applyProtection="1">
      <protection locked="0"/>
    </xf>
    <xf numFmtId="3" fontId="0" fillId="0" borderId="83" xfId="0" applyNumberFormat="1" applyFill="1" applyBorder="1" applyProtection="1">
      <protection locked="0"/>
    </xf>
    <xf numFmtId="3" fontId="0" fillId="0" borderId="107" xfId="0" applyNumberFormat="1" applyFill="1" applyBorder="1" applyProtection="1">
      <protection locked="0"/>
    </xf>
    <xf numFmtId="3" fontId="58" fillId="0" borderId="124" xfId="0" applyNumberFormat="1" applyFont="1" applyFill="1" applyBorder="1" applyProtection="1">
      <protection locked="0"/>
    </xf>
    <xf numFmtId="3" fontId="0" fillId="0" borderId="54" xfId="0" applyNumberFormat="1" applyFill="1" applyBorder="1" applyProtection="1">
      <protection locked="0"/>
    </xf>
    <xf numFmtId="3" fontId="0" fillId="0" borderId="67" xfId="0" applyNumberFormat="1" applyFill="1" applyBorder="1" applyProtection="1">
      <protection locked="0"/>
    </xf>
    <xf numFmtId="3" fontId="58" fillId="0" borderId="125" xfId="0" applyNumberFormat="1" applyFont="1" applyFill="1" applyBorder="1" applyProtection="1">
      <protection locked="0"/>
    </xf>
    <xf numFmtId="3" fontId="58" fillId="0" borderId="58" xfId="0" applyNumberFormat="1" applyFont="1" applyFill="1" applyBorder="1" applyProtection="1">
      <protection locked="0"/>
    </xf>
    <xf numFmtId="3" fontId="58" fillId="0" borderId="70" xfId="0" applyNumberFormat="1" applyFont="1" applyFill="1" applyBorder="1" applyProtection="1">
      <protection locked="0"/>
    </xf>
    <xf numFmtId="3" fontId="58" fillId="0" borderId="126" xfId="0" applyNumberFormat="1" applyFont="1" applyFill="1" applyBorder="1" applyProtection="1">
      <protection locked="0"/>
    </xf>
    <xf numFmtId="3" fontId="0" fillId="0" borderId="74" xfId="0" applyNumberFormat="1" applyFill="1" applyBorder="1" applyProtection="1">
      <protection locked="0"/>
    </xf>
    <xf numFmtId="3" fontId="0" fillId="0" borderId="61" xfId="0" applyNumberFormat="1" applyFill="1" applyBorder="1" applyProtection="1">
      <protection locked="0"/>
    </xf>
    <xf numFmtId="3" fontId="58" fillId="0" borderId="127" xfId="0" applyNumberFormat="1" applyFont="1" applyFill="1" applyBorder="1" applyProtection="1">
      <protection locked="0"/>
    </xf>
    <xf numFmtId="0" fontId="0" fillId="0" borderId="0" xfId="0" applyFill="1" applyProtection="1">
      <protection locked="0"/>
    </xf>
    <xf numFmtId="0" fontId="0" fillId="0" borderId="83" xfId="0" applyFill="1" applyBorder="1" applyProtection="1">
      <protection locked="0"/>
    </xf>
    <xf numFmtId="0" fontId="0" fillId="0" borderId="54" xfId="0" applyFill="1" applyBorder="1" applyProtection="1">
      <protection locked="0"/>
    </xf>
    <xf numFmtId="0" fontId="0" fillId="0" borderId="87" xfId="0" applyFill="1" applyBorder="1" applyProtection="1">
      <protection locked="0"/>
    </xf>
    <xf numFmtId="0" fontId="0" fillId="0" borderId="54" xfId="0" applyFill="1" applyBorder="1" applyAlignment="1" applyProtection="1">
      <alignment vertical="center"/>
      <protection locked="0"/>
    </xf>
    <xf numFmtId="0" fontId="0" fillId="0" borderId="109" xfId="0" applyFill="1" applyBorder="1" applyAlignment="1" applyProtection="1">
      <alignment vertical="center"/>
      <protection locked="0"/>
    </xf>
    <xf numFmtId="0" fontId="0" fillId="0" borderId="136" xfId="0" applyFill="1" applyBorder="1" applyProtection="1">
      <protection locked="0"/>
    </xf>
    <xf numFmtId="1" fontId="0" fillId="0" borderId="0" xfId="0" applyNumberFormat="1" applyFill="1" applyProtection="1">
      <protection locked="0"/>
    </xf>
    <xf numFmtId="3" fontId="62" fillId="0" borderId="68" xfId="0" applyNumberFormat="1" applyFont="1" applyFill="1" applyBorder="1" applyAlignment="1" applyProtection="1">
      <alignment horizontal="right" vertical="center"/>
      <protection locked="0"/>
    </xf>
    <xf numFmtId="3" fontId="15" fillId="0" borderId="56" xfId="0" applyNumberFormat="1" applyFont="1" applyFill="1" applyBorder="1" applyAlignment="1" applyProtection="1">
      <alignment horizontal="right" vertical="center"/>
      <protection locked="0"/>
    </xf>
    <xf numFmtId="3" fontId="15" fillId="0" borderId="67" xfId="0" applyNumberFormat="1" applyFont="1" applyFill="1" applyBorder="1" applyAlignment="1" applyProtection="1">
      <alignment horizontal="right" vertical="center"/>
      <protection locked="0"/>
    </xf>
    <xf numFmtId="3" fontId="15" fillId="0" borderId="62" xfId="0" applyNumberFormat="1" applyFont="1" applyFill="1" applyBorder="1" applyAlignment="1" applyProtection="1">
      <alignment horizontal="right" vertical="center"/>
      <protection locked="0"/>
    </xf>
    <xf numFmtId="3" fontId="15" fillId="0" borderId="107" xfId="0" applyNumberFormat="1" applyFont="1" applyFill="1" applyBorder="1" applyAlignment="1" applyProtection="1">
      <alignment horizontal="right" vertical="center"/>
      <protection locked="0"/>
    </xf>
    <xf numFmtId="3" fontId="62" fillId="0" borderId="113" xfId="0" applyNumberFormat="1" applyFont="1" applyFill="1" applyBorder="1" applyAlignment="1" applyProtection="1">
      <alignment horizontal="right" vertical="center"/>
      <protection locked="0"/>
    </xf>
    <xf numFmtId="3" fontId="62" fillId="0" borderId="120" xfId="0" applyNumberFormat="1" applyFont="1" applyFill="1" applyBorder="1" applyAlignment="1" applyProtection="1">
      <alignment horizontal="right" vertical="center"/>
      <protection locked="0"/>
    </xf>
    <xf numFmtId="3" fontId="16" fillId="0" borderId="40" xfId="0" applyNumberFormat="1" applyFont="1" applyFill="1" applyBorder="1" applyAlignment="1" applyProtection="1">
      <alignment horizontal="right" vertical="center"/>
      <protection locked="0"/>
    </xf>
    <xf numFmtId="3" fontId="16" fillId="0" borderId="105" xfId="0" applyNumberFormat="1" applyFont="1" applyFill="1" applyBorder="1" applyAlignment="1" applyProtection="1">
      <alignment horizontal="right" vertical="center"/>
      <protection locked="0"/>
    </xf>
    <xf numFmtId="3" fontId="0" fillId="0" borderId="40" xfId="0" applyNumberFormat="1" applyFill="1" applyBorder="1" applyAlignment="1" applyProtection="1">
      <alignment horizontal="right" vertical="center"/>
      <protection locked="0"/>
    </xf>
    <xf numFmtId="0" fontId="0" fillId="0" borderId="67" xfId="0" applyFill="1" applyBorder="1" applyProtection="1">
      <protection locked="0"/>
    </xf>
    <xf numFmtId="0" fontId="0" fillId="0" borderId="68" xfId="0" applyFill="1" applyBorder="1" applyProtection="1">
      <protection locked="0"/>
    </xf>
    <xf numFmtId="3" fontId="0" fillId="0" borderId="105" xfId="0" applyNumberFormat="1" applyFill="1" applyBorder="1" applyAlignment="1" applyProtection="1">
      <alignment horizontal="right" vertical="center"/>
      <protection locked="0"/>
    </xf>
    <xf numFmtId="3" fontId="62" fillId="0" borderId="67" xfId="0" applyNumberFormat="1" applyFont="1" applyFill="1" applyBorder="1" applyAlignment="1" applyProtection="1">
      <alignment horizontal="right" vertical="center"/>
      <protection locked="0"/>
    </xf>
    <xf numFmtId="0" fontId="0" fillId="0" borderId="142" xfId="0" applyBorder="1" applyProtection="1">
      <protection locked="0"/>
    </xf>
    <xf numFmtId="0" fontId="0" fillId="0" borderId="135" xfId="0" applyBorder="1" applyProtection="1">
      <protection locked="0"/>
    </xf>
    <xf numFmtId="0" fontId="62" fillId="0" borderId="145" xfId="0" applyFont="1" applyBorder="1" applyProtection="1">
      <protection locked="0"/>
    </xf>
    <xf numFmtId="0" fontId="0" fillId="0" borderId="138" xfId="0" applyBorder="1" applyProtection="1">
      <protection locked="0"/>
    </xf>
    <xf numFmtId="0" fontId="0" fillId="0" borderId="125" xfId="0" applyBorder="1" applyProtection="1">
      <protection locked="0"/>
    </xf>
    <xf numFmtId="0" fontId="62" fillId="0" borderId="68" xfId="0" applyFont="1" applyBorder="1" applyProtection="1">
      <protection locked="0"/>
    </xf>
    <xf numFmtId="0" fontId="62" fillId="0" borderId="17" xfId="0" applyFont="1" applyBorder="1" applyProtection="1">
      <protection locked="0"/>
    </xf>
    <xf numFmtId="0" fontId="62" fillId="0" borderId="146" xfId="0" applyFont="1" applyBorder="1" applyProtection="1">
      <protection locked="0"/>
    </xf>
    <xf numFmtId="0" fontId="62" fillId="0" borderId="75" xfId="0" applyFont="1" applyBorder="1" applyProtection="1">
      <protection locked="0"/>
    </xf>
    <xf numFmtId="3" fontId="0" fillId="0" borderId="40" xfId="0" applyNumberFormat="1" applyBorder="1" applyAlignment="1" applyProtection="1">
      <alignment horizontal="right" vertical="center"/>
      <protection locked="0"/>
    </xf>
    <xf numFmtId="3" fontId="0" fillId="0" borderId="147" xfId="0" applyNumberFormat="1" applyBorder="1" applyAlignment="1" applyProtection="1">
      <alignment horizontal="right" vertical="center"/>
      <protection locked="0"/>
    </xf>
    <xf numFmtId="3" fontId="62" fillId="0" borderId="106" xfId="0" applyNumberFormat="1" applyFont="1" applyBorder="1" applyAlignment="1" applyProtection="1">
      <alignment horizontal="right" vertical="center"/>
      <protection locked="0"/>
    </xf>
    <xf numFmtId="0" fontId="0" fillId="0" borderId="141" xfId="0" applyFill="1" applyBorder="1" applyProtection="1">
      <protection locked="0"/>
    </xf>
    <xf numFmtId="0" fontId="0" fillId="0" borderId="145" xfId="0" applyFill="1" applyBorder="1" applyProtection="1">
      <protection locked="0"/>
    </xf>
    <xf numFmtId="0" fontId="0" fillId="0" borderId="140" xfId="0" applyFill="1" applyBorder="1" applyProtection="1">
      <protection locked="0"/>
    </xf>
    <xf numFmtId="0" fontId="0" fillId="0" borderId="56" xfId="0" applyFill="1" applyBorder="1" applyProtection="1">
      <protection locked="0"/>
    </xf>
    <xf numFmtId="0" fontId="0" fillId="0" borderId="120" xfId="0" applyFill="1" applyBorder="1" applyProtection="1">
      <protection locked="0"/>
    </xf>
    <xf numFmtId="0" fontId="0" fillId="0" borderId="121" xfId="0" applyFill="1" applyBorder="1" applyProtection="1">
      <protection locked="0"/>
    </xf>
    <xf numFmtId="1" fontId="0" fillId="6" borderId="0" xfId="0" applyNumberFormat="1" applyFill="1" applyProtection="1">
      <protection locked="0"/>
    </xf>
    <xf numFmtId="0" fontId="0" fillId="12" borderId="0" xfId="0" quotePrefix="1" applyFill="1" applyAlignment="1" applyProtection="1">
      <alignment horizontal="left" indent="1"/>
    </xf>
    <xf numFmtId="0" fontId="15" fillId="12" borderId="0" xfId="0" quotePrefix="1" applyFont="1" applyFill="1" applyAlignment="1" applyProtection="1">
      <alignment horizontal="left" indent="1"/>
    </xf>
    <xf numFmtId="0" fontId="17" fillId="5" borderId="0" xfId="0" quotePrefix="1" applyFont="1" applyFill="1" applyProtection="1"/>
    <xf numFmtId="0" fontId="20" fillId="5" borderId="0" xfId="0" applyFont="1" applyFill="1" applyProtection="1"/>
    <xf numFmtId="0" fontId="0" fillId="6" borderId="149" xfId="0" applyFill="1" applyBorder="1" applyProtection="1">
      <protection locked="0"/>
    </xf>
    <xf numFmtId="0" fontId="0" fillId="6" borderId="150" xfId="0" applyFill="1" applyBorder="1" applyProtection="1">
      <protection locked="0"/>
    </xf>
    <xf numFmtId="0" fontId="63" fillId="5" borderId="8" xfId="4" applyFont="1" applyFill="1" applyBorder="1" applyProtection="1"/>
    <xf numFmtId="0" fontId="51" fillId="5" borderId="13" xfId="4" applyFont="1" applyFill="1" applyBorder="1" applyAlignment="1" applyProtection="1">
      <alignment horizontal="left" indent="1"/>
    </xf>
    <xf numFmtId="0" fontId="51" fillId="5" borderId="13" xfId="4" applyFont="1" applyFill="1" applyBorder="1" applyAlignment="1" applyProtection="1">
      <alignment horizontal="left" indent="2"/>
    </xf>
    <xf numFmtId="0" fontId="51" fillId="5" borderId="17" xfId="4" applyFont="1" applyFill="1" applyBorder="1" applyAlignment="1" applyProtection="1">
      <alignment horizontal="left" indent="1"/>
    </xf>
    <xf numFmtId="0" fontId="67" fillId="5" borderId="0" xfId="0" applyFont="1" applyFill="1" applyAlignment="1" applyProtection="1"/>
    <xf numFmtId="0" fontId="0" fillId="5" borderId="0" xfId="0" applyFill="1" applyBorder="1" applyAlignment="1" applyProtection="1">
      <alignment horizontal="left"/>
      <protection locked="0"/>
    </xf>
    <xf numFmtId="0" fontId="0" fillId="5" borderId="0" xfId="0" applyFill="1" applyBorder="1" applyProtection="1">
      <protection locked="0"/>
    </xf>
    <xf numFmtId="0" fontId="0" fillId="6" borderId="64" xfId="0" applyFill="1" applyBorder="1" applyAlignment="1" applyProtection="1">
      <alignment horizontal="left"/>
      <protection locked="0"/>
    </xf>
    <xf numFmtId="0" fontId="0" fillId="5" borderId="0" xfId="0" applyFill="1" applyBorder="1" applyProtection="1"/>
    <xf numFmtId="0" fontId="68" fillId="5" borderId="13" xfId="0" applyFont="1" applyFill="1" applyBorder="1" applyProtection="1"/>
    <xf numFmtId="0" fontId="51" fillId="5" borderId="13" xfId="0" applyFont="1" applyFill="1" applyBorder="1" applyAlignment="1" applyProtection="1">
      <alignment horizontal="left" indent="1"/>
    </xf>
    <xf numFmtId="3" fontId="51" fillId="0" borderId="54" xfId="0" applyNumberFormat="1" applyFont="1" applyFill="1" applyBorder="1" applyAlignment="1" applyProtection="1">
      <alignment horizontal="right" vertical="center"/>
      <protection locked="0"/>
    </xf>
    <xf numFmtId="3" fontId="51" fillId="0" borderId="55" xfId="0" applyNumberFormat="1" applyFont="1" applyFill="1" applyBorder="1" applyAlignment="1" applyProtection="1">
      <alignment horizontal="right" vertical="center"/>
      <protection locked="0"/>
    </xf>
    <xf numFmtId="3" fontId="51" fillId="0" borderId="56" xfId="0" applyNumberFormat="1" applyFont="1" applyFill="1" applyBorder="1" applyAlignment="1" applyProtection="1">
      <alignment horizontal="right" vertical="center"/>
      <protection locked="0"/>
    </xf>
    <xf numFmtId="0" fontId="51" fillId="5" borderId="13" xfId="0" applyFont="1" applyFill="1" applyBorder="1" applyAlignment="1" applyProtection="1">
      <alignment horizontal="left" indent="2"/>
    </xf>
    <xf numFmtId="0" fontId="51" fillId="5" borderId="17" xfId="0" applyFont="1" applyFill="1" applyBorder="1" applyAlignment="1" applyProtection="1">
      <alignment horizontal="left" indent="1"/>
    </xf>
    <xf numFmtId="3" fontId="51" fillId="0" borderId="87" xfId="0" applyNumberFormat="1" applyFont="1" applyFill="1" applyBorder="1" applyAlignment="1" applyProtection="1">
      <alignment horizontal="right" vertical="center"/>
      <protection locked="0"/>
    </xf>
    <xf numFmtId="3" fontId="51" fillId="0" borderId="88" xfId="0" applyNumberFormat="1" applyFont="1" applyFill="1" applyBorder="1" applyAlignment="1" applyProtection="1">
      <alignment horizontal="right" vertical="center"/>
      <protection locked="0"/>
    </xf>
    <xf numFmtId="3" fontId="51" fillId="0" borderId="113" xfId="0" applyNumberFormat="1" applyFont="1" applyFill="1" applyBorder="1" applyAlignment="1" applyProtection="1">
      <alignment horizontal="right" vertical="center"/>
      <protection locked="0"/>
    </xf>
    <xf numFmtId="0" fontId="69" fillId="5" borderId="13" xfId="0" applyFont="1" applyFill="1" applyBorder="1" applyAlignment="1" applyProtection="1">
      <alignment vertical="top"/>
    </xf>
    <xf numFmtId="0" fontId="15" fillId="7" borderId="0" xfId="0" applyFont="1" applyFill="1" applyProtection="1"/>
    <xf numFmtId="3" fontId="4" fillId="0" borderId="82" xfId="0" applyNumberFormat="1" applyFont="1" applyFill="1" applyBorder="1" applyAlignment="1" applyProtection="1">
      <alignment vertical="center"/>
      <protection locked="0"/>
    </xf>
    <xf numFmtId="3" fontId="4" fillId="0" borderId="91" xfId="0" applyNumberFormat="1" applyFont="1" applyFill="1" applyBorder="1" applyAlignment="1" applyProtection="1">
      <alignment vertical="center"/>
      <protection locked="0"/>
    </xf>
    <xf numFmtId="3" fontId="4" fillId="0" borderId="57" xfId="0" applyNumberFormat="1" applyFont="1" applyFill="1" applyBorder="1" applyAlignment="1" applyProtection="1">
      <alignment vertical="center"/>
      <protection locked="0"/>
    </xf>
    <xf numFmtId="3" fontId="65" fillId="0" borderId="132" xfId="0" applyNumberFormat="1" applyFont="1" applyFill="1" applyBorder="1" applyAlignment="1" applyProtection="1">
      <alignment vertical="center"/>
      <protection locked="0"/>
    </xf>
    <xf numFmtId="3" fontId="4" fillId="0" borderId="95" xfId="0" applyNumberFormat="1" applyFont="1" applyFill="1" applyBorder="1" applyAlignment="1" applyProtection="1">
      <alignment vertical="center"/>
      <protection locked="0"/>
    </xf>
    <xf numFmtId="3" fontId="4" fillId="0" borderId="153" xfId="0" applyNumberFormat="1" applyFont="1" applyFill="1" applyBorder="1" applyAlignment="1" applyProtection="1">
      <alignment vertical="center"/>
      <protection locked="0"/>
    </xf>
    <xf numFmtId="0" fontId="16" fillId="5" borderId="25" xfId="0" applyFont="1" applyFill="1" applyBorder="1" applyProtection="1"/>
    <xf numFmtId="0" fontId="23" fillId="7" borderId="0" xfId="0" applyFont="1" applyFill="1" applyProtection="1"/>
    <xf numFmtId="0" fontId="15" fillId="8" borderId="0" xfId="0" applyFont="1" applyFill="1" applyProtection="1"/>
    <xf numFmtId="0" fontId="0" fillId="8" borderId="0" xfId="0" applyFill="1"/>
    <xf numFmtId="3" fontId="16" fillId="0" borderId="62" xfId="0" applyNumberFormat="1" applyFont="1" applyFill="1" applyBorder="1" applyAlignment="1" applyProtection="1">
      <alignment horizontal="right" vertical="center"/>
      <protection locked="0"/>
    </xf>
    <xf numFmtId="3" fontId="16" fillId="0" borderId="107" xfId="0" applyNumberFormat="1" applyFont="1" applyFill="1" applyBorder="1" applyAlignment="1" applyProtection="1">
      <alignment horizontal="right" vertical="center"/>
      <protection locked="0"/>
    </xf>
    <xf numFmtId="0" fontId="15" fillId="8" borderId="8" xfId="0" applyNumberFormat="1" applyFont="1" applyFill="1" applyBorder="1" applyAlignment="1" applyProtection="1">
      <alignment horizontal="left" wrapText="1" indent="2"/>
    </xf>
    <xf numFmtId="3" fontId="15" fillId="0" borderId="101" xfId="0" applyNumberFormat="1" applyFont="1" applyFill="1" applyBorder="1" applyAlignment="1" applyProtection="1">
      <alignment horizontal="right" vertical="center"/>
      <protection locked="0"/>
    </xf>
    <xf numFmtId="3" fontId="15" fillId="0" borderId="64" xfId="0" applyNumberFormat="1" applyFont="1" applyFill="1" applyBorder="1" applyAlignment="1" applyProtection="1">
      <alignment horizontal="right" vertical="center"/>
      <protection locked="0"/>
    </xf>
    <xf numFmtId="0" fontId="51" fillId="8" borderId="0" xfId="0" applyFont="1" applyFill="1" applyAlignment="1" applyProtection="1">
      <alignment horizontal="left" vertical="center" indent="1"/>
    </xf>
    <xf numFmtId="3" fontId="53" fillId="0" borderId="109" xfId="0" applyNumberFormat="1" applyFont="1" applyFill="1" applyBorder="1" applyAlignment="1" applyProtection="1">
      <alignment horizontal="right" vertical="center"/>
      <protection locked="0"/>
    </xf>
    <xf numFmtId="3" fontId="53" fillId="0" borderId="110" xfId="0" applyNumberFormat="1" applyFont="1" applyFill="1" applyBorder="1" applyAlignment="1" applyProtection="1">
      <alignment horizontal="right" vertical="center"/>
      <protection locked="0"/>
    </xf>
    <xf numFmtId="3" fontId="53" fillId="0" borderId="154" xfId="0" applyNumberFormat="1" applyFont="1" applyFill="1" applyBorder="1" applyAlignment="1" applyProtection="1">
      <alignment horizontal="right" vertical="center"/>
      <protection locked="0"/>
    </xf>
    <xf numFmtId="3" fontId="52" fillId="0" borderId="62" xfId="0" applyNumberFormat="1" applyFont="1" applyFill="1" applyBorder="1" applyAlignment="1" applyProtection="1">
      <alignment horizontal="right" vertical="center"/>
      <protection locked="0"/>
    </xf>
    <xf numFmtId="3" fontId="52" fillId="0" borderId="107" xfId="0" applyNumberFormat="1" applyFont="1" applyFill="1" applyBorder="1" applyAlignment="1" applyProtection="1">
      <alignment horizontal="right" vertical="center"/>
      <protection locked="0"/>
    </xf>
    <xf numFmtId="3" fontId="53" fillId="0" borderId="107" xfId="0" applyNumberFormat="1" applyFont="1" applyFill="1" applyBorder="1" applyAlignment="1" applyProtection="1">
      <alignment horizontal="right" vertical="center"/>
      <protection locked="0"/>
    </xf>
    <xf numFmtId="3" fontId="53" fillId="0" borderId="67" xfId="0" applyNumberFormat="1" applyFont="1" applyFill="1" applyBorder="1" applyAlignment="1" applyProtection="1">
      <alignment horizontal="right" vertical="center"/>
      <protection locked="0"/>
    </xf>
    <xf numFmtId="3" fontId="53" fillId="0" borderId="138" xfId="0" applyNumberFormat="1" applyFont="1" applyFill="1" applyBorder="1" applyAlignment="1" applyProtection="1">
      <alignment horizontal="right" vertical="center"/>
      <protection locked="0"/>
    </xf>
    <xf numFmtId="3" fontId="53" fillId="0" borderId="101" xfId="0" applyNumberFormat="1" applyFont="1" applyFill="1" applyBorder="1" applyAlignment="1" applyProtection="1">
      <alignment horizontal="right" vertical="center"/>
      <protection locked="0"/>
    </xf>
    <xf numFmtId="3" fontId="53" fillId="0" borderId="76" xfId="0" applyNumberFormat="1" applyFont="1" applyFill="1" applyBorder="1" applyAlignment="1" applyProtection="1">
      <alignment horizontal="right" vertical="center"/>
      <protection locked="0"/>
    </xf>
    <xf numFmtId="3" fontId="53" fillId="0" borderId="77" xfId="0" applyNumberFormat="1" applyFont="1" applyFill="1" applyBorder="1" applyAlignment="1" applyProtection="1">
      <alignment horizontal="right" vertical="center"/>
      <protection locked="0"/>
    </xf>
    <xf numFmtId="3" fontId="53" fillId="0" borderId="2" xfId="0" applyNumberFormat="1" applyFont="1" applyFill="1" applyBorder="1" applyAlignment="1" applyProtection="1">
      <alignment horizontal="right" vertical="center"/>
      <protection locked="0"/>
    </xf>
    <xf numFmtId="0" fontId="58" fillId="8" borderId="29" xfId="0" applyNumberFormat="1" applyFont="1" applyFill="1" applyBorder="1" applyAlignment="1" applyProtection="1">
      <alignment horizontal="left" wrapText="1" indent="2"/>
    </xf>
    <xf numFmtId="0" fontId="16" fillId="8" borderId="28" xfId="0" applyNumberFormat="1" applyFont="1" applyFill="1" applyBorder="1" applyAlignment="1" applyProtection="1">
      <alignment horizontal="left" vertical="center" wrapText="1"/>
    </xf>
    <xf numFmtId="3" fontId="15" fillId="0" borderId="40" xfId="0" applyNumberFormat="1" applyFont="1" applyFill="1" applyBorder="1" applyAlignment="1" applyProtection="1">
      <alignment horizontal="right" vertical="center"/>
      <protection locked="0"/>
    </xf>
    <xf numFmtId="3" fontId="15" fillId="0" borderId="105" xfId="0" applyNumberFormat="1" applyFont="1" applyFill="1" applyBorder="1" applyAlignment="1" applyProtection="1">
      <alignment horizontal="right" vertical="center"/>
      <protection locked="0"/>
    </xf>
    <xf numFmtId="0" fontId="0" fillId="0" borderId="0" xfId="0" applyBorder="1" applyAlignment="1" applyProtection="1">
      <alignment horizontal="left" vertical="center" indent="2"/>
    </xf>
    <xf numFmtId="3" fontId="52" fillId="0" borderId="62" xfId="0" applyNumberFormat="1" applyFont="1" applyFill="1" applyBorder="1" applyAlignment="1" applyProtection="1">
      <alignment horizontal="left" vertical="center" indent="2"/>
      <protection locked="0"/>
    </xf>
    <xf numFmtId="3" fontId="52" fillId="0" borderId="107" xfId="0" applyNumberFormat="1" applyFont="1" applyFill="1" applyBorder="1" applyAlignment="1" applyProtection="1">
      <alignment horizontal="left" vertical="center" indent="2"/>
      <protection locked="0"/>
    </xf>
    <xf numFmtId="0" fontId="0" fillId="8" borderId="0" xfId="0" applyFill="1" applyAlignment="1" applyProtection="1">
      <alignment horizontal="left" vertical="center" wrapText="1" indent="2"/>
    </xf>
    <xf numFmtId="3" fontId="16" fillId="0" borderId="62" xfId="0" applyNumberFormat="1" applyFont="1" applyFill="1" applyBorder="1" applyAlignment="1" applyProtection="1">
      <alignment horizontal="left" vertical="center" indent="2"/>
      <protection locked="0"/>
    </xf>
    <xf numFmtId="3" fontId="16" fillId="0" borderId="107" xfId="0" applyNumberFormat="1" applyFont="1" applyFill="1" applyBorder="1" applyAlignment="1" applyProtection="1">
      <alignment horizontal="left" vertical="center" indent="2"/>
      <protection locked="0"/>
    </xf>
    <xf numFmtId="3" fontId="52" fillId="0" borderId="40" xfId="0" applyNumberFormat="1" applyFont="1" applyFill="1" applyBorder="1" applyAlignment="1" applyProtection="1">
      <alignment horizontal="right" vertical="center"/>
      <protection locked="0"/>
    </xf>
    <xf numFmtId="3" fontId="52" fillId="0" borderId="105" xfId="0" applyNumberFormat="1" applyFont="1" applyFill="1" applyBorder="1" applyAlignment="1" applyProtection="1">
      <alignment horizontal="right" vertical="center"/>
      <protection locked="0"/>
    </xf>
    <xf numFmtId="0" fontId="59" fillId="8" borderId="7" xfId="0" applyFont="1" applyFill="1" applyBorder="1" applyProtection="1"/>
    <xf numFmtId="0" fontId="15" fillId="8" borderId="8" xfId="0" applyFont="1" applyFill="1" applyBorder="1" applyAlignment="1" applyProtection="1">
      <alignment horizontal="left" vertical="center" indent="1"/>
    </xf>
    <xf numFmtId="0" fontId="16" fillId="8" borderId="4" xfId="0" applyFont="1" applyFill="1" applyBorder="1" applyAlignment="1" applyProtection="1">
      <alignment horizontal="centerContinuous" vertical="center" wrapText="1"/>
    </xf>
    <xf numFmtId="0" fontId="16" fillId="8" borderId="14" xfId="0" applyFont="1" applyFill="1" applyBorder="1" applyAlignment="1" applyProtection="1">
      <alignment horizontal="centerContinuous" vertical="center" wrapText="1"/>
    </xf>
    <xf numFmtId="3" fontId="0" fillId="0" borderId="129" xfId="0" applyNumberFormat="1" applyFill="1" applyBorder="1" applyAlignment="1" applyProtection="1">
      <alignment horizontal="right" vertical="center"/>
      <protection locked="0"/>
    </xf>
    <xf numFmtId="0" fontId="15" fillId="9" borderId="0" xfId="0" applyFont="1" applyFill="1" applyProtection="1"/>
    <xf numFmtId="0" fontId="0" fillId="9" borderId="0" xfId="0" applyFill="1"/>
    <xf numFmtId="0" fontId="0" fillId="14" borderId="0" xfId="0" applyFill="1" applyProtection="1"/>
    <xf numFmtId="0" fontId="17" fillId="14" borderId="0" xfId="0" applyFont="1" applyFill="1" applyProtection="1"/>
    <xf numFmtId="0" fontId="15" fillId="14" borderId="0" xfId="0" applyFont="1" applyFill="1" applyProtection="1"/>
    <xf numFmtId="0" fontId="0" fillId="0" borderId="149" xfId="0" applyFill="1" applyBorder="1" applyProtection="1">
      <protection locked="0"/>
    </xf>
    <xf numFmtId="3" fontId="51" fillId="0" borderId="151" xfId="0" applyNumberFormat="1" applyFont="1" applyFill="1" applyBorder="1" applyAlignment="1" applyProtection="1">
      <alignment horizontal="right" vertical="center"/>
    </xf>
    <xf numFmtId="3" fontId="51" fillId="0" borderId="152" xfId="0" applyNumberFormat="1" applyFont="1" applyFill="1" applyBorder="1" applyAlignment="1" applyProtection="1">
      <alignment horizontal="right" vertical="center"/>
    </xf>
    <xf numFmtId="3" fontId="51" fillId="0" borderId="14" xfId="0" applyNumberFormat="1" applyFont="1" applyFill="1" applyBorder="1" applyAlignment="1" applyProtection="1">
      <alignment horizontal="right" vertical="center"/>
    </xf>
    <xf numFmtId="3" fontId="51" fillId="0" borderId="83" xfId="0" applyNumberFormat="1" applyFont="1" applyFill="1" applyBorder="1" applyAlignment="1" applyProtection="1">
      <alignment horizontal="right" vertical="center"/>
    </xf>
    <xf numFmtId="3" fontId="51" fillId="0" borderId="84" xfId="0" applyNumberFormat="1" applyFont="1" applyFill="1" applyBorder="1" applyAlignment="1" applyProtection="1">
      <alignment horizontal="right" vertical="center"/>
    </xf>
    <xf numFmtId="3" fontId="51" fillId="0" borderId="62" xfId="0" applyNumberFormat="1" applyFont="1" applyFill="1" applyBorder="1" applyAlignment="1" applyProtection="1">
      <alignment horizontal="right" vertical="center"/>
    </xf>
    <xf numFmtId="0" fontId="69" fillId="5" borderId="13" xfId="4" applyFont="1" applyFill="1" applyBorder="1" applyAlignment="1" applyProtection="1">
      <alignment vertical="top"/>
    </xf>
    <xf numFmtId="0" fontId="16" fillId="8" borderId="8" xfId="0" applyNumberFormat="1" applyFont="1" applyFill="1" applyBorder="1" applyAlignment="1" applyProtection="1">
      <alignment horizontal="left" wrapText="1"/>
    </xf>
    <xf numFmtId="0" fontId="16" fillId="8" borderId="8" xfId="0" applyNumberFormat="1" applyFont="1" applyFill="1" applyBorder="1" applyAlignment="1" applyProtection="1">
      <alignment horizontal="left" vertical="center" wrapText="1"/>
    </xf>
    <xf numFmtId="0" fontId="57" fillId="8" borderId="8" xfId="0" applyNumberFormat="1" applyFont="1" applyFill="1" applyBorder="1" applyAlignment="1" applyProtection="1">
      <alignment horizontal="left" vertical="center" wrapText="1"/>
    </xf>
    <xf numFmtId="0" fontId="15" fillId="8" borderId="8" xfId="0" applyNumberFormat="1" applyFont="1" applyFill="1" applyBorder="1" applyAlignment="1" applyProtection="1">
      <alignment horizontal="left" wrapText="1" indent="1"/>
    </xf>
    <xf numFmtId="0" fontId="58" fillId="8" borderId="29" xfId="0" applyNumberFormat="1" applyFont="1" applyFill="1" applyBorder="1" applyAlignment="1" applyProtection="1">
      <alignment horizontal="left" wrapText="1" indent="1"/>
    </xf>
    <xf numFmtId="0" fontId="58" fillId="8" borderId="8" xfId="0" applyNumberFormat="1" applyFont="1" applyFill="1" applyBorder="1" applyAlignment="1" applyProtection="1">
      <alignment horizontal="left" wrapText="1" indent="2"/>
    </xf>
    <xf numFmtId="0" fontId="58" fillId="8" borderId="7" xfId="0" applyNumberFormat="1" applyFont="1" applyFill="1" applyBorder="1" applyAlignment="1" applyProtection="1">
      <alignment horizontal="left" wrapText="1" indent="2"/>
    </xf>
    <xf numFmtId="0" fontId="57" fillId="8" borderId="28" xfId="0" applyNumberFormat="1" applyFont="1" applyFill="1" applyBorder="1" applyAlignment="1" applyProtection="1">
      <alignment horizontal="left" vertical="center" wrapText="1"/>
    </xf>
    <xf numFmtId="0" fontId="16" fillId="11" borderId="28" xfId="4" applyFont="1" applyFill="1" applyBorder="1" applyAlignment="1" applyProtection="1">
      <alignment vertical="center"/>
    </xf>
    <xf numFmtId="0" fontId="70" fillId="0" borderId="0" xfId="2" applyFont="1" applyAlignment="1" applyProtection="1"/>
    <xf numFmtId="0" fontId="15" fillId="7" borderId="13" xfId="0" applyFont="1" applyFill="1" applyBorder="1" applyAlignment="1" applyProtection="1">
      <alignment horizontal="left" indent="2"/>
    </xf>
    <xf numFmtId="0" fontId="15" fillId="7" borderId="17" xfId="0" applyFont="1" applyFill="1" applyBorder="1" applyAlignment="1" applyProtection="1">
      <alignment horizontal="left" indent="1"/>
    </xf>
    <xf numFmtId="3" fontId="4" fillId="0" borderId="121" xfId="0" applyNumberFormat="1" applyFont="1" applyFill="1" applyBorder="1" applyAlignment="1" applyProtection="1">
      <alignment vertical="center"/>
      <protection locked="0"/>
    </xf>
    <xf numFmtId="3" fontId="4" fillId="0" borderId="32" xfId="0" applyNumberFormat="1" applyFont="1" applyFill="1" applyBorder="1" applyAlignment="1" applyProtection="1">
      <alignment vertical="center"/>
      <protection locked="0"/>
    </xf>
    <xf numFmtId="3" fontId="4" fillId="0" borderId="156" xfId="0" applyNumberFormat="1" applyFont="1" applyFill="1" applyBorder="1" applyAlignment="1" applyProtection="1">
      <alignment vertical="center"/>
      <protection locked="0"/>
    </xf>
    <xf numFmtId="3" fontId="4" fillId="0" borderId="157" xfId="0" applyNumberFormat="1" applyFont="1" applyFill="1" applyBorder="1" applyAlignment="1" applyProtection="1">
      <alignment vertical="center"/>
      <protection locked="0"/>
    </xf>
    <xf numFmtId="3" fontId="4" fillId="0" borderId="158" xfId="0" applyNumberFormat="1" applyFont="1" applyFill="1" applyBorder="1" applyAlignment="1" applyProtection="1">
      <alignment vertical="center"/>
      <protection locked="0"/>
    </xf>
    <xf numFmtId="3" fontId="4" fillId="0" borderId="22" xfId="0" applyNumberFormat="1" applyFont="1" applyFill="1" applyBorder="1" applyAlignment="1" applyProtection="1">
      <alignment vertical="center"/>
      <protection locked="0"/>
    </xf>
    <xf numFmtId="3" fontId="0" fillId="0" borderId="107" xfId="0" applyNumberFormat="1" applyFill="1" applyBorder="1" applyAlignment="1" applyProtection="1">
      <alignment horizontal="right" vertical="center"/>
      <protection locked="0"/>
    </xf>
    <xf numFmtId="3" fontId="62" fillId="0" borderId="108" xfId="0" applyNumberFormat="1" applyFont="1" applyFill="1" applyBorder="1" applyAlignment="1" applyProtection="1">
      <alignment horizontal="right" vertical="center"/>
      <protection locked="0"/>
    </xf>
    <xf numFmtId="0" fontId="16" fillId="7" borderId="28" xfId="0" applyFont="1" applyFill="1" applyBorder="1" applyAlignment="1" applyProtection="1">
      <alignment horizontal="left" vertical="center"/>
    </xf>
    <xf numFmtId="3" fontId="62" fillId="0" borderId="80" xfId="0" applyNumberFormat="1" applyFont="1" applyFill="1" applyBorder="1" applyAlignment="1" applyProtection="1">
      <alignment horizontal="right" vertical="center"/>
      <protection locked="0"/>
    </xf>
    <xf numFmtId="3" fontId="62" fillId="0" borderId="105" xfId="0" applyNumberFormat="1" applyFont="1" applyFill="1" applyBorder="1" applyAlignment="1" applyProtection="1">
      <alignment horizontal="right" vertical="center"/>
      <protection locked="0"/>
    </xf>
    <xf numFmtId="3" fontId="62" fillId="0" borderId="106" xfId="0" applyNumberFormat="1" applyFont="1" applyFill="1" applyBorder="1" applyAlignment="1" applyProtection="1">
      <alignment horizontal="right" vertical="center"/>
      <protection locked="0"/>
    </xf>
    <xf numFmtId="3" fontId="61" fillId="0" borderId="75" xfId="0" applyNumberFormat="1" applyFont="1" applyFill="1" applyBorder="1" applyAlignment="1" applyProtection="1">
      <alignment horizontal="right" vertical="center"/>
      <protection locked="0"/>
    </xf>
    <xf numFmtId="0" fontId="62" fillId="7" borderId="7" xfId="0" applyFont="1" applyFill="1" applyBorder="1" applyAlignment="1" applyProtection="1">
      <alignment horizontal="left" vertical="center" indent="1"/>
    </xf>
    <xf numFmtId="3" fontId="62" fillId="0" borderId="87" xfId="0" applyNumberFormat="1" applyFont="1" applyFill="1" applyBorder="1" applyAlignment="1" applyProtection="1">
      <alignment horizontal="right" vertical="center"/>
      <protection locked="0"/>
    </xf>
    <xf numFmtId="3" fontId="62" fillId="0" borderId="121" xfId="0" applyNumberFormat="1" applyFont="1" applyFill="1" applyBorder="1" applyAlignment="1" applyProtection="1">
      <alignment horizontal="right" vertical="center"/>
      <protection locked="0"/>
    </xf>
    <xf numFmtId="3" fontId="0" fillId="0" borderId="128" xfId="0" applyNumberFormat="1" applyFill="1" applyBorder="1" applyAlignment="1" applyProtection="1">
      <alignment horizontal="right" vertical="center"/>
      <protection locked="0"/>
    </xf>
    <xf numFmtId="3" fontId="0" fillId="0" borderId="159" xfId="0" applyNumberFormat="1" applyFill="1" applyBorder="1" applyAlignment="1" applyProtection="1">
      <alignment horizontal="right" vertical="center"/>
      <protection locked="0"/>
    </xf>
    <xf numFmtId="0" fontId="16" fillId="8" borderId="7" xfId="0" applyFont="1" applyFill="1" applyBorder="1" applyAlignment="1" applyProtection="1">
      <alignment vertical="center"/>
    </xf>
    <xf numFmtId="3" fontId="16" fillId="0" borderId="160" xfId="0" applyNumberFormat="1" applyFont="1" applyFill="1" applyBorder="1" applyAlignment="1" applyProtection="1">
      <alignment horizontal="right" vertical="center"/>
      <protection locked="0"/>
    </xf>
    <xf numFmtId="0" fontId="62" fillId="8" borderId="7" xfId="0" applyFont="1" applyFill="1" applyBorder="1" applyAlignment="1" applyProtection="1">
      <alignment horizontal="left" vertical="center" indent="1"/>
    </xf>
    <xf numFmtId="3" fontId="62" fillId="0" borderId="131" xfId="0" applyNumberFormat="1" applyFont="1" applyFill="1" applyBorder="1" applyAlignment="1" applyProtection="1">
      <alignment horizontal="right" vertical="center"/>
      <protection locked="0"/>
    </xf>
    <xf numFmtId="3" fontId="0" fillId="0" borderId="62" xfId="0" applyNumberFormat="1" applyFill="1" applyBorder="1" applyAlignment="1" applyProtection="1">
      <alignment horizontal="right" vertical="center"/>
      <protection locked="0"/>
    </xf>
    <xf numFmtId="0" fontId="16" fillId="8" borderId="7" xfId="0" applyFont="1" applyFill="1" applyBorder="1" applyProtection="1"/>
    <xf numFmtId="3" fontId="16" fillId="0" borderId="2" xfId="0" applyNumberFormat="1" applyFont="1" applyFill="1" applyBorder="1" applyAlignment="1" applyProtection="1">
      <alignment horizontal="right" vertical="center"/>
      <protection locked="0"/>
    </xf>
    <xf numFmtId="0" fontId="0" fillId="8" borderId="0" xfId="0" applyFill="1" applyAlignment="1" applyProtection="1">
      <alignment vertical="center"/>
    </xf>
    <xf numFmtId="0" fontId="4" fillId="0" borderId="0" xfId="0" applyFont="1" applyProtection="1"/>
    <xf numFmtId="3" fontId="15" fillId="0" borderId="0" xfId="0" applyNumberFormat="1" applyFont="1" applyFill="1" applyBorder="1" applyAlignment="1" applyProtection="1">
      <alignment horizontal="right" vertical="center"/>
      <protection locked="0"/>
    </xf>
    <xf numFmtId="3" fontId="53" fillId="0" borderId="13" xfId="0" applyNumberFormat="1" applyFont="1" applyFill="1" applyBorder="1" applyAlignment="1" applyProtection="1">
      <alignment horizontal="right" vertical="center"/>
      <protection locked="0"/>
    </xf>
    <xf numFmtId="0" fontId="16" fillId="8" borderId="28" xfId="0" applyFont="1" applyFill="1" applyBorder="1" applyAlignment="1" applyProtection="1">
      <alignment vertical="center"/>
    </xf>
    <xf numFmtId="0" fontId="16" fillId="9" borderId="28" xfId="0" applyFont="1" applyFill="1" applyBorder="1" applyAlignment="1" applyProtection="1">
      <alignment horizontal="left" vertical="center"/>
    </xf>
    <xf numFmtId="0" fontId="51" fillId="9" borderId="0" xfId="0" applyFont="1" applyFill="1" applyAlignment="1" applyProtection="1">
      <alignment horizontal="left" vertical="center"/>
    </xf>
    <xf numFmtId="0" fontId="0" fillId="9" borderId="0" xfId="0" applyFill="1" applyAlignment="1" applyProtection="1">
      <alignment vertical="center"/>
    </xf>
    <xf numFmtId="0" fontId="15" fillId="9" borderId="25" xfId="0" applyFont="1" applyFill="1" applyBorder="1" applyAlignment="1" applyProtection="1">
      <alignment horizontal="left" indent="1"/>
    </xf>
    <xf numFmtId="0" fontId="62" fillId="9" borderId="19" xfId="0" applyFont="1" applyFill="1" applyBorder="1" applyAlignment="1" applyProtection="1">
      <alignment horizontal="left" indent="1"/>
    </xf>
    <xf numFmtId="0" fontId="59" fillId="9" borderId="7" xfId="0" applyFont="1" applyFill="1" applyBorder="1" applyAlignment="1" applyProtection="1">
      <alignment horizontal="left" vertical="top" wrapText="1"/>
    </xf>
    <xf numFmtId="0" fontId="40" fillId="9" borderId="7" xfId="0" applyFont="1" applyFill="1" applyBorder="1" applyAlignment="1" applyProtection="1">
      <alignment horizontal="left" wrapText="1"/>
    </xf>
    <xf numFmtId="0" fontId="64" fillId="9" borderId="26" xfId="0" applyFont="1" applyFill="1" applyBorder="1" applyAlignment="1" applyProtection="1">
      <alignment horizontal="centerContinuous" vertical="center" wrapText="1"/>
    </xf>
    <xf numFmtId="0" fontId="15" fillId="0" borderId="0" xfId="4" applyAlignment="1" applyProtection="1">
      <alignment wrapText="1"/>
    </xf>
    <xf numFmtId="0" fontId="49" fillId="8" borderId="0" xfId="4" applyFont="1" applyFill="1" applyAlignment="1" applyProtection="1">
      <alignment horizontal="centerContinuous" vertical="center"/>
    </xf>
    <xf numFmtId="0" fontId="15" fillId="8" borderId="0" xfId="4" applyFill="1" applyAlignment="1" applyProtection="1">
      <alignment horizontal="centerContinuous" vertical="center"/>
    </xf>
    <xf numFmtId="0" fontId="50" fillId="8" borderId="0" xfId="4" applyFont="1" applyFill="1" applyAlignment="1" applyProtection="1"/>
    <xf numFmtId="0" fontId="51" fillId="8" borderId="0" xfId="4" applyFont="1" applyFill="1" applyAlignment="1" applyProtection="1"/>
    <xf numFmtId="0" fontId="16" fillId="8" borderId="0" xfId="4" applyFont="1" applyFill="1" applyAlignment="1" applyProtection="1">
      <alignment horizontal="right"/>
    </xf>
    <xf numFmtId="0" fontId="15" fillId="0" borderId="0" xfId="4" applyFill="1" applyProtection="1">
      <protection locked="0"/>
    </xf>
    <xf numFmtId="0" fontId="16" fillId="8" borderId="0" xfId="4" applyFont="1" applyFill="1" applyProtection="1"/>
    <xf numFmtId="0" fontId="59" fillId="8" borderId="12" xfId="4" applyFont="1" applyFill="1" applyBorder="1" applyAlignment="1" applyProtection="1"/>
    <xf numFmtId="0" fontId="59" fillId="8" borderId="16" xfId="4" applyFont="1" applyFill="1" applyBorder="1" applyAlignment="1" applyProtection="1"/>
    <xf numFmtId="0" fontId="16" fillId="8" borderId="5" xfId="4" applyFont="1" applyFill="1" applyBorder="1" applyAlignment="1" applyProtection="1">
      <alignment horizontal="centerContinuous" vertical="center"/>
    </xf>
    <xf numFmtId="0" fontId="16" fillId="8" borderId="6" xfId="4" applyFont="1" applyFill="1" applyBorder="1" applyAlignment="1" applyProtection="1">
      <alignment horizontal="centerContinuous" vertical="center"/>
    </xf>
    <xf numFmtId="0" fontId="59" fillId="8" borderId="17" xfId="4" applyFont="1" applyFill="1" applyBorder="1" applyAlignment="1" applyProtection="1">
      <alignment horizontal="left" vertical="center" wrapText="1"/>
    </xf>
    <xf numFmtId="0" fontId="59" fillId="8" borderId="19" xfId="4" applyFont="1" applyFill="1" applyBorder="1" applyAlignment="1" applyProtection="1">
      <alignment horizontal="left" vertical="center"/>
    </xf>
    <xf numFmtId="0" fontId="62" fillId="8" borderId="5" xfId="4" applyFont="1" applyFill="1" applyBorder="1" applyAlignment="1" applyProtection="1">
      <alignment horizontal="center" vertical="center" wrapText="1"/>
    </xf>
    <xf numFmtId="0" fontId="59" fillId="8" borderId="40" xfId="4" applyFont="1" applyFill="1" applyBorder="1" applyAlignment="1" applyProtection="1">
      <alignment horizontal="left" vertical="center" wrapText="1"/>
    </xf>
    <xf numFmtId="0" fontId="16" fillId="8" borderId="33" xfId="4" applyFont="1" applyFill="1" applyBorder="1" applyAlignment="1" applyProtection="1">
      <alignment horizontal="left" vertical="center"/>
    </xf>
    <xf numFmtId="0" fontId="15" fillId="0" borderId="105" xfId="4" applyFill="1" applyBorder="1" applyProtection="1">
      <protection locked="0"/>
    </xf>
    <xf numFmtId="0" fontId="15" fillId="0" borderId="106" xfId="4" applyFill="1" applyBorder="1" applyProtection="1">
      <protection locked="0"/>
    </xf>
    <xf numFmtId="0" fontId="16" fillId="8" borderId="21" xfId="4" applyFont="1" applyFill="1" applyBorder="1" applyAlignment="1" applyProtection="1">
      <alignment horizontal="left"/>
    </xf>
    <xf numFmtId="0" fontId="16" fillId="8" borderId="35" xfId="4" applyFont="1" applyFill="1" applyBorder="1" applyProtection="1"/>
    <xf numFmtId="0" fontId="15" fillId="0" borderId="72" xfId="4" applyFill="1" applyBorder="1" applyProtection="1">
      <protection locked="0"/>
    </xf>
    <xf numFmtId="0" fontId="15" fillId="0" borderId="73" xfId="4" applyFill="1" applyBorder="1" applyProtection="1">
      <protection locked="0"/>
    </xf>
    <xf numFmtId="0" fontId="15" fillId="0" borderId="71" xfId="4" applyFill="1" applyBorder="1" applyProtection="1">
      <protection locked="0"/>
    </xf>
    <xf numFmtId="0" fontId="16" fillId="8" borderId="43" xfId="4" applyFont="1" applyFill="1" applyBorder="1" applyAlignment="1" applyProtection="1">
      <alignment horizontal="left"/>
    </xf>
    <xf numFmtId="0" fontId="16" fillId="8" borderId="44" xfId="4" applyFont="1" applyFill="1" applyBorder="1" applyProtection="1"/>
    <xf numFmtId="0" fontId="16" fillId="0" borderId="161" xfId="4" applyFont="1" applyFill="1" applyBorder="1" applyProtection="1">
      <protection locked="0"/>
    </xf>
    <xf numFmtId="0" fontId="16" fillId="0" borderId="162" xfId="4" applyFont="1" applyFill="1" applyBorder="1" applyProtection="1">
      <protection locked="0"/>
    </xf>
    <xf numFmtId="0" fontId="16" fillId="0" borderId="163" xfId="4" applyFont="1" applyFill="1" applyBorder="1" applyProtection="1">
      <protection locked="0"/>
    </xf>
    <xf numFmtId="0" fontId="20" fillId="8" borderId="13" xfId="4" applyFont="1" applyFill="1" applyBorder="1" applyAlignment="1" applyProtection="1">
      <alignment horizontal="left" indent="1"/>
    </xf>
    <xf numFmtId="0" fontId="20" fillId="8" borderId="0" xfId="4" applyFont="1" applyFill="1" applyBorder="1" applyAlignment="1" applyProtection="1">
      <alignment horizontal="left"/>
    </xf>
    <xf numFmtId="0" fontId="20" fillId="0" borderId="83" xfId="4" applyFont="1" applyFill="1" applyBorder="1" applyProtection="1">
      <protection locked="0"/>
    </xf>
    <xf numFmtId="0" fontId="20" fillId="0" borderId="107" xfId="4" applyFont="1" applyFill="1" applyBorder="1" applyProtection="1">
      <protection locked="0"/>
    </xf>
    <xf numFmtId="0" fontId="20" fillId="0" borderId="108" xfId="4" applyFont="1" applyFill="1" applyBorder="1" applyProtection="1">
      <protection locked="0"/>
    </xf>
    <xf numFmtId="0" fontId="20" fillId="8" borderId="0" xfId="4" applyFont="1" applyFill="1" applyProtection="1"/>
    <xf numFmtId="0" fontId="20" fillId="0" borderId="0" xfId="4" applyFont="1" applyProtection="1"/>
    <xf numFmtId="0" fontId="15" fillId="8" borderId="13" xfId="4" applyFont="1" applyFill="1" applyBorder="1" applyAlignment="1" applyProtection="1">
      <alignment horizontal="left" indent="1"/>
    </xf>
    <xf numFmtId="0" fontId="15" fillId="8" borderId="0" xfId="4" applyFont="1" applyFill="1" applyBorder="1" applyAlignment="1" applyProtection="1">
      <alignment horizontal="left" indent="1"/>
    </xf>
    <xf numFmtId="0" fontId="15" fillId="0" borderId="54" xfId="4" applyFill="1" applyBorder="1" applyProtection="1">
      <protection locked="0"/>
    </xf>
    <xf numFmtId="0" fontId="15" fillId="0" borderId="67" xfId="4" applyFill="1" applyBorder="1" applyProtection="1">
      <protection locked="0"/>
    </xf>
    <xf numFmtId="0" fontId="15" fillId="0" borderId="68" xfId="4" applyFill="1" applyBorder="1" applyProtection="1">
      <protection locked="0"/>
    </xf>
    <xf numFmtId="0" fontId="15" fillId="0" borderId="92" xfId="4" applyFill="1" applyBorder="1" applyProtection="1">
      <protection locked="0"/>
    </xf>
    <xf numFmtId="0" fontId="15" fillId="0" borderId="101" xfId="4" applyFill="1" applyBorder="1" applyProtection="1">
      <protection locked="0"/>
    </xf>
    <xf numFmtId="0" fontId="15" fillId="0" borderId="102" xfId="4" applyFill="1" applyBorder="1" applyProtection="1">
      <protection locked="0"/>
    </xf>
    <xf numFmtId="0" fontId="62" fillId="8" borderId="112" xfId="4" applyFont="1" applyFill="1" applyBorder="1" applyAlignment="1" applyProtection="1">
      <alignment horizontal="left" indent="1"/>
    </xf>
    <xf numFmtId="0" fontId="62" fillId="0" borderId="109" xfId="4" applyFont="1" applyFill="1" applyBorder="1" applyProtection="1">
      <protection locked="0"/>
    </xf>
    <xf numFmtId="0" fontId="62" fillId="0" borderId="110" xfId="4" applyFont="1" applyFill="1" applyBorder="1" applyProtection="1">
      <protection locked="0"/>
    </xf>
    <xf numFmtId="0" fontId="62" fillId="0" borderId="111" xfId="4" applyFont="1" applyFill="1" applyBorder="1" applyProtection="1">
      <protection locked="0"/>
    </xf>
    <xf numFmtId="0" fontId="20" fillId="8" borderId="0" xfId="4" applyFont="1" applyFill="1" applyBorder="1" applyProtection="1"/>
    <xf numFmtId="0" fontId="62" fillId="8" borderId="45" xfId="4" applyFont="1" applyFill="1" applyBorder="1" applyAlignment="1" applyProtection="1">
      <alignment horizontal="left" indent="1"/>
    </xf>
    <xf numFmtId="0" fontId="15" fillId="0" borderId="109" xfId="4" applyFill="1" applyBorder="1" applyProtection="1">
      <protection locked="0"/>
    </xf>
    <xf numFmtId="0" fontId="15" fillId="0" borderId="110" xfId="4" applyFill="1" applyBorder="1" applyProtection="1">
      <protection locked="0"/>
    </xf>
    <xf numFmtId="0" fontId="15" fillId="0" borderId="111" xfId="4" applyFill="1" applyBorder="1" applyProtection="1">
      <protection locked="0"/>
    </xf>
    <xf numFmtId="0" fontId="20" fillId="0" borderId="58" xfId="4" applyFont="1" applyFill="1" applyBorder="1" applyProtection="1">
      <protection locked="0"/>
    </xf>
    <xf numFmtId="0" fontId="20" fillId="0" borderId="70" xfId="4" applyFont="1" applyFill="1" applyBorder="1" applyProtection="1">
      <protection locked="0"/>
    </xf>
    <xf numFmtId="0" fontId="20" fillId="0" borderId="164" xfId="4" applyFont="1" applyFill="1" applyBorder="1" applyProtection="1">
      <protection locked="0"/>
    </xf>
    <xf numFmtId="0" fontId="15" fillId="8" borderId="21" xfId="4" applyFont="1" applyFill="1" applyBorder="1" applyAlignment="1" applyProtection="1">
      <alignment horizontal="left" indent="1"/>
    </xf>
    <xf numFmtId="0" fontId="62" fillId="8" borderId="44" xfId="4" applyFont="1" applyFill="1" applyBorder="1" applyProtection="1"/>
    <xf numFmtId="0" fontId="62" fillId="0" borderId="161" xfId="4" applyFont="1" applyFill="1" applyBorder="1" applyProtection="1">
      <protection locked="0"/>
    </xf>
    <xf numFmtId="0" fontId="62" fillId="0" borderId="162" xfId="4" applyFont="1" applyFill="1" applyBorder="1" applyProtection="1">
      <protection locked="0"/>
    </xf>
    <xf numFmtId="0" fontId="62" fillId="0" borderId="163" xfId="4" applyFont="1" applyFill="1" applyBorder="1" applyProtection="1">
      <protection locked="0"/>
    </xf>
    <xf numFmtId="0" fontId="16" fillId="8" borderId="21" xfId="4" applyFont="1" applyFill="1" applyBorder="1" applyAlignment="1" applyProtection="1">
      <alignment horizontal="left" indent="1"/>
    </xf>
    <xf numFmtId="0" fontId="16" fillId="8" borderId="45" xfId="4" applyFont="1" applyFill="1" applyBorder="1" applyProtection="1"/>
    <xf numFmtId="0" fontId="16" fillId="0" borderId="72" xfId="4" applyFont="1" applyFill="1" applyBorder="1" applyProtection="1">
      <protection locked="0"/>
    </xf>
    <xf numFmtId="0" fontId="16" fillId="0" borderId="73" xfId="4" applyFont="1" applyFill="1" applyBorder="1" applyProtection="1">
      <protection locked="0"/>
    </xf>
    <xf numFmtId="0" fontId="16" fillId="0" borderId="71" xfId="4" applyFont="1" applyFill="1" applyBorder="1" applyProtection="1">
      <protection locked="0"/>
    </xf>
    <xf numFmtId="0" fontId="16" fillId="0" borderId="0" xfId="4" applyFont="1" applyProtection="1"/>
    <xf numFmtId="0" fontId="15" fillId="8" borderId="10" xfId="4" applyFont="1" applyFill="1" applyBorder="1" applyAlignment="1" applyProtection="1">
      <alignment horizontal="left" indent="1"/>
    </xf>
    <xf numFmtId="0" fontId="61" fillId="8" borderId="11" xfId="4" applyFont="1" applyFill="1" applyBorder="1" applyProtection="1"/>
    <xf numFmtId="0" fontId="61" fillId="0" borderId="61" xfId="4" applyFont="1" applyFill="1" applyBorder="1" applyProtection="1">
      <protection locked="0"/>
    </xf>
    <xf numFmtId="0" fontId="61" fillId="0" borderId="104" xfId="4" applyFont="1" applyFill="1" applyBorder="1" applyProtection="1">
      <protection locked="0"/>
    </xf>
    <xf numFmtId="0" fontId="17" fillId="8" borderId="0" xfId="4" applyFont="1" applyFill="1" applyProtection="1"/>
    <xf numFmtId="0" fontId="15" fillId="6" borderId="62" xfId="4" applyFill="1" applyBorder="1" applyAlignment="1" applyProtection="1">
      <alignment horizontal="left"/>
      <protection locked="0"/>
    </xf>
    <xf numFmtId="0" fontId="15" fillId="6" borderId="62" xfId="4" applyFill="1" applyBorder="1" applyProtection="1">
      <protection locked="0"/>
    </xf>
    <xf numFmtId="0" fontId="15" fillId="6" borderId="56" xfId="4" applyFill="1" applyBorder="1" applyAlignment="1" applyProtection="1">
      <alignment horizontal="left"/>
      <protection locked="0"/>
    </xf>
    <xf numFmtId="0" fontId="15" fillId="6" borderId="56" xfId="4" applyFill="1" applyBorder="1" applyProtection="1">
      <protection locked="0"/>
    </xf>
    <xf numFmtId="0" fontId="15" fillId="8" borderId="0" xfId="4" applyFont="1" applyFill="1" applyProtection="1"/>
    <xf numFmtId="0" fontId="15" fillId="6" borderId="149" xfId="4" applyFill="1" applyBorder="1" applyProtection="1">
      <protection locked="0"/>
    </xf>
    <xf numFmtId="0" fontId="15" fillId="6" borderId="150" xfId="4" applyFill="1" applyBorder="1" applyProtection="1">
      <protection locked="0"/>
    </xf>
    <xf numFmtId="0" fontId="62" fillId="0" borderId="0" xfId="4" applyFont="1" applyAlignment="1" applyProtection="1">
      <alignment wrapText="1"/>
    </xf>
    <xf numFmtId="0" fontId="71" fillId="8" borderId="0" xfId="4" applyFont="1" applyFill="1" applyAlignment="1" applyProtection="1">
      <alignment horizontal="centerContinuous" vertical="center"/>
    </xf>
    <xf numFmtId="0" fontId="62" fillId="8" borderId="0" xfId="4" applyFont="1" applyFill="1" applyAlignment="1" applyProtection="1">
      <alignment horizontal="centerContinuous" vertical="center"/>
    </xf>
    <xf numFmtId="0" fontId="62" fillId="0" borderId="0" xfId="4" applyFont="1" applyFill="1" applyProtection="1"/>
    <xf numFmtId="0" fontId="62" fillId="8" borderId="0" xfId="4" applyFont="1" applyFill="1" applyProtection="1"/>
    <xf numFmtId="1" fontId="15" fillId="0" borderId="0" xfId="4" applyNumberFormat="1" applyFill="1" applyProtection="1">
      <protection locked="0"/>
    </xf>
    <xf numFmtId="0" fontId="15" fillId="8" borderId="3" xfId="4" applyFill="1" applyBorder="1" applyProtection="1"/>
    <xf numFmtId="0" fontId="16" fillId="8" borderId="4" xfId="4" applyFont="1" applyFill="1" applyBorder="1" applyAlignment="1" applyProtection="1">
      <alignment horizontal="centerContinuous" vertical="center"/>
    </xf>
    <xf numFmtId="0" fontId="61" fillId="8" borderId="4" xfId="4" applyFont="1" applyFill="1" applyBorder="1" applyAlignment="1" applyProtection="1">
      <alignment horizontal="centerContinuous" vertical="center"/>
    </xf>
    <xf numFmtId="0" fontId="61" fillId="8" borderId="5" xfId="4" applyFont="1" applyFill="1" applyBorder="1" applyAlignment="1" applyProtection="1">
      <alignment horizontal="centerContinuous" vertical="center"/>
    </xf>
    <xf numFmtId="0" fontId="15" fillId="8" borderId="8" xfId="4" applyFill="1" applyBorder="1" applyProtection="1"/>
    <xf numFmtId="0" fontId="16" fillId="8" borderId="17" xfId="4" applyFont="1" applyFill="1" applyBorder="1" applyAlignment="1" applyProtection="1">
      <alignment horizontal="centerContinuous" vertical="center"/>
    </xf>
    <xf numFmtId="0" fontId="16" fillId="8" borderId="2" xfId="4" applyFont="1" applyFill="1" applyBorder="1" applyAlignment="1" applyProtection="1">
      <alignment horizontal="centerContinuous" vertical="center"/>
    </xf>
    <xf numFmtId="0" fontId="61" fillId="8" borderId="17" xfId="4" applyFont="1" applyFill="1" applyBorder="1" applyAlignment="1" applyProtection="1">
      <alignment horizontal="centerContinuous" vertical="center"/>
    </xf>
    <xf numFmtId="0" fontId="61" fillId="8" borderId="2" xfId="4" applyFont="1" applyFill="1" applyBorder="1" applyAlignment="1" applyProtection="1">
      <alignment horizontal="centerContinuous" vertical="center"/>
    </xf>
    <xf numFmtId="0" fontId="59" fillId="8" borderId="7" xfId="4" applyFont="1" applyFill="1" applyBorder="1" applyAlignment="1" applyProtection="1">
      <alignment horizontal="left"/>
    </xf>
    <xf numFmtId="0" fontId="58" fillId="8" borderId="26" xfId="4" applyFont="1" applyFill="1" applyBorder="1" applyAlignment="1" applyProtection="1">
      <alignment horizontal="center" vertical="center" wrapText="1"/>
    </xf>
    <xf numFmtId="0" fontId="15" fillId="8" borderId="19" xfId="4" applyFont="1" applyFill="1" applyBorder="1" applyAlignment="1" applyProtection="1">
      <alignment horizontal="center" vertical="center" wrapText="1"/>
    </xf>
    <xf numFmtId="0" fontId="62" fillId="8" borderId="17" xfId="4" applyFont="1" applyFill="1" applyBorder="1" applyAlignment="1" applyProtection="1">
      <alignment horizontal="center" vertical="center" wrapText="1"/>
    </xf>
    <xf numFmtId="0" fontId="62" fillId="8" borderId="2" xfId="4" applyFont="1" applyFill="1" applyBorder="1" applyAlignment="1" applyProtection="1">
      <alignment horizontal="center" vertical="center" wrapText="1"/>
    </xf>
    <xf numFmtId="0" fontId="62" fillId="8" borderId="26" xfId="4" applyFont="1" applyFill="1" applyBorder="1" applyAlignment="1" applyProtection="1">
      <alignment horizontal="center" vertical="center" wrapText="1"/>
    </xf>
    <xf numFmtId="0" fontId="16" fillId="8" borderId="27" xfId="4" applyFont="1" applyFill="1" applyBorder="1" applyProtection="1"/>
    <xf numFmtId="3" fontId="15" fillId="0" borderId="27" xfId="4" applyNumberFormat="1" applyFill="1" applyBorder="1" applyAlignment="1" applyProtection="1">
      <alignment horizontal="right" vertical="center"/>
      <protection locked="0"/>
    </xf>
    <xf numFmtId="3" fontId="15" fillId="0" borderId="105" xfId="4" applyNumberFormat="1" applyFill="1" applyBorder="1" applyAlignment="1" applyProtection="1">
      <alignment horizontal="right" vertical="center"/>
      <protection locked="0"/>
    </xf>
    <xf numFmtId="3" fontId="15" fillId="0" borderId="81" xfId="4" applyNumberFormat="1" applyFill="1" applyBorder="1" applyAlignment="1" applyProtection="1">
      <alignment horizontal="right" vertical="center"/>
      <protection locked="0"/>
    </xf>
    <xf numFmtId="3" fontId="15" fillId="0" borderId="33" xfId="4" applyNumberFormat="1" applyFill="1" applyBorder="1" applyAlignment="1" applyProtection="1">
      <alignment horizontal="right" vertical="center"/>
      <protection locked="0"/>
    </xf>
    <xf numFmtId="3" fontId="15" fillId="0" borderId="147" xfId="4" applyNumberFormat="1" applyFill="1" applyBorder="1" applyAlignment="1" applyProtection="1">
      <alignment horizontal="right" vertical="center"/>
      <protection locked="0"/>
    </xf>
    <xf numFmtId="3" fontId="62" fillId="0" borderId="27" xfId="4" applyNumberFormat="1" applyFont="1" applyFill="1" applyBorder="1" applyAlignment="1" applyProtection="1">
      <alignment horizontal="right" vertical="center"/>
      <protection locked="0"/>
    </xf>
    <xf numFmtId="3" fontId="62" fillId="0" borderId="105" xfId="4" applyNumberFormat="1" applyFont="1" applyFill="1" applyBorder="1" applyAlignment="1" applyProtection="1">
      <alignment horizontal="right" vertical="center"/>
      <protection locked="0"/>
    </xf>
    <xf numFmtId="3" fontId="62" fillId="0" borderId="147" xfId="4" applyNumberFormat="1" applyFont="1" applyFill="1" applyBorder="1" applyAlignment="1" applyProtection="1">
      <alignment horizontal="right" vertical="center"/>
      <protection locked="0"/>
    </xf>
    <xf numFmtId="3" fontId="62" fillId="0" borderId="81" xfId="4" applyNumberFormat="1" applyFont="1" applyFill="1" applyBorder="1" applyAlignment="1" applyProtection="1">
      <alignment horizontal="right" vertical="center"/>
      <protection locked="0"/>
    </xf>
    <xf numFmtId="3" fontId="62" fillId="0" borderId="37" xfId="4" applyNumberFormat="1" applyFont="1" applyFill="1" applyBorder="1" applyAlignment="1" applyProtection="1">
      <alignment horizontal="right" vertical="center"/>
      <protection locked="0"/>
    </xf>
    <xf numFmtId="3" fontId="15" fillId="0" borderId="142" xfId="4" applyNumberFormat="1" applyFill="1" applyBorder="1" applyAlignment="1" applyProtection="1">
      <alignment horizontal="right" vertical="center"/>
      <protection locked="0"/>
    </xf>
    <xf numFmtId="3" fontId="15" fillId="0" borderId="141" xfId="4" applyNumberFormat="1" applyFill="1" applyBorder="1" applyAlignment="1" applyProtection="1">
      <alignment horizontal="right" vertical="center"/>
      <protection locked="0"/>
    </xf>
    <xf numFmtId="3" fontId="15" fillId="0" borderId="155" xfId="4" applyNumberFormat="1" applyFill="1" applyBorder="1" applyAlignment="1" applyProtection="1">
      <alignment horizontal="right" vertical="center"/>
      <protection locked="0"/>
    </xf>
    <xf numFmtId="3" fontId="15" fillId="0" borderId="144" xfId="4" applyNumberFormat="1" applyFill="1" applyBorder="1" applyAlignment="1" applyProtection="1">
      <alignment horizontal="right" vertical="center"/>
      <protection locked="0"/>
    </xf>
    <xf numFmtId="3" fontId="15" fillId="0" borderId="135" xfId="4" applyNumberFormat="1" applyFill="1" applyBorder="1" applyAlignment="1" applyProtection="1">
      <alignment horizontal="right" vertical="center"/>
      <protection locked="0"/>
    </xf>
    <xf numFmtId="3" fontId="62" fillId="0" borderId="142" xfId="4" applyNumberFormat="1" applyFont="1" applyFill="1" applyBorder="1" applyAlignment="1" applyProtection="1">
      <alignment horizontal="right" vertical="center"/>
      <protection locked="0"/>
    </xf>
    <xf numFmtId="3" fontId="62" fillId="0" borderId="141" xfId="4" applyNumberFormat="1" applyFont="1" applyFill="1" applyBorder="1" applyAlignment="1" applyProtection="1">
      <alignment horizontal="right" vertical="center"/>
      <protection locked="0"/>
    </xf>
    <xf numFmtId="3" fontId="62" fillId="0" borderId="135" xfId="4" applyNumberFormat="1" applyFont="1" applyFill="1" applyBorder="1" applyAlignment="1" applyProtection="1">
      <alignment horizontal="right" vertical="center"/>
      <protection locked="0"/>
    </xf>
    <xf numFmtId="3" fontId="62" fillId="0" borderId="155" xfId="4" applyNumberFormat="1" applyFont="1" applyFill="1" applyBorder="1" applyAlignment="1" applyProtection="1">
      <alignment horizontal="right" vertical="center"/>
      <protection locked="0"/>
    </xf>
    <xf numFmtId="3" fontId="62" fillId="0" borderId="143" xfId="4" applyNumberFormat="1" applyFont="1" applyFill="1" applyBorder="1" applyAlignment="1" applyProtection="1">
      <alignment horizontal="right" vertical="center"/>
      <protection locked="0"/>
    </xf>
    <xf numFmtId="3" fontId="62" fillId="0" borderId="144" xfId="4" applyNumberFormat="1" applyFont="1" applyFill="1" applyBorder="1" applyAlignment="1" applyProtection="1">
      <alignment horizontal="right" vertical="center"/>
      <protection locked="0"/>
    </xf>
    <xf numFmtId="0" fontId="62" fillId="8" borderId="19" xfId="4" applyFont="1" applyFill="1" applyBorder="1" applyAlignment="1" applyProtection="1">
      <alignment horizontal="left" indent="1"/>
    </xf>
    <xf numFmtId="0" fontId="16" fillId="8" borderId="27" xfId="4" applyFont="1" applyFill="1" applyBorder="1" applyAlignment="1" applyProtection="1">
      <alignment wrapText="1"/>
    </xf>
    <xf numFmtId="3" fontId="15" fillId="0" borderId="27" xfId="4" applyNumberFormat="1" applyFill="1" applyBorder="1" applyAlignment="1" applyProtection="1">
      <alignment horizontal="right"/>
      <protection locked="0"/>
    </xf>
    <xf numFmtId="3" fontId="15" fillId="0" borderId="105" xfId="4" applyNumberFormat="1" applyFill="1" applyBorder="1" applyAlignment="1" applyProtection="1">
      <alignment horizontal="right"/>
      <protection locked="0"/>
    </xf>
    <xf numFmtId="3" fontId="15" fillId="0" borderId="81" xfId="4" applyNumberFormat="1" applyFill="1" applyBorder="1" applyAlignment="1" applyProtection="1">
      <alignment horizontal="right"/>
      <protection locked="0"/>
    </xf>
    <xf numFmtId="3" fontId="15" fillId="0" borderId="33" xfId="4" applyNumberFormat="1" applyFill="1" applyBorder="1" applyAlignment="1" applyProtection="1">
      <alignment horizontal="right"/>
      <protection locked="0"/>
    </xf>
    <xf numFmtId="3" fontId="15" fillId="0" borderId="147" xfId="4" applyNumberFormat="1" applyFill="1" applyBorder="1" applyAlignment="1" applyProtection="1">
      <alignment horizontal="right"/>
      <protection locked="0"/>
    </xf>
    <xf numFmtId="3" fontId="62" fillId="0" borderId="27" xfId="4" applyNumberFormat="1" applyFont="1" applyFill="1" applyBorder="1" applyAlignment="1" applyProtection="1">
      <alignment horizontal="right"/>
      <protection locked="0"/>
    </xf>
    <xf numFmtId="3" fontId="62" fillId="0" borderId="105" xfId="4" applyNumberFormat="1" applyFont="1" applyFill="1" applyBorder="1" applyAlignment="1" applyProtection="1">
      <alignment horizontal="right"/>
      <protection locked="0"/>
    </xf>
    <xf numFmtId="3" fontId="62" fillId="0" borderId="147" xfId="4" applyNumberFormat="1" applyFont="1" applyFill="1" applyBorder="1" applyAlignment="1" applyProtection="1">
      <alignment horizontal="right"/>
      <protection locked="0"/>
    </xf>
    <xf numFmtId="3" fontId="62" fillId="0" borderId="81" xfId="4" applyNumberFormat="1" applyFont="1" applyFill="1" applyBorder="1" applyAlignment="1" applyProtection="1">
      <alignment horizontal="right"/>
      <protection locked="0"/>
    </xf>
    <xf numFmtId="3" fontId="62" fillId="0" borderId="37" xfId="4" applyNumberFormat="1" applyFont="1" applyFill="1" applyBorder="1" applyAlignment="1" applyProtection="1">
      <alignment horizontal="right"/>
      <protection locked="0"/>
    </xf>
    <xf numFmtId="3" fontId="62" fillId="0" borderId="33" xfId="4" applyNumberFormat="1" applyFont="1" applyFill="1" applyBorder="1" applyAlignment="1" applyProtection="1">
      <alignment horizontal="right"/>
      <protection locked="0"/>
    </xf>
    <xf numFmtId="0" fontId="15" fillId="8" borderId="13" xfId="4" applyFont="1" applyFill="1" applyBorder="1" applyAlignment="1" applyProtection="1">
      <alignment horizontal="left" indent="2"/>
    </xf>
    <xf numFmtId="3" fontId="15" fillId="0" borderId="138" xfId="4" applyNumberFormat="1" applyFill="1" applyBorder="1" applyAlignment="1" applyProtection="1">
      <alignment horizontal="right" vertical="center"/>
      <protection locked="0"/>
    </xf>
    <xf numFmtId="3" fontId="15" fillId="0" borderId="67" xfId="4" applyNumberFormat="1" applyFill="1" applyBorder="1" applyAlignment="1" applyProtection="1">
      <alignment horizontal="right" vertical="center"/>
      <protection locked="0"/>
    </xf>
    <xf numFmtId="3" fontId="15" fillId="0" borderId="55" xfId="4" applyNumberFormat="1" applyFill="1" applyBorder="1" applyAlignment="1" applyProtection="1">
      <alignment horizontal="right" vertical="center"/>
      <protection locked="0"/>
    </xf>
    <xf numFmtId="3" fontId="15" fillId="0" borderId="69" xfId="4" applyNumberFormat="1" applyFill="1" applyBorder="1" applyAlignment="1" applyProtection="1">
      <alignment horizontal="right" vertical="center"/>
      <protection locked="0"/>
    </xf>
    <xf numFmtId="3" fontId="15" fillId="0" borderId="125" xfId="4" applyNumberFormat="1" applyFill="1" applyBorder="1" applyAlignment="1" applyProtection="1">
      <alignment horizontal="right" vertical="center"/>
      <protection locked="0"/>
    </xf>
    <xf numFmtId="3" fontId="62" fillId="0" borderId="138" xfId="4" applyNumberFormat="1" applyFont="1" applyFill="1" applyBorder="1" applyAlignment="1" applyProtection="1">
      <alignment horizontal="right" vertical="center"/>
      <protection locked="0"/>
    </xf>
    <xf numFmtId="3" fontId="62" fillId="0" borderId="67" xfId="4" applyNumberFormat="1" applyFont="1" applyFill="1" applyBorder="1" applyAlignment="1" applyProtection="1">
      <alignment horizontal="right" vertical="center"/>
      <protection locked="0"/>
    </xf>
    <xf numFmtId="3" fontId="62" fillId="0" borderId="125" xfId="4" applyNumberFormat="1" applyFont="1" applyFill="1" applyBorder="1" applyAlignment="1" applyProtection="1">
      <alignment horizontal="right" vertical="center"/>
      <protection locked="0"/>
    </xf>
    <xf numFmtId="3" fontId="62" fillId="0" borderId="55" xfId="4" applyNumberFormat="1" applyFont="1" applyFill="1" applyBorder="1" applyAlignment="1" applyProtection="1">
      <alignment horizontal="right" vertical="center"/>
      <protection locked="0"/>
    </xf>
    <xf numFmtId="3" fontId="62" fillId="0" borderId="86" xfId="4" applyNumberFormat="1" applyFont="1" applyFill="1" applyBorder="1" applyAlignment="1" applyProtection="1">
      <alignment horizontal="right" vertical="center"/>
      <protection locked="0"/>
    </xf>
    <xf numFmtId="3" fontId="62" fillId="0" borderId="69" xfId="4" applyNumberFormat="1" applyFont="1" applyFill="1" applyBorder="1" applyAlignment="1" applyProtection="1">
      <alignment horizontal="right" vertical="center"/>
      <protection locked="0"/>
    </xf>
    <xf numFmtId="0" fontId="62" fillId="8" borderId="19" xfId="4" applyFont="1" applyFill="1" applyBorder="1" applyAlignment="1" applyProtection="1">
      <alignment horizontal="left" indent="2"/>
    </xf>
    <xf numFmtId="3" fontId="62" fillId="0" borderId="113" xfId="4" applyNumberFormat="1" applyFont="1" applyFill="1" applyBorder="1" applyAlignment="1" applyProtection="1">
      <alignment horizontal="right" vertical="center"/>
      <protection locked="0"/>
    </xf>
    <xf numFmtId="3" fontId="62" fillId="0" borderId="120" xfId="4" applyNumberFormat="1" applyFont="1" applyFill="1" applyBorder="1" applyAlignment="1" applyProtection="1">
      <alignment horizontal="right" vertical="center"/>
      <protection locked="0"/>
    </xf>
    <xf numFmtId="3" fontId="62" fillId="0" borderId="88" xfId="4" applyNumberFormat="1" applyFont="1" applyFill="1" applyBorder="1" applyAlignment="1" applyProtection="1">
      <alignment horizontal="right" vertical="center"/>
      <protection locked="0"/>
    </xf>
    <xf numFmtId="3" fontId="62" fillId="0" borderId="90" xfId="4" applyNumberFormat="1" applyFont="1" applyFill="1" applyBorder="1" applyAlignment="1" applyProtection="1">
      <alignment horizontal="right" vertical="center"/>
      <protection locked="0"/>
    </xf>
    <xf numFmtId="3" fontId="62" fillId="0" borderId="130" xfId="4" applyNumberFormat="1" applyFont="1" applyFill="1" applyBorder="1" applyAlignment="1" applyProtection="1">
      <alignment horizontal="right" vertical="center"/>
      <protection locked="0"/>
    </xf>
    <xf numFmtId="3" fontId="62" fillId="0" borderId="89" xfId="4" applyNumberFormat="1" applyFont="1" applyFill="1" applyBorder="1" applyAlignment="1" applyProtection="1">
      <alignment horizontal="right" vertical="center"/>
      <protection locked="0"/>
    </xf>
    <xf numFmtId="0" fontId="61" fillId="8" borderId="27" xfId="4" applyFont="1" applyFill="1" applyBorder="1" applyAlignment="1" applyProtection="1">
      <alignment wrapText="1"/>
    </xf>
    <xf numFmtId="0" fontId="62" fillId="8" borderId="13" xfId="4" applyFont="1" applyFill="1" applyBorder="1" applyAlignment="1" applyProtection="1">
      <alignment horizontal="left" indent="2"/>
    </xf>
    <xf numFmtId="0" fontId="62" fillId="6" borderId="62" xfId="4" applyFont="1" applyFill="1" applyBorder="1" applyProtection="1">
      <protection locked="0"/>
    </xf>
    <xf numFmtId="0" fontId="62" fillId="6" borderId="56" xfId="4" applyFont="1" applyFill="1" applyBorder="1" applyProtection="1">
      <protection locked="0"/>
    </xf>
    <xf numFmtId="0" fontId="62" fillId="0" borderId="0" xfId="4" applyFont="1" applyProtection="1"/>
    <xf numFmtId="0" fontId="15" fillId="0" borderId="0" xfId="4" applyAlignment="1" applyProtection="1">
      <alignment vertical="center"/>
    </xf>
    <xf numFmtId="1" fontId="9" fillId="0" borderId="0" xfId="2" applyNumberFormat="1" applyFont="1" applyAlignment="1" applyProtection="1"/>
    <xf numFmtId="0" fontId="61" fillId="8" borderId="4" xfId="0" applyFont="1" applyFill="1" applyBorder="1" applyAlignment="1" applyProtection="1">
      <alignment horizontal="centerContinuous" vertical="center" wrapText="1"/>
    </xf>
    <xf numFmtId="0" fontId="62" fillId="8" borderId="6" xfId="0" applyFont="1" applyFill="1" applyBorder="1" applyAlignment="1" applyProtection="1">
      <alignment horizontal="center" vertical="center" wrapText="1"/>
    </xf>
    <xf numFmtId="3" fontId="62" fillId="0" borderId="54" xfId="0" applyNumberFormat="1" applyFont="1" applyFill="1" applyBorder="1" applyAlignment="1" applyProtection="1">
      <alignment horizontal="right" vertical="center"/>
      <protection locked="0"/>
    </xf>
    <xf numFmtId="3" fontId="62" fillId="0" borderId="92" xfId="0" applyNumberFormat="1" applyFont="1" applyFill="1" applyBorder="1" applyAlignment="1" applyProtection="1">
      <alignment horizontal="right" vertical="center"/>
      <protection locked="0"/>
    </xf>
    <xf numFmtId="3" fontId="62" fillId="0" borderId="101" xfId="0" applyNumberFormat="1" applyFont="1" applyFill="1" applyBorder="1" applyAlignment="1" applyProtection="1">
      <alignment horizontal="right" vertical="center"/>
      <protection locked="0"/>
    </xf>
    <xf numFmtId="3" fontId="61" fillId="0" borderId="76" xfId="0" applyNumberFormat="1" applyFont="1" applyFill="1" applyBorder="1" applyAlignment="1" applyProtection="1">
      <alignment horizontal="right" vertical="center"/>
      <protection locked="0"/>
    </xf>
    <xf numFmtId="3" fontId="61" fillId="0" borderId="77" xfId="0" applyNumberFormat="1" applyFont="1" applyFill="1" applyBorder="1" applyAlignment="1" applyProtection="1">
      <alignment horizontal="right" vertical="center"/>
      <protection locked="0"/>
    </xf>
    <xf numFmtId="0" fontId="15" fillId="8" borderId="0" xfId="4" applyFill="1" applyAlignment="1" applyProtection="1">
      <alignment horizontal="right"/>
    </xf>
    <xf numFmtId="0" fontId="15" fillId="8" borderId="13" xfId="4" applyFont="1" applyFill="1" applyBorder="1" applyAlignment="1" applyProtection="1">
      <alignment horizontal="left" wrapText="1"/>
    </xf>
    <xf numFmtId="0" fontId="62" fillId="8" borderId="21" xfId="4" applyFont="1" applyFill="1" applyBorder="1" applyAlignment="1" applyProtection="1">
      <alignment horizontal="left" indent="1"/>
    </xf>
    <xf numFmtId="0" fontId="16" fillId="8" borderId="13" xfId="4" applyFont="1" applyFill="1" applyBorder="1" applyAlignment="1" applyProtection="1">
      <alignment horizontal="left"/>
    </xf>
    <xf numFmtId="3" fontId="15" fillId="15" borderId="46" xfId="4" applyNumberFormat="1" applyFill="1" applyBorder="1" applyAlignment="1" applyProtection="1">
      <alignment horizontal="right" vertical="center"/>
    </xf>
    <xf numFmtId="0" fontId="22" fillId="8" borderId="13" xfId="4" applyFont="1" applyFill="1" applyBorder="1" applyAlignment="1" applyProtection="1">
      <alignment horizontal="left" vertical="top"/>
    </xf>
    <xf numFmtId="3" fontId="15" fillId="15" borderId="62" xfId="4" applyNumberFormat="1" applyFill="1" applyBorder="1" applyAlignment="1" applyProtection="1">
      <alignment horizontal="right" vertical="center"/>
    </xf>
    <xf numFmtId="0" fontId="15" fillId="8" borderId="13" xfId="4" applyFont="1" applyFill="1" applyBorder="1" applyAlignment="1" applyProtection="1">
      <alignment horizontal="left" wrapText="1" indent="1"/>
    </xf>
    <xf numFmtId="0" fontId="62" fillId="8" borderId="17" xfId="4" applyFont="1" applyFill="1" applyBorder="1" applyAlignment="1" applyProtection="1">
      <alignment horizontal="left" indent="2"/>
    </xf>
    <xf numFmtId="3" fontId="58" fillId="15" borderId="46" xfId="4" applyNumberFormat="1" applyFont="1" applyFill="1" applyBorder="1" applyAlignment="1" applyProtection="1">
      <alignment horizontal="right" vertical="center"/>
    </xf>
    <xf numFmtId="3" fontId="58" fillId="15" borderId="62" xfId="4" applyNumberFormat="1" applyFont="1" applyFill="1" applyBorder="1" applyAlignment="1" applyProtection="1">
      <alignment horizontal="right" vertical="center"/>
    </xf>
    <xf numFmtId="0" fontId="4" fillId="0" borderId="0" xfId="4" applyFont="1" applyProtection="1"/>
    <xf numFmtId="0" fontId="58" fillId="9" borderId="5" xfId="0" applyFont="1" applyFill="1" applyBorder="1" applyAlignment="1" applyProtection="1">
      <alignment horizontal="centerContinuous" vertical="center" wrapText="1"/>
    </xf>
    <xf numFmtId="0" fontId="15" fillId="14" borderId="0" xfId="4" applyFill="1" applyProtection="1"/>
    <xf numFmtId="0" fontId="15" fillId="0" borderId="149" xfId="4" applyFill="1" applyBorder="1" applyProtection="1">
      <protection locked="0"/>
    </xf>
    <xf numFmtId="0" fontId="15" fillId="14" borderId="0" xfId="4" applyFont="1" applyFill="1" applyProtection="1"/>
    <xf numFmtId="0" fontId="17" fillId="14" borderId="0" xfId="4" applyFont="1" applyFill="1" applyProtection="1"/>
    <xf numFmtId="0" fontId="17" fillId="10" borderId="0" xfId="4" applyFont="1" applyFill="1" applyProtection="1"/>
    <xf numFmtId="0" fontId="16" fillId="10" borderId="13" xfId="4" applyFont="1" applyFill="1" applyBorder="1" applyProtection="1"/>
    <xf numFmtId="0" fontId="16" fillId="10" borderId="0" xfId="4" applyFont="1" applyFill="1" applyProtection="1"/>
    <xf numFmtId="0" fontId="16" fillId="10" borderId="0" xfId="4" applyFont="1" applyFill="1" applyAlignment="1" applyProtection="1">
      <alignment horizontal="right"/>
    </xf>
    <xf numFmtId="0" fontId="51" fillId="10" borderId="0" xfId="4" applyFont="1" applyFill="1" applyAlignment="1" applyProtection="1"/>
    <xf numFmtId="0" fontId="50" fillId="10" borderId="0" xfId="4" applyFont="1" applyFill="1" applyAlignment="1" applyProtection="1"/>
    <xf numFmtId="0" fontId="49" fillId="10" borderId="0" xfId="4" applyFont="1" applyFill="1" applyAlignment="1" applyProtection="1">
      <alignment horizontal="centerContinuous" vertical="center"/>
    </xf>
    <xf numFmtId="0" fontId="16" fillId="10" borderId="5" xfId="4" applyFont="1" applyFill="1" applyBorder="1" applyAlignment="1" applyProtection="1">
      <alignment horizontal="centerContinuous" vertical="center"/>
    </xf>
    <xf numFmtId="0" fontId="15" fillId="10" borderId="0" xfId="4" applyFont="1" applyFill="1" applyAlignment="1" applyProtection="1">
      <alignment vertical="center"/>
    </xf>
    <xf numFmtId="0" fontId="15" fillId="0" borderId="0" xfId="4" applyFont="1" applyAlignment="1" applyProtection="1">
      <alignment vertical="center"/>
    </xf>
    <xf numFmtId="0" fontId="15" fillId="10" borderId="0" xfId="4" applyFill="1" applyAlignment="1" applyProtection="1">
      <alignment vertical="center"/>
    </xf>
    <xf numFmtId="0" fontId="58" fillId="10" borderId="2" xfId="4" applyFont="1" applyFill="1" applyBorder="1" applyAlignment="1" applyProtection="1">
      <alignment horizontal="center" vertical="center" wrapText="1"/>
    </xf>
    <xf numFmtId="0" fontId="15" fillId="10" borderId="19" xfId="4" applyFill="1" applyBorder="1" applyAlignment="1" applyProtection="1">
      <alignment horizontal="center" vertical="center" wrapText="1"/>
    </xf>
    <xf numFmtId="0" fontId="16" fillId="10" borderId="12" xfId="4" applyFont="1" applyFill="1" applyBorder="1" applyProtection="1"/>
    <xf numFmtId="0" fontId="16" fillId="10" borderId="28" xfId="4" applyFont="1" applyFill="1" applyBorder="1" applyAlignment="1" applyProtection="1">
      <alignment vertical="center"/>
    </xf>
    <xf numFmtId="0" fontId="15" fillId="10" borderId="8" xfId="4" applyFont="1" applyFill="1" applyBorder="1" applyAlignment="1" applyProtection="1">
      <alignment horizontal="left" indent="1"/>
    </xf>
    <xf numFmtId="0" fontId="58" fillId="10" borderId="7" xfId="4" applyFont="1" applyFill="1" applyBorder="1" applyAlignment="1" applyProtection="1">
      <alignment horizontal="left" indent="1"/>
    </xf>
    <xf numFmtId="0" fontId="16" fillId="10" borderId="4" xfId="4" applyFont="1" applyFill="1" applyBorder="1" applyAlignment="1" applyProtection="1">
      <alignment horizontal="centerContinuous" vertical="center"/>
    </xf>
    <xf numFmtId="0" fontId="15" fillId="10" borderId="5" xfId="4" applyFill="1" applyBorder="1" applyAlignment="1" applyProtection="1">
      <alignment horizontal="centerContinuous" vertical="center"/>
    </xf>
    <xf numFmtId="0" fontId="15" fillId="10" borderId="6" xfId="4" applyFill="1" applyBorder="1" applyAlignment="1" applyProtection="1">
      <alignment horizontal="centerContinuous" vertical="center"/>
    </xf>
    <xf numFmtId="0" fontId="58" fillId="10" borderId="18" xfId="4" applyFont="1" applyFill="1" applyBorder="1" applyAlignment="1" applyProtection="1">
      <alignment horizontal="center" vertical="center" wrapText="1"/>
    </xf>
    <xf numFmtId="0" fontId="57" fillId="10" borderId="15" xfId="4" applyFont="1" applyFill="1" applyBorder="1" applyAlignment="1" applyProtection="1">
      <alignment horizontal="center" vertical="center"/>
    </xf>
    <xf numFmtId="0" fontId="58" fillId="10" borderId="0" xfId="4" applyFont="1" applyFill="1" applyBorder="1" applyAlignment="1" applyProtection="1">
      <alignment horizontal="left" indent="1"/>
    </xf>
    <xf numFmtId="0" fontId="4" fillId="10" borderId="0" xfId="4" applyFont="1" applyFill="1" applyBorder="1" applyAlignment="1" applyProtection="1">
      <alignment horizontal="left"/>
    </xf>
    <xf numFmtId="0" fontId="0" fillId="10" borderId="22" xfId="0" applyFill="1" applyBorder="1" applyProtection="1"/>
    <xf numFmtId="0" fontId="60" fillId="10" borderId="24" xfId="0" applyFont="1" applyFill="1" applyBorder="1" applyAlignment="1" applyProtection="1">
      <alignment horizontal="center" vertical="center"/>
    </xf>
    <xf numFmtId="3" fontId="16" fillId="10" borderId="42" xfId="0" applyNumberFormat="1" applyFont="1" applyFill="1" applyBorder="1" applyAlignment="1" applyProtection="1">
      <alignment vertical="center"/>
    </xf>
    <xf numFmtId="3" fontId="15" fillId="0" borderId="97" xfId="0" applyNumberFormat="1" applyFont="1" applyFill="1" applyBorder="1" applyProtection="1">
      <protection locked="0"/>
    </xf>
    <xf numFmtId="3" fontId="0" fillId="0" borderId="99" xfId="0" applyNumberFormat="1" applyFill="1" applyBorder="1" applyProtection="1">
      <protection locked="0"/>
    </xf>
    <xf numFmtId="3" fontId="15" fillId="0" borderId="100" xfId="0" applyNumberFormat="1" applyFont="1" applyFill="1" applyBorder="1" applyProtection="1">
      <protection locked="0"/>
    </xf>
    <xf numFmtId="3" fontId="0" fillId="0" borderId="103" xfId="0" applyNumberFormat="1" applyFill="1" applyBorder="1" applyProtection="1">
      <protection locked="0"/>
    </xf>
    <xf numFmtId="3" fontId="58" fillId="0" borderId="118" xfId="0" applyNumberFormat="1" applyFont="1" applyFill="1" applyBorder="1" applyProtection="1">
      <protection locked="0"/>
    </xf>
    <xf numFmtId="3" fontId="58" fillId="0" borderId="122" xfId="0" applyNumberFormat="1" applyFont="1" applyFill="1" applyBorder="1" applyProtection="1">
      <protection locked="0"/>
    </xf>
    <xf numFmtId="0" fontId="69" fillId="10" borderId="13" xfId="0" applyFont="1" applyFill="1" applyBorder="1" applyAlignment="1" applyProtection="1">
      <alignment vertical="top"/>
    </xf>
    <xf numFmtId="0" fontId="51" fillId="10" borderId="13" xfId="4" applyFont="1" applyFill="1" applyBorder="1" applyAlignment="1" applyProtection="1">
      <alignment horizontal="left" indent="1"/>
    </xf>
    <xf numFmtId="3" fontId="51" fillId="0" borderId="99" xfId="0" applyNumberFormat="1" applyFont="1" applyFill="1" applyBorder="1" applyProtection="1">
      <protection locked="0"/>
    </xf>
    <xf numFmtId="0" fontId="51" fillId="10" borderId="13" xfId="4" applyFont="1" applyFill="1" applyBorder="1" applyAlignment="1" applyProtection="1">
      <alignment horizontal="left" indent="2"/>
    </xf>
    <xf numFmtId="0" fontId="51" fillId="10" borderId="17" xfId="4" applyFont="1" applyFill="1" applyBorder="1" applyAlignment="1" applyProtection="1">
      <alignment horizontal="left" indent="1"/>
    </xf>
    <xf numFmtId="3" fontId="51" fillId="0" borderId="122" xfId="0" applyNumberFormat="1" applyFont="1" applyFill="1" applyBorder="1" applyProtection="1">
      <protection locked="0"/>
    </xf>
    <xf numFmtId="3" fontId="51" fillId="10" borderId="139" xfId="0" applyNumberFormat="1" applyFont="1" applyFill="1" applyBorder="1" applyProtection="1"/>
    <xf numFmtId="3" fontId="51" fillId="10" borderId="62" xfId="0" applyNumberFormat="1" applyFont="1" applyFill="1" applyBorder="1" applyProtection="1"/>
    <xf numFmtId="0" fontId="63" fillId="10" borderId="13" xfId="0" applyFont="1" applyFill="1" applyBorder="1" applyAlignment="1" applyProtection="1">
      <alignment vertical="center"/>
    </xf>
    <xf numFmtId="0" fontId="17" fillId="10" borderId="13" xfId="0" applyFont="1" applyFill="1" applyBorder="1" applyAlignment="1" applyProtection="1">
      <alignment vertical="center"/>
    </xf>
    <xf numFmtId="0" fontId="15" fillId="10" borderId="13" xfId="0" applyFont="1" applyFill="1" applyBorder="1" applyAlignment="1" applyProtection="1">
      <alignment horizontal="left" indent="3"/>
    </xf>
    <xf numFmtId="3" fontId="15" fillId="0" borderId="165" xfId="4" applyNumberFormat="1" applyFont="1" applyFill="1" applyBorder="1" applyAlignment="1" applyProtection="1">
      <alignment horizontal="right"/>
      <protection locked="0"/>
    </xf>
    <xf numFmtId="3" fontId="15" fillId="0" borderId="166" xfId="4" applyNumberFormat="1" applyFont="1" applyFill="1" applyBorder="1" applyAlignment="1" applyProtection="1">
      <alignment horizontal="right"/>
      <protection locked="0"/>
    </xf>
    <xf numFmtId="3" fontId="15" fillId="0" borderId="167" xfId="4" applyNumberFormat="1" applyFont="1" applyFill="1" applyBorder="1" applyAlignment="1" applyProtection="1">
      <alignment horizontal="right"/>
      <protection locked="0"/>
    </xf>
    <xf numFmtId="3" fontId="15" fillId="0" borderId="168" xfId="4" applyNumberFormat="1" applyFont="1" applyFill="1" applyBorder="1" applyAlignment="1" applyProtection="1">
      <alignment horizontal="right"/>
      <protection locked="0"/>
    </xf>
    <xf numFmtId="0" fontId="59" fillId="10" borderId="8" xfId="0" applyFont="1" applyFill="1" applyBorder="1" applyAlignment="1" applyProtection="1">
      <alignment vertical="center" wrapText="1"/>
    </xf>
    <xf numFmtId="0" fontId="63" fillId="10" borderId="8" xfId="0" applyFont="1" applyFill="1" applyBorder="1" applyAlignment="1" applyProtection="1">
      <alignment vertical="center"/>
    </xf>
    <xf numFmtId="0" fontId="69" fillId="10" borderId="7" xfId="0" applyFont="1" applyFill="1" applyBorder="1" applyAlignment="1" applyProtection="1">
      <alignment vertical="top" wrapText="1"/>
    </xf>
    <xf numFmtId="3" fontId="51" fillId="10" borderId="46" xfId="0" applyNumberFormat="1" applyFont="1" applyFill="1" applyBorder="1" applyAlignment="1" applyProtection="1">
      <alignment vertical="center"/>
    </xf>
    <xf numFmtId="0" fontId="16" fillId="10" borderId="28" xfId="0" applyFont="1" applyFill="1" applyBorder="1" applyAlignment="1" applyProtection="1">
      <alignment vertical="center" wrapText="1"/>
    </xf>
    <xf numFmtId="3" fontId="62" fillId="0" borderId="171" xfId="4" applyNumberFormat="1" applyFont="1" applyFill="1" applyBorder="1" applyAlignment="1" applyProtection="1">
      <alignment horizontal="right"/>
      <protection locked="0"/>
    </xf>
    <xf numFmtId="3" fontId="62" fillId="0" borderId="172" xfId="4" applyNumberFormat="1" applyFont="1" applyFill="1" applyBorder="1" applyAlignment="1" applyProtection="1">
      <alignment horizontal="right"/>
      <protection locked="0"/>
    </xf>
    <xf numFmtId="0" fontId="62" fillId="10" borderId="17" xfId="4" applyFont="1" applyFill="1" applyBorder="1" applyAlignment="1" applyProtection="1">
      <alignment horizontal="left" indent="1"/>
    </xf>
    <xf numFmtId="0" fontId="15" fillId="10" borderId="13" xfId="4" applyFont="1" applyFill="1" applyBorder="1" applyAlignment="1" applyProtection="1">
      <alignment horizontal="left" wrapText="1" indent="1"/>
    </xf>
    <xf numFmtId="3" fontId="15" fillId="0" borderId="173" xfId="4" applyNumberFormat="1" applyFont="1" applyFill="1" applyBorder="1" applyAlignment="1" applyProtection="1">
      <alignment horizontal="right"/>
      <protection locked="0"/>
    </xf>
    <xf numFmtId="3" fontId="15" fillId="0" borderId="174" xfId="4" applyNumberFormat="1" applyFont="1" applyFill="1" applyBorder="1" applyAlignment="1" applyProtection="1">
      <alignment horizontal="right"/>
      <protection locked="0"/>
    </xf>
    <xf numFmtId="3" fontId="62" fillId="0" borderId="175" xfId="4" applyNumberFormat="1" applyFont="1" applyFill="1" applyBorder="1" applyAlignment="1" applyProtection="1">
      <alignment horizontal="right"/>
      <protection locked="0"/>
    </xf>
    <xf numFmtId="0" fontId="16" fillId="10" borderId="6" xfId="4" applyFont="1" applyFill="1" applyBorder="1" applyAlignment="1" applyProtection="1">
      <alignment horizontal="centerContinuous" vertical="center"/>
    </xf>
    <xf numFmtId="0" fontId="57" fillId="10" borderId="4" xfId="4" applyFont="1" applyFill="1" applyBorder="1" applyAlignment="1" applyProtection="1">
      <alignment horizontal="centerContinuous" vertical="center"/>
    </xf>
    <xf numFmtId="0" fontId="57" fillId="10" borderId="5" xfId="4" applyFont="1" applyFill="1" applyBorder="1" applyAlignment="1" applyProtection="1">
      <alignment horizontal="centerContinuous" vertical="center"/>
    </xf>
    <xf numFmtId="0" fontId="57" fillId="10" borderId="6" xfId="4" applyFont="1" applyFill="1" applyBorder="1" applyAlignment="1" applyProtection="1">
      <alignment horizontal="centerContinuous" vertical="center"/>
    </xf>
    <xf numFmtId="3" fontId="58" fillId="0" borderId="173" xfId="4" applyNumberFormat="1" applyFont="1" applyFill="1" applyBorder="1" applyAlignment="1" applyProtection="1">
      <alignment horizontal="right"/>
      <protection locked="0"/>
    </xf>
    <xf numFmtId="3" fontId="58" fillId="0" borderId="174" xfId="4" applyNumberFormat="1" applyFont="1" applyFill="1" applyBorder="1" applyAlignment="1" applyProtection="1">
      <alignment horizontal="right"/>
      <protection locked="0"/>
    </xf>
    <xf numFmtId="3" fontId="58" fillId="0" borderId="175" xfId="4" applyNumberFormat="1" applyFont="1" applyFill="1" applyBorder="1" applyAlignment="1" applyProtection="1">
      <alignment horizontal="right"/>
      <protection locked="0"/>
    </xf>
    <xf numFmtId="3" fontId="58" fillId="0" borderId="176" xfId="4" applyNumberFormat="1" applyFont="1" applyFill="1" applyBorder="1" applyAlignment="1" applyProtection="1">
      <alignment horizontal="right"/>
      <protection locked="0"/>
    </xf>
    <xf numFmtId="3" fontId="58" fillId="0" borderId="165" xfId="4" applyNumberFormat="1" applyFont="1" applyFill="1" applyBorder="1" applyAlignment="1" applyProtection="1">
      <alignment horizontal="right"/>
      <protection locked="0"/>
    </xf>
    <xf numFmtId="3" fontId="58" fillId="0" borderId="166" xfId="4" applyNumberFormat="1" applyFont="1" applyFill="1" applyBorder="1" applyAlignment="1" applyProtection="1">
      <alignment horizontal="right"/>
      <protection locked="0"/>
    </xf>
    <xf numFmtId="3" fontId="58" fillId="0" borderId="171" xfId="4" applyNumberFormat="1" applyFont="1" applyFill="1" applyBorder="1" applyAlignment="1" applyProtection="1">
      <alignment horizontal="right"/>
      <protection locked="0"/>
    </xf>
    <xf numFmtId="3" fontId="58" fillId="0" borderId="169" xfId="4" applyNumberFormat="1" applyFont="1" applyFill="1" applyBorder="1" applyAlignment="1" applyProtection="1">
      <alignment horizontal="right"/>
      <protection locked="0"/>
    </xf>
    <xf numFmtId="3" fontId="58" fillId="0" borderId="167" xfId="4" applyNumberFormat="1" applyFont="1" applyFill="1" applyBorder="1" applyAlignment="1" applyProtection="1">
      <alignment horizontal="right"/>
      <protection locked="0"/>
    </xf>
    <xf numFmtId="3" fontId="58" fillId="0" borderId="168" xfId="4" applyNumberFormat="1" applyFont="1" applyFill="1" applyBorder="1" applyAlignment="1" applyProtection="1">
      <alignment horizontal="right"/>
      <protection locked="0"/>
    </xf>
    <xf numFmtId="3" fontId="58" fillId="0" borderId="172" xfId="4" applyNumberFormat="1" applyFont="1" applyFill="1" applyBorder="1" applyAlignment="1" applyProtection="1">
      <alignment horizontal="right"/>
      <protection locked="0"/>
    </xf>
    <xf numFmtId="3" fontId="58" fillId="0" borderId="170" xfId="4" applyNumberFormat="1" applyFont="1" applyFill="1" applyBorder="1" applyAlignment="1" applyProtection="1">
      <alignment horizontal="right"/>
      <protection locked="0"/>
    </xf>
    <xf numFmtId="0" fontId="44" fillId="10" borderId="20" xfId="4" applyFont="1" applyFill="1" applyBorder="1" applyAlignment="1" applyProtection="1">
      <alignment horizontal="right" vertical="center" wrapText="1"/>
    </xf>
    <xf numFmtId="0" fontId="44" fillId="10" borderId="46" xfId="4" applyFont="1" applyFill="1" applyBorder="1" applyAlignment="1" applyProtection="1">
      <alignment horizontal="right" vertical="center" wrapText="1"/>
    </xf>
    <xf numFmtId="0" fontId="72" fillId="10" borderId="46" xfId="4" applyFont="1" applyFill="1" applyBorder="1" applyAlignment="1" applyProtection="1">
      <alignment horizontal="right" vertical="center" wrapText="1"/>
    </xf>
    <xf numFmtId="0" fontId="57" fillId="10" borderId="46" xfId="4" applyFont="1" applyFill="1" applyBorder="1" applyAlignment="1" applyProtection="1">
      <alignment horizontal="right" vertical="center" wrapText="1"/>
    </xf>
    <xf numFmtId="0" fontId="73" fillId="10" borderId="18" xfId="4" applyFont="1" applyFill="1" applyBorder="1" applyAlignment="1" applyProtection="1">
      <alignment horizontal="center" vertical="center" wrapText="1"/>
    </xf>
    <xf numFmtId="0" fontId="58" fillId="10" borderId="17" xfId="4" applyFont="1" applyFill="1" applyBorder="1" applyAlignment="1" applyProtection="1">
      <alignment horizontal="center" vertical="center" wrapText="1"/>
    </xf>
    <xf numFmtId="0" fontId="58" fillId="10" borderId="19" xfId="4" applyFont="1" applyFill="1" applyBorder="1" applyAlignment="1" applyProtection="1">
      <alignment horizontal="center" vertical="center" wrapText="1"/>
    </xf>
    <xf numFmtId="0" fontId="59" fillId="10" borderId="13" xfId="4" applyFont="1" applyFill="1" applyBorder="1" applyAlignment="1" applyProtection="1">
      <alignment horizontal="left"/>
    </xf>
    <xf numFmtId="0" fontId="63" fillId="11" borderId="13" xfId="0" applyFont="1" applyFill="1" applyBorder="1" applyProtection="1"/>
    <xf numFmtId="0" fontId="69" fillId="11" borderId="13" xfId="0" applyFont="1" applyFill="1" applyBorder="1" applyAlignment="1" applyProtection="1">
      <alignment vertical="top"/>
    </xf>
    <xf numFmtId="0" fontId="51" fillId="11" borderId="13" xfId="4" applyFont="1" applyFill="1" applyBorder="1" applyAlignment="1" applyProtection="1">
      <alignment horizontal="left" indent="1"/>
    </xf>
    <xf numFmtId="0" fontId="51" fillId="11" borderId="13" xfId="4" applyFont="1" applyFill="1" applyBorder="1" applyAlignment="1" applyProtection="1">
      <alignment horizontal="left" indent="2"/>
    </xf>
    <xf numFmtId="0" fontId="51" fillId="11" borderId="17" xfId="4" applyFont="1" applyFill="1" applyBorder="1" applyAlignment="1" applyProtection="1">
      <alignment horizontal="left" indent="1"/>
    </xf>
    <xf numFmtId="0" fontId="15" fillId="11" borderId="13" xfId="0" applyFont="1" applyFill="1" applyBorder="1" applyAlignment="1" applyProtection="1">
      <alignment horizontal="left" indent="2"/>
    </xf>
    <xf numFmtId="0" fontId="58" fillId="11" borderId="7" xfId="0" applyFont="1" applyFill="1" applyBorder="1" applyAlignment="1" applyProtection="1">
      <alignment horizontal="left" indent="2"/>
    </xf>
    <xf numFmtId="0" fontId="15" fillId="12" borderId="0" xfId="0" applyFont="1" applyFill="1" applyAlignment="1" applyProtection="1">
      <alignment horizontal="left"/>
    </xf>
    <xf numFmtId="0" fontId="15" fillId="0" borderId="177" xfId="4" applyFill="1" applyBorder="1" applyAlignment="1" applyProtection="1">
      <alignment vertical="center"/>
      <protection locked="0"/>
    </xf>
    <xf numFmtId="0" fontId="15" fillId="0" borderId="178" xfId="4" applyFill="1" applyBorder="1" applyAlignment="1" applyProtection="1">
      <alignment vertical="center"/>
      <protection locked="0"/>
    </xf>
    <xf numFmtId="0" fontId="58" fillId="0" borderId="179" xfId="4" applyFont="1" applyFill="1" applyBorder="1" applyAlignment="1" applyProtection="1">
      <alignment vertical="center"/>
      <protection locked="0"/>
    </xf>
    <xf numFmtId="0" fontId="15" fillId="0" borderId="180" xfId="4" applyFill="1" applyBorder="1" applyProtection="1">
      <protection locked="0"/>
    </xf>
    <xf numFmtId="0" fontId="15" fillId="0" borderId="174" xfId="4" applyFill="1" applyBorder="1" applyProtection="1">
      <protection locked="0"/>
    </xf>
    <xf numFmtId="0" fontId="58" fillId="0" borderId="175" xfId="4" applyFont="1" applyFill="1" applyBorder="1" applyProtection="1">
      <protection locked="0"/>
    </xf>
    <xf numFmtId="0" fontId="15" fillId="0" borderId="181" xfId="4" applyFill="1" applyBorder="1" applyProtection="1">
      <protection locked="0"/>
    </xf>
    <xf numFmtId="0" fontId="15" fillId="0" borderId="166" xfId="4" applyFill="1" applyBorder="1" applyProtection="1">
      <protection locked="0"/>
    </xf>
    <xf numFmtId="0" fontId="58" fillId="0" borderId="171" xfId="4" applyFont="1" applyFill="1" applyBorder="1" applyProtection="1">
      <protection locked="0"/>
    </xf>
    <xf numFmtId="0" fontId="15" fillId="0" borderId="182" xfId="4" applyFill="1" applyBorder="1" applyProtection="1">
      <protection locked="0"/>
    </xf>
    <xf numFmtId="0" fontId="15" fillId="0" borderId="168" xfId="4" applyFill="1" applyBorder="1" applyProtection="1">
      <protection locked="0"/>
    </xf>
    <xf numFmtId="0" fontId="58" fillId="0" borderId="172" xfId="4" applyFont="1" applyFill="1" applyBorder="1" applyProtection="1">
      <protection locked="0"/>
    </xf>
    <xf numFmtId="3" fontId="15" fillId="10" borderId="78" xfId="0" applyNumberFormat="1" applyFont="1" applyFill="1" applyBorder="1" applyAlignment="1" applyProtection="1">
      <alignment vertical="center"/>
    </xf>
    <xf numFmtId="3" fontId="0" fillId="10" borderId="52" xfId="0" applyNumberFormat="1" applyFill="1" applyBorder="1" applyAlignment="1" applyProtection="1">
      <alignment vertical="center"/>
    </xf>
    <xf numFmtId="1" fontId="15" fillId="10" borderId="0" xfId="4" applyNumberFormat="1" applyFill="1" applyProtection="1"/>
    <xf numFmtId="0" fontId="44" fillId="0" borderId="183" xfId="4" applyFont="1" applyFill="1" applyBorder="1" applyAlignment="1" applyProtection="1">
      <alignment horizontal="right" vertical="center" wrapText="1"/>
      <protection locked="0"/>
    </xf>
    <xf numFmtId="0" fontId="44" fillId="0" borderId="178" xfId="4" applyFont="1" applyFill="1" applyBorder="1" applyAlignment="1" applyProtection="1">
      <alignment horizontal="right" vertical="center" wrapText="1"/>
      <protection locked="0"/>
    </xf>
    <xf numFmtId="0" fontId="72" fillId="0" borderId="179" xfId="4" applyFont="1" applyFill="1" applyBorder="1" applyAlignment="1" applyProtection="1">
      <alignment horizontal="right" vertical="center" wrapText="1"/>
      <protection locked="0"/>
    </xf>
    <xf numFmtId="0" fontId="57" fillId="0" borderId="183" xfId="4" applyFont="1" applyFill="1" applyBorder="1" applyAlignment="1" applyProtection="1">
      <alignment horizontal="right" vertical="center" wrapText="1"/>
      <protection locked="0"/>
    </xf>
    <xf numFmtId="0" fontId="57" fillId="0" borderId="178" xfId="4" applyFont="1" applyFill="1" applyBorder="1" applyAlignment="1" applyProtection="1">
      <alignment horizontal="right" vertical="center" wrapText="1"/>
      <protection locked="0"/>
    </xf>
    <xf numFmtId="0" fontId="57" fillId="0" borderId="179" xfId="4" applyFont="1" applyFill="1" applyBorder="1" applyAlignment="1" applyProtection="1">
      <alignment horizontal="right" vertical="center" wrapText="1"/>
      <protection locked="0"/>
    </xf>
    <xf numFmtId="0" fontId="57" fillId="0" borderId="33" xfId="4" applyFont="1" applyFill="1" applyBorder="1" applyAlignment="1" applyProtection="1">
      <alignment horizontal="right" vertical="center" wrapText="1"/>
      <protection locked="0"/>
    </xf>
    <xf numFmtId="0" fontId="16" fillId="7" borderId="29" xfId="0" applyFont="1" applyFill="1" applyBorder="1" applyAlignment="1" applyProtection="1">
      <alignment horizontal="left" vertical="center"/>
    </xf>
    <xf numFmtId="0" fontId="16" fillId="0" borderId="80" xfId="0" applyFont="1" applyFill="1" applyBorder="1" applyAlignment="1" applyProtection="1">
      <alignment horizontal="center" vertical="center"/>
      <protection locked="0"/>
    </xf>
    <xf numFmtId="0" fontId="0" fillId="7" borderId="0" xfId="0" applyFill="1" applyAlignment="1" applyProtection="1">
      <alignment vertical="center"/>
    </xf>
    <xf numFmtId="0" fontId="30" fillId="7" borderId="8" xfId="0" applyFont="1" applyFill="1" applyBorder="1" applyAlignment="1" applyProtection="1">
      <alignment wrapText="1"/>
    </xf>
    <xf numFmtId="0" fontId="15" fillId="0" borderId="8" xfId="0" applyFont="1" applyFill="1" applyBorder="1" applyProtection="1"/>
    <xf numFmtId="0" fontId="16" fillId="0" borderId="0" xfId="0" applyFont="1" applyFill="1" applyBorder="1" applyProtection="1"/>
    <xf numFmtId="0" fontId="16" fillId="16" borderId="80" xfId="0" applyFont="1" applyFill="1" applyBorder="1" applyAlignment="1" applyProtection="1">
      <alignment horizontal="center"/>
      <protection locked="0"/>
    </xf>
    <xf numFmtId="0" fontId="0" fillId="16" borderId="83" xfId="0" applyFill="1" applyBorder="1" applyProtection="1">
      <protection locked="0"/>
    </xf>
    <xf numFmtId="0" fontId="0" fillId="16" borderId="54" xfId="0" applyFill="1" applyBorder="1" applyProtection="1">
      <protection locked="0"/>
    </xf>
    <xf numFmtId="0" fontId="0" fillId="16" borderId="87" xfId="0" applyFill="1" applyBorder="1" applyProtection="1">
      <protection locked="0"/>
    </xf>
    <xf numFmtId="0" fontId="0" fillId="16" borderId="54" xfId="0" applyFill="1" applyBorder="1" applyAlignment="1" applyProtection="1">
      <alignment vertical="center"/>
      <protection locked="0"/>
    </xf>
    <xf numFmtId="0" fontId="0" fillId="16" borderId="109" xfId="0" applyFill="1" applyBorder="1" applyAlignment="1" applyProtection="1">
      <alignment vertical="center"/>
      <protection locked="0"/>
    </xf>
    <xf numFmtId="0" fontId="0" fillId="16" borderId="136" xfId="0" applyFill="1" applyBorder="1" applyProtection="1">
      <protection locked="0"/>
    </xf>
    <xf numFmtId="3" fontId="62" fillId="0" borderId="43" xfId="4" applyNumberFormat="1" applyFont="1" applyFill="1" applyBorder="1" applyAlignment="1" applyProtection="1">
      <alignment horizontal="right" vertical="center"/>
      <protection locked="0"/>
    </xf>
    <xf numFmtId="3" fontId="62" fillId="0" borderId="162" xfId="4" applyNumberFormat="1" applyFont="1" applyFill="1" applyBorder="1" applyAlignment="1" applyProtection="1">
      <alignment horizontal="right" vertical="center"/>
      <protection locked="0"/>
    </xf>
    <xf numFmtId="3" fontId="62" fillId="0" borderId="184" xfId="4" applyNumberFormat="1" applyFont="1" applyFill="1" applyBorder="1" applyAlignment="1" applyProtection="1">
      <alignment horizontal="right" vertical="center"/>
      <protection locked="0"/>
    </xf>
    <xf numFmtId="3" fontId="62" fillId="0" borderId="47" xfId="4" applyNumberFormat="1" applyFont="1" applyFill="1" applyBorder="1" applyAlignment="1" applyProtection="1">
      <alignment horizontal="right" vertical="center"/>
      <protection locked="0"/>
    </xf>
    <xf numFmtId="3" fontId="62" fillId="0" borderId="185" xfId="4" applyNumberFormat="1" applyFont="1" applyFill="1" applyBorder="1" applyAlignment="1" applyProtection="1">
      <alignment horizontal="right" vertical="center"/>
      <protection locked="0"/>
    </xf>
    <xf numFmtId="3" fontId="58" fillId="0" borderId="43" xfId="4" applyNumberFormat="1" applyFont="1" applyFill="1" applyBorder="1" applyAlignment="1" applyProtection="1">
      <alignment horizontal="right" vertical="center"/>
      <protection locked="0"/>
    </xf>
    <xf numFmtId="3" fontId="58" fillId="0" borderId="162" xfId="4" applyNumberFormat="1" applyFont="1" applyFill="1" applyBorder="1" applyAlignment="1" applyProtection="1">
      <alignment horizontal="right" vertical="center"/>
      <protection locked="0"/>
    </xf>
    <xf numFmtId="3" fontId="58" fillId="0" borderId="185" xfId="4" applyNumberFormat="1" applyFont="1" applyFill="1" applyBorder="1" applyAlignment="1" applyProtection="1">
      <alignment horizontal="right" vertical="center"/>
      <protection locked="0"/>
    </xf>
    <xf numFmtId="3" fontId="58" fillId="0" borderId="184" xfId="4" applyNumberFormat="1" applyFont="1" applyFill="1" applyBorder="1" applyAlignment="1" applyProtection="1">
      <alignment horizontal="right" vertical="center"/>
      <protection locked="0"/>
    </xf>
    <xf numFmtId="3" fontId="58" fillId="0" borderId="47" xfId="4" applyNumberFormat="1" applyFont="1" applyFill="1" applyBorder="1" applyAlignment="1" applyProtection="1">
      <alignment horizontal="right" vertical="center"/>
      <protection locked="0"/>
    </xf>
    <xf numFmtId="0" fontId="16" fillId="9" borderId="28" xfId="0" applyFont="1" applyFill="1" applyBorder="1" applyAlignment="1" applyProtection="1">
      <alignment horizontal="left" vertical="center" wrapText="1"/>
    </xf>
    <xf numFmtId="0" fontId="62" fillId="10" borderId="17" xfId="4" applyFont="1" applyFill="1" applyBorder="1" applyAlignment="1" applyProtection="1">
      <alignment horizontal="left" indent="3"/>
    </xf>
    <xf numFmtId="0" fontId="74" fillId="10" borderId="0" xfId="0" applyFont="1" applyFill="1" applyProtection="1"/>
    <xf numFmtId="0" fontId="16" fillId="10" borderId="20" xfId="0" applyFont="1" applyFill="1" applyBorder="1" applyAlignment="1" applyProtection="1">
      <alignment horizontal="left" wrapText="1"/>
    </xf>
    <xf numFmtId="0" fontId="16" fillId="0" borderId="185" xfId="4" applyFont="1" applyFill="1" applyBorder="1" applyProtection="1">
      <protection locked="0"/>
    </xf>
    <xf numFmtId="0" fontId="16" fillId="0" borderId="48" xfId="4" applyFont="1" applyFill="1" applyBorder="1" applyProtection="1">
      <protection locked="0"/>
    </xf>
    <xf numFmtId="0" fontId="57" fillId="8" borderId="49" xfId="0" applyNumberFormat="1" applyFont="1" applyFill="1" applyBorder="1" applyAlignment="1" applyProtection="1">
      <alignment horizontal="left" vertical="center" wrapText="1"/>
    </xf>
    <xf numFmtId="0" fontId="16" fillId="9" borderId="29" xfId="0" applyFont="1" applyFill="1" applyBorder="1" applyAlignment="1" applyProtection="1">
      <alignment horizontal="left"/>
    </xf>
    <xf numFmtId="0" fontId="16" fillId="0" borderId="45" xfId="0" applyFont="1" applyBorder="1" applyAlignment="1" applyProtection="1">
      <alignment horizontal="right"/>
      <protection locked="0"/>
    </xf>
    <xf numFmtId="0" fontId="16" fillId="0" borderId="186" xfId="0" applyFont="1" applyBorder="1" applyAlignment="1" applyProtection="1">
      <alignment horizontal="right"/>
      <protection locked="0"/>
    </xf>
    <xf numFmtId="0" fontId="16" fillId="0" borderId="71" xfId="0" applyFont="1" applyBorder="1" applyAlignment="1" applyProtection="1">
      <alignment horizontal="right"/>
      <protection locked="0"/>
    </xf>
    <xf numFmtId="0" fontId="16" fillId="9" borderId="36" xfId="0" applyFont="1" applyFill="1" applyBorder="1" applyAlignment="1" applyProtection="1">
      <alignment horizontal="left"/>
    </xf>
    <xf numFmtId="0" fontId="16" fillId="9" borderId="1" xfId="0" applyFont="1" applyFill="1" applyBorder="1" applyAlignment="1" applyProtection="1">
      <alignment horizontal="left" vertical="center"/>
    </xf>
    <xf numFmtId="0" fontId="0" fillId="0" borderId="4" xfId="0" applyBorder="1" applyAlignment="1" applyProtection="1">
      <alignment vertical="center"/>
      <protection locked="0"/>
    </xf>
    <xf numFmtId="0" fontId="0" fillId="0" borderId="187" xfId="0" applyBorder="1" applyAlignment="1" applyProtection="1">
      <alignment vertical="center"/>
      <protection locked="0"/>
    </xf>
    <xf numFmtId="0" fontId="62" fillId="0" borderId="188" xfId="0" applyFont="1" applyBorder="1" applyAlignment="1" applyProtection="1">
      <alignment vertical="center"/>
      <protection locked="0"/>
    </xf>
    <xf numFmtId="0" fontId="0" fillId="5" borderId="1" xfId="0" applyFill="1" applyBorder="1" applyProtection="1"/>
    <xf numFmtId="3" fontId="0" fillId="0" borderId="52" xfId="0" applyNumberFormat="1" applyFill="1" applyBorder="1" applyAlignment="1" applyProtection="1">
      <alignment horizontal="right" vertical="center"/>
      <protection locked="0"/>
    </xf>
    <xf numFmtId="3" fontId="0" fillId="0" borderId="56" xfId="0" applyNumberFormat="1" applyFill="1" applyBorder="1" applyAlignment="1" applyProtection="1">
      <alignment horizontal="right" vertical="center"/>
      <protection locked="0"/>
    </xf>
    <xf numFmtId="3" fontId="0" fillId="0" borderId="190" xfId="0" applyNumberFormat="1" applyFill="1" applyBorder="1" applyAlignment="1" applyProtection="1">
      <alignment horizontal="right" vertical="center"/>
      <protection locked="0"/>
    </xf>
    <xf numFmtId="3" fontId="0" fillId="0" borderId="191" xfId="0" applyNumberFormat="1" applyFill="1" applyBorder="1" applyAlignment="1" applyProtection="1">
      <alignment horizontal="right" vertical="center"/>
      <protection locked="0"/>
    </xf>
    <xf numFmtId="3" fontId="53" fillId="0" borderId="192" xfId="0" applyNumberFormat="1" applyFont="1" applyFill="1" applyBorder="1" applyAlignment="1" applyProtection="1">
      <alignment horizontal="right" vertical="center"/>
      <protection locked="0"/>
    </xf>
    <xf numFmtId="3" fontId="0" fillId="0" borderId="193" xfId="0" applyNumberFormat="1" applyFill="1" applyBorder="1" applyAlignment="1" applyProtection="1">
      <alignment horizontal="right" vertical="center"/>
      <protection locked="0"/>
    </xf>
    <xf numFmtId="3" fontId="0" fillId="0" borderId="194" xfId="0" applyNumberFormat="1" applyFill="1" applyBorder="1" applyAlignment="1" applyProtection="1">
      <alignment horizontal="right" vertical="center"/>
      <protection locked="0"/>
    </xf>
    <xf numFmtId="3" fontId="53" fillId="0" borderId="195" xfId="0" applyNumberFormat="1" applyFont="1" applyFill="1" applyBorder="1" applyAlignment="1" applyProtection="1">
      <alignment horizontal="right" vertical="center"/>
      <protection locked="0"/>
    </xf>
    <xf numFmtId="3" fontId="0" fillId="0" borderId="196" xfId="0" applyNumberFormat="1" applyFill="1" applyBorder="1" applyAlignment="1" applyProtection="1">
      <alignment horizontal="right" vertical="center"/>
      <protection locked="0"/>
    </xf>
    <xf numFmtId="3" fontId="15" fillId="0" borderId="53" xfId="0" applyNumberFormat="1" applyFont="1" applyFill="1" applyBorder="1" applyAlignment="1" applyProtection="1">
      <alignment horizontal="right" vertical="center"/>
      <protection locked="0"/>
    </xf>
    <xf numFmtId="3" fontId="16" fillId="0" borderId="57" xfId="0" applyNumberFormat="1" applyFont="1" applyFill="1" applyBorder="1" applyAlignment="1" applyProtection="1">
      <alignment horizontal="right" vertical="center"/>
      <protection locked="0"/>
    </xf>
    <xf numFmtId="3" fontId="52" fillId="0" borderId="60" xfId="0" applyNumberFormat="1" applyFont="1" applyFill="1" applyBorder="1" applyAlignment="1" applyProtection="1">
      <alignment horizontal="right" vertical="center"/>
      <protection locked="0"/>
    </xf>
    <xf numFmtId="3" fontId="16" fillId="0" borderId="197" xfId="0" applyNumberFormat="1" applyFont="1" applyFill="1" applyBorder="1" applyAlignment="1" applyProtection="1">
      <alignment horizontal="right" vertical="center"/>
      <protection locked="0"/>
    </xf>
    <xf numFmtId="3" fontId="0" fillId="0" borderId="123" xfId="0" applyNumberFormat="1" applyFill="1" applyBorder="1" applyAlignment="1" applyProtection="1">
      <alignment horizontal="right" vertical="center"/>
      <protection locked="0"/>
    </xf>
    <xf numFmtId="3" fontId="0" fillId="0" borderId="125" xfId="0" applyNumberFormat="1" applyFill="1" applyBorder="1" applyAlignment="1" applyProtection="1">
      <alignment horizontal="right" vertical="center"/>
      <protection locked="0"/>
    </xf>
    <xf numFmtId="3" fontId="0" fillId="0" borderId="14" xfId="0" applyNumberFormat="1" applyFill="1" applyBorder="1" applyAlignment="1" applyProtection="1">
      <alignment horizontal="right" vertical="center"/>
      <protection locked="0"/>
    </xf>
    <xf numFmtId="0" fontId="20" fillId="5" borderId="2" xfId="0" applyFont="1" applyFill="1" applyBorder="1" applyAlignment="1" applyProtection="1">
      <alignment horizontal="centerContinuous" vertical="center"/>
    </xf>
    <xf numFmtId="3" fontId="53" fillId="0" borderId="45" xfId="0" applyNumberFormat="1" applyFont="1" applyFill="1" applyBorder="1" applyAlignment="1" applyProtection="1">
      <alignment horizontal="right" vertical="center"/>
      <protection locked="0"/>
    </xf>
    <xf numFmtId="0" fontId="15" fillId="5" borderId="2" xfId="0" applyFont="1" applyFill="1" applyBorder="1" applyAlignment="1" applyProtection="1">
      <alignment horizontal="centerContinuous" vertical="center"/>
    </xf>
    <xf numFmtId="0" fontId="15" fillId="5" borderId="1" xfId="0" applyFont="1" applyFill="1" applyBorder="1" applyAlignment="1" applyProtection="1">
      <alignment horizontal="centerContinuous" vertical="center" wrapText="1"/>
    </xf>
    <xf numFmtId="0" fontId="19" fillId="5" borderId="3" xfId="0" applyFont="1" applyFill="1" applyBorder="1" applyAlignment="1" applyProtection="1">
      <alignment horizontal="centerContinuous" vertical="center"/>
    </xf>
    <xf numFmtId="0" fontId="19" fillId="5" borderId="7" xfId="0" applyFont="1" applyFill="1" applyBorder="1" applyAlignment="1" applyProtection="1">
      <alignment horizontal="centerContinuous" vertical="center"/>
    </xf>
    <xf numFmtId="0" fontId="0" fillId="5" borderId="8" xfId="0" applyFill="1" applyBorder="1" applyAlignment="1" applyProtection="1">
      <alignment horizontal="centerContinuous" vertical="center"/>
    </xf>
    <xf numFmtId="3" fontId="4" fillId="0" borderId="53" xfId="0" applyNumberFormat="1" applyFont="1" applyFill="1" applyBorder="1" applyAlignment="1" applyProtection="1">
      <alignment vertical="center"/>
      <protection locked="0"/>
    </xf>
    <xf numFmtId="3" fontId="13" fillId="0" borderId="153" xfId="0" applyNumberFormat="1" applyFont="1" applyFill="1" applyBorder="1" applyAlignment="1" applyProtection="1">
      <alignment vertical="center"/>
      <protection locked="0"/>
    </xf>
    <xf numFmtId="3" fontId="4" fillId="0" borderId="123" xfId="0" applyNumberFormat="1" applyFont="1" applyFill="1" applyBorder="1" applyAlignment="1" applyProtection="1">
      <alignment vertical="center"/>
      <protection locked="0"/>
    </xf>
    <xf numFmtId="3" fontId="13" fillId="0" borderId="146" xfId="0" applyNumberFormat="1" applyFont="1" applyFill="1" applyBorder="1" applyAlignment="1" applyProtection="1">
      <alignment vertical="center"/>
      <protection locked="0"/>
    </xf>
    <xf numFmtId="0" fontId="21" fillId="5" borderId="23" xfId="0" applyFont="1" applyFill="1" applyBorder="1" applyAlignment="1" applyProtection="1">
      <alignment horizontal="centerContinuous" vertical="center"/>
    </xf>
    <xf numFmtId="3" fontId="0" fillId="0" borderId="131" xfId="0" applyNumberFormat="1" applyFill="1" applyBorder="1" applyAlignment="1" applyProtection="1">
      <alignment horizontal="right" vertical="center"/>
      <protection locked="0"/>
    </xf>
    <xf numFmtId="3" fontId="13" fillId="0" borderId="2" xfId="0" applyNumberFormat="1" applyFont="1" applyFill="1" applyBorder="1" applyAlignment="1" applyProtection="1">
      <alignment vertical="center"/>
      <protection locked="0"/>
    </xf>
    <xf numFmtId="0" fontId="21" fillId="5" borderId="198" xfId="0" applyFont="1" applyFill="1" applyBorder="1" applyAlignment="1" applyProtection="1">
      <alignment vertical="center" wrapText="1"/>
    </xf>
    <xf numFmtId="3" fontId="4" fillId="0" borderId="62" xfId="0" applyNumberFormat="1" applyFont="1" applyFill="1" applyBorder="1" applyAlignment="1" applyProtection="1">
      <alignment vertical="center"/>
      <protection locked="0"/>
    </xf>
    <xf numFmtId="3" fontId="16" fillId="0" borderId="40" xfId="4" applyNumberFormat="1" applyFont="1" applyFill="1" applyBorder="1" applyAlignment="1" applyProtection="1">
      <alignment horizontal="right" vertical="center"/>
      <protection locked="0"/>
    </xf>
    <xf numFmtId="3" fontId="16" fillId="0" borderId="62" xfId="4" applyNumberFormat="1" applyFont="1" applyFill="1" applyBorder="1" applyAlignment="1" applyProtection="1">
      <alignment horizontal="right" vertical="center"/>
      <protection locked="0"/>
    </xf>
    <xf numFmtId="3" fontId="0" fillId="0" borderId="113" xfId="0" applyNumberFormat="1" applyFill="1" applyBorder="1" applyAlignment="1" applyProtection="1">
      <alignment horizontal="right" vertical="center"/>
      <protection locked="0"/>
    </xf>
    <xf numFmtId="3" fontId="0" fillId="0" borderId="199" xfId="0" applyNumberFormat="1" applyFill="1" applyBorder="1" applyAlignment="1" applyProtection="1">
      <alignment horizontal="right" vertical="center"/>
      <protection locked="0"/>
    </xf>
    <xf numFmtId="3" fontId="16" fillId="0" borderId="159" xfId="4" applyNumberFormat="1" applyFont="1" applyFill="1" applyBorder="1" applyAlignment="1" applyProtection="1">
      <alignment horizontal="right" vertical="center"/>
      <protection locked="0"/>
    </xf>
    <xf numFmtId="3" fontId="16" fillId="0" borderId="128" xfId="4" applyNumberFormat="1" applyFont="1" applyFill="1" applyBorder="1" applyAlignment="1" applyProtection="1">
      <alignment horizontal="right" vertical="center"/>
      <protection locked="0"/>
    </xf>
    <xf numFmtId="3" fontId="4" fillId="0" borderId="56" xfId="0" applyNumberFormat="1" applyFont="1" applyFill="1" applyBorder="1" applyAlignment="1" applyProtection="1">
      <alignment vertical="center"/>
      <protection locked="0"/>
    </xf>
    <xf numFmtId="3" fontId="4" fillId="0" borderId="64" xfId="0" applyNumberFormat="1" applyFont="1" applyFill="1" applyBorder="1" applyAlignment="1" applyProtection="1">
      <alignment vertical="center"/>
      <protection locked="0"/>
    </xf>
    <xf numFmtId="3" fontId="4" fillId="0" borderId="11" xfId="0" applyNumberFormat="1" applyFont="1" applyFill="1" applyBorder="1" applyAlignment="1" applyProtection="1">
      <alignment vertical="center"/>
      <protection locked="0"/>
    </xf>
    <xf numFmtId="3" fontId="4" fillId="0" borderId="197" xfId="0" applyNumberFormat="1" applyFont="1" applyFill="1" applyBorder="1" applyAlignment="1" applyProtection="1">
      <alignment vertical="center"/>
      <protection locked="0"/>
    </xf>
    <xf numFmtId="3" fontId="4" fillId="0" borderId="125" xfId="0" applyNumberFormat="1" applyFont="1" applyFill="1" applyBorder="1" applyAlignment="1" applyProtection="1">
      <alignment vertical="center"/>
      <protection locked="0"/>
    </xf>
    <xf numFmtId="3" fontId="4" fillId="0" borderId="200" xfId="0" applyNumberFormat="1" applyFont="1" applyFill="1" applyBorder="1" applyAlignment="1" applyProtection="1">
      <alignment vertical="center"/>
      <protection locked="0"/>
    </xf>
    <xf numFmtId="3" fontId="4" fillId="0" borderId="127" xfId="0" applyNumberFormat="1" applyFont="1" applyFill="1" applyBorder="1" applyAlignment="1" applyProtection="1">
      <alignment vertical="center"/>
      <protection locked="0"/>
    </xf>
    <xf numFmtId="3" fontId="4" fillId="0" borderId="74" xfId="0" applyNumberFormat="1" applyFont="1" applyFill="1" applyBorder="1" applyAlignment="1" applyProtection="1">
      <alignment vertical="center"/>
      <protection locked="0"/>
    </xf>
    <xf numFmtId="3" fontId="0" fillId="0" borderId="195" xfId="0" applyNumberFormat="1" applyFill="1" applyBorder="1" applyAlignment="1" applyProtection="1">
      <alignment horizontal="right" vertical="center"/>
      <protection locked="0"/>
    </xf>
    <xf numFmtId="3" fontId="4" fillId="0" borderId="129" xfId="0" applyNumberFormat="1" applyFont="1" applyFill="1" applyBorder="1" applyAlignment="1" applyProtection="1">
      <alignment vertical="center"/>
      <protection locked="0"/>
    </xf>
    <xf numFmtId="3" fontId="4" fillId="0" borderId="201" xfId="0" applyNumberFormat="1" applyFont="1" applyFill="1" applyBorder="1" applyAlignment="1" applyProtection="1">
      <alignment vertical="center"/>
      <protection locked="0"/>
    </xf>
    <xf numFmtId="3" fontId="4" fillId="0" borderId="196" xfId="0" applyNumberFormat="1" applyFont="1" applyFill="1" applyBorder="1" applyAlignment="1" applyProtection="1">
      <alignment vertical="center"/>
      <protection locked="0"/>
    </xf>
    <xf numFmtId="3" fontId="4" fillId="0" borderId="147" xfId="0" applyNumberFormat="1" applyFont="1" applyFill="1" applyBorder="1" applyAlignment="1" applyProtection="1">
      <alignment vertical="center"/>
      <protection locked="0"/>
    </xf>
    <xf numFmtId="3" fontId="4" fillId="0" borderId="124" xfId="0" applyNumberFormat="1" applyFont="1" applyFill="1" applyBorder="1" applyAlignment="1" applyProtection="1">
      <alignment vertical="center"/>
      <protection locked="0"/>
    </xf>
    <xf numFmtId="3" fontId="65" fillId="0" borderId="133" xfId="0" applyNumberFormat="1" applyFont="1" applyFill="1" applyBorder="1" applyAlignment="1" applyProtection="1">
      <alignment vertical="center"/>
      <protection locked="0"/>
    </xf>
    <xf numFmtId="3" fontId="4" fillId="0" borderId="146" xfId="0" applyNumberFormat="1" applyFont="1" applyFill="1" applyBorder="1" applyAlignment="1" applyProtection="1">
      <alignment vertical="center"/>
      <protection locked="0"/>
    </xf>
    <xf numFmtId="3" fontId="65" fillId="0" borderId="134" xfId="0" applyNumberFormat="1" applyFont="1" applyFill="1" applyBorder="1" applyAlignment="1" applyProtection="1">
      <alignment vertical="center"/>
      <protection locked="0"/>
    </xf>
    <xf numFmtId="3" fontId="16" fillId="0" borderId="193" xfId="0" applyNumberFormat="1" applyFont="1" applyFill="1" applyBorder="1" applyAlignment="1" applyProtection="1">
      <alignment horizontal="right" vertical="center"/>
      <protection locked="0"/>
    </xf>
    <xf numFmtId="3" fontId="16" fillId="0" borderId="196" xfId="4" applyNumberFormat="1" applyFont="1" applyFill="1" applyBorder="1" applyAlignment="1" applyProtection="1">
      <alignment horizontal="right" vertical="center"/>
      <protection locked="0"/>
    </xf>
    <xf numFmtId="3" fontId="0" fillId="0" borderId="64" xfId="0" applyNumberFormat="1" applyFill="1" applyBorder="1" applyAlignment="1" applyProtection="1">
      <alignment horizontal="right" vertical="center"/>
      <protection locked="0"/>
    </xf>
    <xf numFmtId="3" fontId="0" fillId="0" borderId="202" xfId="0" applyNumberFormat="1" applyFill="1" applyBorder="1" applyAlignment="1" applyProtection="1">
      <alignment horizontal="right" vertical="center"/>
      <protection locked="0"/>
    </xf>
    <xf numFmtId="3" fontId="0" fillId="0" borderId="203" xfId="0" applyNumberFormat="1" applyFill="1" applyBorder="1" applyAlignment="1" applyProtection="1">
      <alignment horizontal="right" vertical="center"/>
      <protection locked="0"/>
    </xf>
    <xf numFmtId="3" fontId="51" fillId="0" borderId="30" xfId="0" applyNumberFormat="1" applyFont="1" applyFill="1" applyBorder="1" applyAlignment="1" applyProtection="1">
      <alignment horizontal="right" vertical="center"/>
    </xf>
    <xf numFmtId="3" fontId="51" fillId="0" borderId="203" xfId="0" applyNumberFormat="1" applyFont="1" applyFill="1" applyBorder="1" applyAlignment="1" applyProtection="1">
      <alignment horizontal="right" vertical="center"/>
    </xf>
    <xf numFmtId="3" fontId="51" fillId="0" borderId="191" xfId="0" applyNumberFormat="1" applyFont="1" applyFill="1" applyBorder="1" applyAlignment="1" applyProtection="1">
      <alignment horizontal="right" vertical="center"/>
      <protection locked="0"/>
    </xf>
    <xf numFmtId="3" fontId="51" fillId="0" borderId="199" xfId="0" applyNumberFormat="1" applyFont="1" applyFill="1" applyBorder="1" applyAlignment="1" applyProtection="1">
      <alignment horizontal="right" vertical="center"/>
      <protection locked="0"/>
    </xf>
    <xf numFmtId="3" fontId="0" fillId="0" borderId="204" xfId="0" applyNumberFormat="1" applyFill="1" applyBorder="1" applyAlignment="1" applyProtection="1">
      <alignment horizontal="right" vertical="center"/>
      <protection locked="0"/>
    </xf>
    <xf numFmtId="3" fontId="58" fillId="0" borderId="199" xfId="0" applyNumberFormat="1" applyFont="1" applyFill="1" applyBorder="1" applyAlignment="1" applyProtection="1">
      <alignment horizontal="right" vertical="center"/>
      <protection locked="0"/>
    </xf>
    <xf numFmtId="3" fontId="51" fillId="0" borderId="205" xfId="0" applyNumberFormat="1" applyFont="1" applyFill="1" applyBorder="1" applyAlignment="1" applyProtection="1">
      <alignment horizontal="right" vertical="center"/>
    </xf>
    <xf numFmtId="3" fontId="51" fillId="0" borderId="128" xfId="0" applyNumberFormat="1" applyFont="1" applyFill="1" applyBorder="1" applyAlignment="1" applyProtection="1">
      <alignment horizontal="right" vertical="center"/>
    </xf>
    <xf numFmtId="3" fontId="51" fillId="0" borderId="129" xfId="0" applyNumberFormat="1" applyFont="1" applyFill="1" applyBorder="1" applyAlignment="1" applyProtection="1">
      <alignment horizontal="right" vertical="center"/>
      <protection locked="0"/>
    </xf>
    <xf numFmtId="3" fontId="51" fillId="0" borderId="131" xfId="0" applyNumberFormat="1" applyFont="1" applyFill="1" applyBorder="1" applyAlignment="1" applyProtection="1">
      <alignment horizontal="right" vertical="center"/>
      <protection locked="0"/>
    </xf>
    <xf numFmtId="3" fontId="0" fillId="0" borderId="201" xfId="0" applyNumberFormat="1" applyFill="1" applyBorder="1" applyAlignment="1" applyProtection="1">
      <alignment horizontal="right" vertical="center"/>
      <protection locked="0"/>
    </xf>
    <xf numFmtId="3" fontId="58" fillId="0" borderId="131" xfId="0" applyNumberFormat="1" applyFont="1" applyFill="1" applyBorder="1" applyAlignment="1" applyProtection="1">
      <alignment horizontal="right" vertical="center"/>
      <protection locked="0"/>
    </xf>
    <xf numFmtId="3" fontId="21" fillId="0" borderId="40" xfId="0" applyNumberFormat="1" applyFont="1" applyFill="1" applyBorder="1" applyAlignment="1" applyProtection="1">
      <alignment vertical="center"/>
      <protection locked="0"/>
    </xf>
    <xf numFmtId="3" fontId="4" fillId="0" borderId="113" xfId="0" applyNumberFormat="1" applyFont="1" applyFill="1" applyBorder="1" applyAlignment="1" applyProtection="1">
      <alignment vertical="center"/>
      <protection locked="0"/>
    </xf>
    <xf numFmtId="3" fontId="4" fillId="0" borderId="14" xfId="0" applyNumberFormat="1" applyFont="1" applyFill="1" applyBorder="1" applyAlignment="1" applyProtection="1">
      <alignment vertical="center"/>
      <protection locked="0"/>
    </xf>
    <xf numFmtId="3" fontId="21" fillId="0" borderId="82" xfId="0" applyNumberFormat="1" applyFont="1" applyFill="1" applyBorder="1" applyAlignment="1" applyProtection="1">
      <alignment vertical="center"/>
      <protection locked="0"/>
    </xf>
    <xf numFmtId="3" fontId="4" fillId="0" borderId="96" xfId="0" applyNumberFormat="1" applyFont="1" applyFill="1" applyBorder="1" applyAlignment="1" applyProtection="1">
      <alignment vertical="center"/>
      <protection locked="0"/>
    </xf>
    <xf numFmtId="3" fontId="4" fillId="0" borderId="206" xfId="0" applyNumberFormat="1" applyFont="1" applyFill="1" applyBorder="1" applyAlignment="1" applyProtection="1">
      <alignment vertical="center"/>
      <protection locked="0"/>
    </xf>
    <xf numFmtId="0" fontId="21" fillId="7" borderId="23" xfId="0" applyFont="1" applyFill="1" applyBorder="1" applyAlignment="1" applyProtection="1">
      <alignment horizontal="centerContinuous" vertical="center"/>
    </xf>
    <xf numFmtId="3" fontId="21" fillId="0" borderId="147" xfId="0" applyNumberFormat="1" applyFont="1" applyFill="1" applyBorder="1" applyAlignment="1" applyProtection="1">
      <alignment vertical="center"/>
      <protection locked="0"/>
    </xf>
    <xf numFmtId="3" fontId="4" fillId="0" borderId="130" xfId="0" applyNumberFormat="1" applyFont="1" applyFill="1" applyBorder="1" applyAlignment="1" applyProtection="1">
      <alignment vertical="center"/>
      <protection locked="0"/>
    </xf>
    <xf numFmtId="3" fontId="4" fillId="0" borderId="207" xfId="0" applyNumberFormat="1" applyFont="1" applyFill="1" applyBorder="1" applyAlignment="1" applyProtection="1">
      <alignment vertical="center"/>
      <protection locked="0"/>
    </xf>
    <xf numFmtId="0" fontId="21" fillId="7" borderId="198" xfId="0" applyFont="1" applyFill="1" applyBorder="1" applyAlignment="1" applyProtection="1">
      <alignment vertical="center" wrapText="1"/>
    </xf>
    <xf numFmtId="0" fontId="21" fillId="7" borderId="25" xfId="0" applyFont="1" applyFill="1" applyBorder="1" applyAlignment="1" applyProtection="1">
      <alignment vertical="center" wrapText="1"/>
    </xf>
    <xf numFmtId="3" fontId="0" fillId="0" borderId="53" xfId="0" applyNumberFormat="1" applyFill="1" applyBorder="1" applyProtection="1">
      <protection locked="0"/>
    </xf>
    <xf numFmtId="3" fontId="0" fillId="0" borderId="91" xfId="0" applyNumberFormat="1" applyFill="1" applyBorder="1" applyProtection="1">
      <protection locked="0"/>
    </xf>
    <xf numFmtId="3" fontId="0" fillId="0" borderId="57" xfId="0" applyNumberFormat="1" applyFill="1" applyBorder="1" applyProtection="1">
      <protection locked="0"/>
    </xf>
    <xf numFmtId="3" fontId="58" fillId="0" borderId="60" xfId="0" applyNumberFormat="1" applyFont="1" applyFill="1" applyBorder="1" applyProtection="1">
      <protection locked="0"/>
    </xf>
    <xf numFmtId="3" fontId="0" fillId="0" borderId="197" xfId="0" applyNumberFormat="1" applyFill="1" applyBorder="1" applyProtection="1">
      <protection locked="0"/>
    </xf>
    <xf numFmtId="3" fontId="0" fillId="0" borderId="123" xfId="0" applyNumberFormat="1" applyFill="1" applyBorder="1" applyProtection="1">
      <protection locked="0"/>
    </xf>
    <xf numFmtId="3" fontId="0" fillId="0" borderId="124" xfId="0" applyNumberFormat="1" applyFill="1" applyBorder="1" applyProtection="1">
      <protection locked="0"/>
    </xf>
    <xf numFmtId="3" fontId="0" fillId="0" borderId="125" xfId="0" applyNumberFormat="1" applyFill="1" applyBorder="1" applyProtection="1">
      <protection locked="0"/>
    </xf>
    <xf numFmtId="3" fontId="0" fillId="0" borderId="127" xfId="0" applyNumberFormat="1" applyFill="1" applyBorder="1" applyProtection="1">
      <protection locked="0"/>
    </xf>
    <xf numFmtId="0" fontId="0" fillId="7" borderId="0" xfId="0" applyFill="1" applyBorder="1" applyProtection="1"/>
    <xf numFmtId="3" fontId="0" fillId="0" borderId="203" xfId="0" applyNumberFormat="1" applyFill="1" applyBorder="1" applyProtection="1">
      <protection locked="0"/>
    </xf>
    <xf numFmtId="3" fontId="0" fillId="0" borderId="191" xfId="0" applyNumberFormat="1" applyFill="1" applyBorder="1" applyProtection="1">
      <protection locked="0"/>
    </xf>
    <xf numFmtId="3" fontId="58" fillId="0" borderId="192" xfId="0" applyNumberFormat="1" applyFont="1" applyFill="1" applyBorder="1" applyProtection="1">
      <protection locked="0"/>
    </xf>
    <xf numFmtId="3" fontId="0" fillId="0" borderId="193" xfId="0" applyNumberFormat="1" applyFill="1" applyBorder="1" applyProtection="1">
      <protection locked="0"/>
    </xf>
    <xf numFmtId="3" fontId="0" fillId="0" borderId="194" xfId="0" applyNumberFormat="1" applyFill="1" applyBorder="1" applyProtection="1">
      <protection locked="0"/>
    </xf>
    <xf numFmtId="3" fontId="0" fillId="0" borderId="128" xfId="0" applyNumberFormat="1" applyFill="1" applyBorder="1" applyProtection="1">
      <protection locked="0"/>
    </xf>
    <xf numFmtId="3" fontId="0" fillId="0" borderId="129" xfId="0" applyNumberFormat="1" applyFill="1" applyBorder="1" applyProtection="1">
      <protection locked="0"/>
    </xf>
    <xf numFmtId="3" fontId="58" fillId="0" borderId="195" xfId="0" applyNumberFormat="1" applyFont="1" applyFill="1" applyBorder="1" applyProtection="1">
      <protection locked="0"/>
    </xf>
    <xf numFmtId="3" fontId="0" fillId="0" borderId="196" xfId="0" applyNumberFormat="1" applyFill="1" applyBorder="1" applyProtection="1">
      <protection locked="0"/>
    </xf>
    <xf numFmtId="0" fontId="16" fillId="0" borderId="40" xfId="0" applyFont="1" applyFill="1" applyBorder="1" applyAlignment="1" applyProtection="1">
      <alignment horizontal="center" vertical="center" wrapText="1"/>
      <protection locked="0"/>
    </xf>
    <xf numFmtId="0" fontId="0" fillId="0" borderId="62" xfId="0" applyFill="1" applyBorder="1" applyProtection="1">
      <protection locked="0"/>
    </xf>
    <xf numFmtId="0" fontId="0" fillId="0" borderId="113" xfId="0" applyFill="1" applyBorder="1" applyProtection="1">
      <protection locked="0"/>
    </xf>
    <xf numFmtId="0" fontId="0" fillId="0" borderId="56" xfId="0" applyFill="1" applyBorder="1" applyAlignment="1" applyProtection="1">
      <alignment vertical="center"/>
      <protection locked="0"/>
    </xf>
    <xf numFmtId="0" fontId="0" fillId="0" borderId="154" xfId="0" applyFill="1" applyBorder="1" applyAlignment="1" applyProtection="1">
      <alignment vertical="center"/>
      <protection locked="0"/>
    </xf>
    <xf numFmtId="0" fontId="16" fillId="0" borderId="40" xfId="0" applyFont="1" applyFill="1" applyBorder="1" applyAlignment="1" applyProtection="1">
      <alignment horizontal="center" vertical="center"/>
      <protection locked="0"/>
    </xf>
    <xf numFmtId="0" fontId="16" fillId="16" borderId="40" xfId="0" applyFont="1" applyFill="1" applyBorder="1" applyAlignment="1" applyProtection="1">
      <alignment horizontal="center"/>
      <protection locked="0"/>
    </xf>
    <xf numFmtId="0" fontId="0" fillId="16" borderId="62" xfId="0" applyFill="1" applyBorder="1" applyProtection="1">
      <protection locked="0"/>
    </xf>
    <xf numFmtId="0" fontId="0" fillId="16" borderId="56" xfId="0" applyFill="1" applyBorder="1" applyProtection="1">
      <protection locked="0"/>
    </xf>
    <xf numFmtId="0" fontId="0" fillId="16" borderId="113" xfId="0" applyFill="1" applyBorder="1" applyProtection="1">
      <protection locked="0"/>
    </xf>
    <xf numFmtId="0" fontId="0" fillId="16" borderId="56" xfId="0" applyFill="1" applyBorder="1" applyAlignment="1" applyProtection="1">
      <alignment vertical="center"/>
      <protection locked="0"/>
    </xf>
    <xf numFmtId="0" fontId="0" fillId="16" borderId="154" xfId="0" applyFill="1" applyBorder="1" applyAlignment="1" applyProtection="1">
      <alignment vertical="center"/>
      <protection locked="0"/>
    </xf>
    <xf numFmtId="0" fontId="0" fillId="16" borderId="140" xfId="0" applyFill="1" applyBorder="1" applyProtection="1">
      <protection locked="0"/>
    </xf>
    <xf numFmtId="0" fontId="16" fillId="0" borderId="81" xfId="0" applyFont="1" applyFill="1" applyBorder="1" applyAlignment="1" applyProtection="1">
      <alignment horizontal="center" vertical="center"/>
      <protection locked="0"/>
    </xf>
    <xf numFmtId="0" fontId="0" fillId="0" borderId="84" xfId="0" applyFill="1" applyBorder="1" applyProtection="1">
      <protection locked="0"/>
    </xf>
    <xf numFmtId="0" fontId="0" fillId="0" borderId="55" xfId="0" applyFill="1" applyBorder="1" applyProtection="1">
      <protection locked="0"/>
    </xf>
    <xf numFmtId="0" fontId="0" fillId="0" borderId="88" xfId="0" applyFill="1" applyBorder="1" applyProtection="1">
      <protection locked="0"/>
    </xf>
    <xf numFmtId="0" fontId="0" fillId="0" borderId="55" xfId="0" applyFill="1" applyBorder="1" applyAlignment="1" applyProtection="1">
      <alignment vertical="center"/>
      <protection locked="0"/>
    </xf>
    <xf numFmtId="0" fontId="0" fillId="0" borderId="211" xfId="0" applyFill="1" applyBorder="1" applyAlignment="1" applyProtection="1">
      <alignment vertical="center"/>
      <protection locked="0"/>
    </xf>
    <xf numFmtId="0" fontId="0" fillId="0" borderId="155" xfId="0" applyFill="1" applyBorder="1" applyProtection="1">
      <protection locked="0"/>
    </xf>
    <xf numFmtId="0" fontId="16" fillId="0" borderId="212" xfId="0" applyFont="1" applyFill="1" applyBorder="1" applyAlignment="1" applyProtection="1">
      <alignment horizontal="center" vertical="center"/>
      <protection locked="0"/>
    </xf>
    <xf numFmtId="0" fontId="0" fillId="0" borderId="213" xfId="0" applyFill="1" applyBorder="1" applyProtection="1">
      <protection locked="0"/>
    </xf>
    <xf numFmtId="0" fontId="0" fillId="0" borderId="214" xfId="0" applyFill="1" applyBorder="1" applyProtection="1">
      <protection locked="0"/>
    </xf>
    <xf numFmtId="0" fontId="0" fillId="0" borderId="215" xfId="0" applyFill="1" applyBorder="1" applyProtection="1">
      <protection locked="0"/>
    </xf>
    <xf numFmtId="0" fontId="0" fillId="0" borderId="214" xfId="0" applyFill="1" applyBorder="1" applyAlignment="1" applyProtection="1">
      <alignment vertical="center"/>
      <protection locked="0"/>
    </xf>
    <xf numFmtId="0" fontId="0" fillId="0" borderId="216" xfId="0" applyFill="1" applyBorder="1" applyAlignment="1" applyProtection="1">
      <alignment vertical="center"/>
      <protection locked="0"/>
    </xf>
    <xf numFmtId="0" fontId="0" fillId="0" borderId="217" xfId="0" applyFill="1" applyBorder="1" applyProtection="1">
      <protection locked="0"/>
    </xf>
    <xf numFmtId="0" fontId="16" fillId="16" borderId="81" xfId="0" applyFont="1" applyFill="1" applyBorder="1" applyAlignment="1" applyProtection="1">
      <alignment horizontal="center"/>
      <protection locked="0"/>
    </xf>
    <xf numFmtId="0" fontId="0" fillId="16" borderId="84" xfId="0" applyFill="1" applyBorder="1" applyProtection="1">
      <protection locked="0"/>
    </xf>
    <xf numFmtId="0" fontId="0" fillId="16" borderId="55" xfId="0" applyFill="1" applyBorder="1" applyProtection="1">
      <protection locked="0"/>
    </xf>
    <xf numFmtId="0" fontId="0" fillId="16" borderId="88" xfId="0" applyFill="1" applyBorder="1" applyProtection="1">
      <protection locked="0"/>
    </xf>
    <xf numFmtId="0" fontId="0" fillId="16" borderId="55" xfId="0" applyFill="1" applyBorder="1" applyAlignment="1" applyProtection="1">
      <alignment vertical="center"/>
      <protection locked="0"/>
    </xf>
    <xf numFmtId="0" fontId="0" fillId="16" borderId="211" xfId="0" applyFill="1" applyBorder="1" applyAlignment="1" applyProtection="1">
      <alignment vertical="center"/>
      <protection locked="0"/>
    </xf>
    <xf numFmtId="0" fontId="0" fillId="16" borderId="155" xfId="0" applyFill="1" applyBorder="1" applyProtection="1">
      <protection locked="0"/>
    </xf>
    <xf numFmtId="0" fontId="16" fillId="16" borderId="218" xfId="0" applyFont="1" applyFill="1" applyBorder="1" applyAlignment="1" applyProtection="1">
      <alignment horizontal="center"/>
      <protection locked="0"/>
    </xf>
    <xf numFmtId="0" fontId="0" fillId="16" borderId="219" xfId="0" applyFill="1" applyBorder="1" applyProtection="1">
      <protection locked="0"/>
    </xf>
    <xf numFmtId="0" fontId="0" fillId="16" borderId="220" xfId="0" applyFill="1" applyBorder="1" applyProtection="1">
      <protection locked="0"/>
    </xf>
    <xf numFmtId="0" fontId="0" fillId="16" borderId="221" xfId="0" applyFill="1" applyBorder="1" applyProtection="1">
      <protection locked="0"/>
    </xf>
    <xf numFmtId="0" fontId="0" fillId="16" borderId="220" xfId="0" applyFill="1" applyBorder="1" applyAlignment="1" applyProtection="1">
      <alignment vertical="center"/>
      <protection locked="0"/>
    </xf>
    <xf numFmtId="0" fontId="0" fillId="16" borderId="222" xfId="0" applyFill="1" applyBorder="1" applyAlignment="1" applyProtection="1">
      <alignment vertical="center"/>
      <protection locked="0"/>
    </xf>
    <xf numFmtId="0" fontId="0" fillId="16" borderId="223" xfId="0" applyFill="1" applyBorder="1" applyProtection="1">
      <protection locked="0"/>
    </xf>
    <xf numFmtId="0" fontId="16" fillId="0" borderId="224" xfId="4" applyFont="1" applyFill="1" applyBorder="1" applyProtection="1">
      <protection locked="0"/>
    </xf>
    <xf numFmtId="0" fontId="16" fillId="0" borderId="44" xfId="4" applyFont="1" applyFill="1" applyBorder="1" applyProtection="1">
      <protection locked="0"/>
    </xf>
    <xf numFmtId="3" fontId="16" fillId="0" borderId="0" xfId="0" applyNumberFormat="1" applyFont="1" applyFill="1" applyBorder="1" applyAlignment="1" applyProtection="1">
      <alignment horizontal="right" vertical="center"/>
      <protection locked="0"/>
    </xf>
    <xf numFmtId="3" fontId="15" fillId="0" borderId="202" xfId="0" applyNumberFormat="1" applyFont="1" applyFill="1" applyBorder="1" applyAlignment="1" applyProtection="1">
      <alignment horizontal="right" vertical="center"/>
      <protection locked="0"/>
    </xf>
    <xf numFmtId="3" fontId="15" fillId="0" borderId="48" xfId="0" applyNumberFormat="1" applyFont="1" applyFill="1" applyBorder="1" applyAlignment="1" applyProtection="1">
      <alignment horizontal="right" vertical="center"/>
      <protection locked="0"/>
    </xf>
    <xf numFmtId="3" fontId="15" fillId="0" borderId="203" xfId="0" applyNumberFormat="1" applyFont="1" applyFill="1" applyBorder="1" applyAlignment="1" applyProtection="1">
      <alignment horizontal="right" vertical="center"/>
      <protection locked="0"/>
    </xf>
    <xf numFmtId="3" fontId="16" fillId="0" borderId="203" xfId="0" applyNumberFormat="1" applyFont="1" applyFill="1" applyBorder="1" applyAlignment="1" applyProtection="1">
      <alignment horizontal="right" vertical="center"/>
      <protection locked="0"/>
    </xf>
    <xf numFmtId="3" fontId="15" fillId="0" borderId="191" xfId="0" applyNumberFormat="1" applyFont="1" applyFill="1" applyBorder="1" applyAlignment="1" applyProtection="1">
      <alignment horizontal="right" vertical="center"/>
      <protection locked="0"/>
    </xf>
    <xf numFmtId="3" fontId="15" fillId="0" borderId="204" xfId="0" applyNumberFormat="1" applyFont="1" applyFill="1" applyBorder="1" applyAlignment="1" applyProtection="1">
      <alignment horizontal="right" vertical="center"/>
      <protection locked="0"/>
    </xf>
    <xf numFmtId="3" fontId="53" fillId="0" borderId="225" xfId="0" applyNumberFormat="1" applyFont="1" applyFill="1" applyBorder="1" applyAlignment="1" applyProtection="1">
      <alignment horizontal="right" vertical="center"/>
      <protection locked="0"/>
    </xf>
    <xf numFmtId="3" fontId="16" fillId="0" borderId="202" xfId="0" applyNumberFormat="1" applyFont="1" applyFill="1" applyBorder="1" applyAlignment="1" applyProtection="1">
      <alignment horizontal="right" vertical="center"/>
      <protection locked="0"/>
    </xf>
    <xf numFmtId="3" fontId="16" fillId="0" borderId="203" xfId="0" applyNumberFormat="1" applyFont="1" applyFill="1" applyBorder="1" applyAlignment="1" applyProtection="1">
      <alignment horizontal="left" vertical="center" indent="2"/>
      <protection locked="0"/>
    </xf>
    <xf numFmtId="3" fontId="52" fillId="0" borderId="202" xfId="0" applyNumberFormat="1" applyFont="1" applyFill="1" applyBorder="1" applyAlignment="1" applyProtection="1">
      <alignment horizontal="right" vertical="center"/>
      <protection locked="0"/>
    </xf>
    <xf numFmtId="3" fontId="52" fillId="0" borderId="203" xfId="0" applyNumberFormat="1" applyFont="1" applyFill="1" applyBorder="1" applyAlignment="1" applyProtection="1">
      <alignment horizontal="left" vertical="center" indent="2"/>
      <protection locked="0"/>
    </xf>
    <xf numFmtId="3" fontId="52" fillId="0" borderId="203" xfId="0" applyNumberFormat="1" applyFont="1" applyFill="1" applyBorder="1" applyAlignment="1" applyProtection="1">
      <alignment horizontal="right" vertical="center"/>
      <protection locked="0"/>
    </xf>
    <xf numFmtId="3" fontId="53" fillId="0" borderId="203" xfId="0" applyNumberFormat="1" applyFont="1" applyFill="1" applyBorder="1" applyAlignment="1" applyProtection="1">
      <alignment horizontal="right" vertical="center"/>
      <protection locked="0"/>
    </xf>
    <xf numFmtId="3" fontId="53" fillId="0" borderId="191" xfId="0" applyNumberFormat="1" applyFont="1" applyFill="1" applyBorder="1" applyAlignment="1" applyProtection="1">
      <alignment horizontal="right" vertical="center"/>
      <protection locked="0"/>
    </xf>
    <xf numFmtId="3" fontId="53" fillId="0" borderId="204" xfId="0" applyNumberFormat="1" applyFont="1" applyFill="1" applyBorder="1" applyAlignment="1" applyProtection="1">
      <alignment horizontal="right" vertical="center"/>
      <protection locked="0"/>
    </xf>
    <xf numFmtId="3" fontId="53" fillId="0" borderId="198" xfId="0" applyNumberFormat="1" applyFont="1" applyFill="1" applyBorder="1" applyAlignment="1" applyProtection="1">
      <alignment horizontal="right" vertical="center"/>
      <protection locked="0"/>
    </xf>
    <xf numFmtId="3" fontId="15" fillId="0" borderId="159" xfId="0" applyNumberFormat="1" applyFont="1" applyFill="1" applyBorder="1" applyAlignment="1" applyProtection="1">
      <alignment horizontal="right" vertical="center"/>
      <protection locked="0"/>
    </xf>
    <xf numFmtId="0" fontId="16" fillId="0" borderId="226" xfId="4" applyFont="1" applyFill="1" applyBorder="1" applyProtection="1">
      <protection locked="0"/>
    </xf>
    <xf numFmtId="3" fontId="15" fillId="0" borderId="128" xfId="0" applyNumberFormat="1" applyFont="1" applyFill="1" applyBorder="1" applyAlignment="1" applyProtection="1">
      <alignment horizontal="right" vertical="center"/>
      <protection locked="0"/>
    </xf>
    <xf numFmtId="3" fontId="16" fillId="0" borderId="128" xfId="0" applyNumberFormat="1" applyFont="1" applyFill="1" applyBorder="1" applyAlignment="1" applyProtection="1">
      <alignment horizontal="right" vertical="center"/>
      <protection locked="0"/>
    </xf>
    <xf numFmtId="3" fontId="15" fillId="0" borderId="129" xfId="0" applyNumberFormat="1" applyFont="1" applyFill="1" applyBorder="1" applyAlignment="1" applyProtection="1">
      <alignment horizontal="right" vertical="center"/>
      <protection locked="0"/>
    </xf>
    <xf numFmtId="3" fontId="15" fillId="0" borderId="201" xfId="0" applyNumberFormat="1" applyFont="1" applyFill="1" applyBorder="1" applyAlignment="1" applyProtection="1">
      <alignment horizontal="right" vertical="center"/>
      <protection locked="0"/>
    </xf>
    <xf numFmtId="3" fontId="53" fillId="0" borderId="134" xfId="0" applyNumberFormat="1" applyFont="1" applyFill="1" applyBorder="1" applyAlignment="1" applyProtection="1">
      <alignment horizontal="right" vertical="center"/>
      <protection locked="0"/>
    </xf>
    <xf numFmtId="3" fontId="16" fillId="0" borderId="159" xfId="0" applyNumberFormat="1" applyFont="1" applyFill="1" applyBorder="1" applyAlignment="1" applyProtection="1">
      <alignment horizontal="right" vertical="center"/>
      <protection locked="0"/>
    </xf>
    <xf numFmtId="3" fontId="16" fillId="0" borderId="128" xfId="0" applyNumberFormat="1" applyFont="1" applyFill="1" applyBorder="1" applyAlignment="1" applyProtection="1">
      <alignment horizontal="left" vertical="center" indent="2"/>
      <protection locked="0"/>
    </xf>
    <xf numFmtId="3" fontId="52" fillId="0" borderId="159" xfId="0" applyNumberFormat="1" applyFont="1" applyFill="1" applyBorder="1" applyAlignment="1" applyProtection="1">
      <alignment horizontal="right" vertical="center"/>
      <protection locked="0"/>
    </xf>
    <xf numFmtId="3" fontId="52" fillId="0" borderId="128" xfId="0" applyNumberFormat="1" applyFont="1" applyFill="1" applyBorder="1" applyAlignment="1" applyProtection="1">
      <alignment horizontal="left" vertical="center" indent="2"/>
      <protection locked="0"/>
    </xf>
    <xf numFmtId="3" fontId="52" fillId="0" borderId="128" xfId="0" applyNumberFormat="1" applyFont="1" applyFill="1" applyBorder="1" applyAlignment="1" applyProtection="1">
      <alignment horizontal="right" vertical="center"/>
      <protection locked="0"/>
    </xf>
    <xf numFmtId="3" fontId="53" fillId="0" borderId="128" xfId="0" applyNumberFormat="1" applyFont="1" applyFill="1" applyBorder="1" applyAlignment="1" applyProtection="1">
      <alignment horizontal="right" vertical="center"/>
      <protection locked="0"/>
    </xf>
    <xf numFmtId="3" fontId="53" fillId="0" borderId="129" xfId="0" applyNumberFormat="1" applyFont="1" applyFill="1" applyBorder="1" applyAlignment="1" applyProtection="1">
      <alignment horizontal="right" vertical="center"/>
      <protection locked="0"/>
    </xf>
    <xf numFmtId="3" fontId="53" fillId="0" borderId="201" xfId="0" applyNumberFormat="1" applyFont="1" applyFill="1" applyBorder="1" applyAlignment="1" applyProtection="1">
      <alignment horizontal="right" vertical="center"/>
      <protection locked="0"/>
    </xf>
    <xf numFmtId="3" fontId="53" fillId="0" borderId="160" xfId="0" applyNumberFormat="1" applyFont="1" applyFill="1" applyBorder="1" applyAlignment="1" applyProtection="1">
      <alignment horizontal="right" vertical="center"/>
      <protection locked="0"/>
    </xf>
    <xf numFmtId="3" fontId="15" fillId="0" borderId="226" xfId="0" applyNumberFormat="1" applyFont="1" applyFill="1" applyBorder="1" applyAlignment="1" applyProtection="1">
      <alignment horizontal="right" vertical="center"/>
      <protection locked="0"/>
    </xf>
    <xf numFmtId="3" fontId="15" fillId="0" borderId="37" xfId="0" applyNumberFormat="1" applyFont="1" applyFill="1" applyBorder="1" applyAlignment="1" applyProtection="1">
      <alignment horizontal="right" vertical="center"/>
      <protection locked="0"/>
    </xf>
    <xf numFmtId="3" fontId="15" fillId="0" borderId="85" xfId="0" applyNumberFormat="1" applyFont="1" applyFill="1" applyBorder="1" applyAlignment="1" applyProtection="1">
      <alignment horizontal="right" vertical="center"/>
      <protection locked="0"/>
    </xf>
    <xf numFmtId="3" fontId="16" fillId="0" borderId="85" xfId="0" applyNumberFormat="1" applyFont="1" applyFill="1" applyBorder="1" applyAlignment="1" applyProtection="1">
      <alignment horizontal="right" vertical="center"/>
      <protection locked="0"/>
    </xf>
    <xf numFmtId="3" fontId="15" fillId="0" borderId="86" xfId="0" applyNumberFormat="1" applyFont="1" applyFill="1" applyBorder="1" applyAlignment="1" applyProtection="1">
      <alignment horizontal="right" vertical="center"/>
      <protection locked="0"/>
    </xf>
    <xf numFmtId="3" fontId="15" fillId="0" borderId="94" xfId="0" applyNumberFormat="1" applyFont="1" applyFill="1" applyBorder="1" applyAlignment="1" applyProtection="1">
      <alignment horizontal="right" vertical="center"/>
      <protection locked="0"/>
    </xf>
    <xf numFmtId="3" fontId="53" fillId="0" borderId="227" xfId="0" applyNumberFormat="1" applyFont="1" applyFill="1" applyBorder="1" applyAlignment="1" applyProtection="1">
      <alignment horizontal="right" vertical="center"/>
      <protection locked="0"/>
    </xf>
    <xf numFmtId="3" fontId="16" fillId="0" borderId="37" xfId="0" applyNumberFormat="1" applyFont="1" applyFill="1" applyBorder="1" applyAlignment="1" applyProtection="1">
      <alignment horizontal="right" vertical="center"/>
      <protection locked="0"/>
    </xf>
    <xf numFmtId="3" fontId="16" fillId="0" borderId="85" xfId="0" applyNumberFormat="1" applyFont="1" applyFill="1" applyBorder="1" applyAlignment="1" applyProtection="1">
      <alignment horizontal="left" vertical="center" indent="2"/>
      <protection locked="0"/>
    </xf>
    <xf numFmtId="3" fontId="52" fillId="0" borderId="37" xfId="0" applyNumberFormat="1" applyFont="1" applyFill="1" applyBorder="1" applyAlignment="1" applyProtection="1">
      <alignment horizontal="right" vertical="center"/>
      <protection locked="0"/>
    </xf>
    <xf numFmtId="3" fontId="52" fillId="0" borderId="85" xfId="0" applyNumberFormat="1" applyFont="1" applyFill="1" applyBorder="1" applyAlignment="1" applyProtection="1">
      <alignment horizontal="left" vertical="center" indent="2"/>
      <protection locked="0"/>
    </xf>
    <xf numFmtId="3" fontId="52" fillId="0" borderId="85" xfId="0" applyNumberFormat="1" applyFont="1" applyFill="1" applyBorder="1" applyAlignment="1" applyProtection="1">
      <alignment horizontal="right" vertical="center"/>
      <protection locked="0"/>
    </xf>
    <xf numFmtId="3" fontId="53" fillId="0" borderId="85" xfId="0" applyNumberFormat="1" applyFont="1" applyFill="1" applyBorder="1" applyAlignment="1" applyProtection="1">
      <alignment horizontal="right" vertical="center"/>
      <protection locked="0"/>
    </xf>
    <xf numFmtId="3" fontId="53" fillId="0" borderId="86" xfId="0" applyNumberFormat="1" applyFont="1" applyFill="1" applyBorder="1" applyAlignment="1" applyProtection="1">
      <alignment horizontal="right" vertical="center"/>
      <protection locked="0"/>
    </xf>
    <xf numFmtId="3" fontId="53" fillId="0" borderId="94" xfId="0" applyNumberFormat="1" applyFont="1" applyFill="1" applyBorder="1" applyAlignment="1" applyProtection="1">
      <alignment horizontal="right" vertical="center"/>
      <protection locked="0"/>
    </xf>
    <xf numFmtId="3" fontId="53" fillId="0" borderId="23" xfId="0" applyNumberFormat="1" applyFont="1" applyFill="1" applyBorder="1" applyAlignment="1" applyProtection="1">
      <alignment horizontal="right" vertical="center"/>
      <protection locked="0"/>
    </xf>
    <xf numFmtId="3" fontId="53" fillId="0" borderId="18" xfId="0" applyNumberFormat="1" applyFont="1" applyFill="1" applyBorder="1" applyAlignment="1" applyProtection="1">
      <alignment horizontal="right" vertical="center"/>
      <protection locked="0"/>
    </xf>
    <xf numFmtId="3" fontId="15" fillId="0" borderId="80" xfId="0" applyNumberFormat="1" applyFont="1" applyFill="1" applyBorder="1" applyAlignment="1" applyProtection="1">
      <alignment horizontal="right" vertical="center"/>
      <protection locked="0"/>
    </xf>
    <xf numFmtId="3" fontId="15" fillId="0" borderId="83" xfId="0" applyNumberFormat="1" applyFont="1" applyFill="1" applyBorder="1" applyAlignment="1" applyProtection="1">
      <alignment horizontal="right" vertical="center"/>
      <protection locked="0"/>
    </xf>
    <xf numFmtId="3" fontId="16" fillId="0" borderId="83" xfId="0" applyNumberFormat="1" applyFont="1" applyFill="1" applyBorder="1" applyAlignment="1" applyProtection="1">
      <alignment horizontal="right" vertical="center"/>
      <protection locked="0"/>
    </xf>
    <xf numFmtId="3" fontId="15" fillId="0" borderId="54" xfId="0" applyNumberFormat="1" applyFont="1" applyFill="1" applyBorder="1" applyAlignment="1" applyProtection="1">
      <alignment horizontal="right" vertical="center"/>
      <protection locked="0"/>
    </xf>
    <xf numFmtId="3" fontId="15" fillId="0" borderId="92" xfId="0" applyNumberFormat="1" applyFont="1" applyFill="1" applyBorder="1" applyAlignment="1" applyProtection="1">
      <alignment horizontal="right" vertical="center"/>
      <protection locked="0"/>
    </xf>
    <xf numFmtId="3" fontId="16" fillId="0" borderId="80" xfId="0" applyNumberFormat="1" applyFont="1" applyFill="1" applyBorder="1" applyAlignment="1" applyProtection="1">
      <alignment horizontal="right" vertical="center"/>
      <protection locked="0"/>
    </xf>
    <xf numFmtId="3" fontId="16" fillId="0" borderId="83" xfId="0" applyNumberFormat="1" applyFont="1" applyFill="1" applyBorder="1" applyAlignment="1" applyProtection="1">
      <alignment horizontal="left" vertical="center" indent="2"/>
      <protection locked="0"/>
    </xf>
    <xf numFmtId="3" fontId="52" fillId="0" borderId="80" xfId="0" applyNumberFormat="1" applyFont="1" applyFill="1" applyBorder="1" applyAlignment="1" applyProtection="1">
      <alignment horizontal="right" vertical="center"/>
      <protection locked="0"/>
    </xf>
    <xf numFmtId="3" fontId="52" fillId="0" borderId="83" xfId="0" applyNumberFormat="1" applyFont="1" applyFill="1" applyBorder="1" applyAlignment="1" applyProtection="1">
      <alignment horizontal="left" vertical="center" indent="2"/>
      <protection locked="0"/>
    </xf>
    <xf numFmtId="3" fontId="52" fillId="0" borderId="83" xfId="0" applyNumberFormat="1" applyFont="1" applyFill="1" applyBorder="1" applyAlignment="1" applyProtection="1">
      <alignment horizontal="right" vertical="center"/>
      <protection locked="0"/>
    </xf>
    <xf numFmtId="3" fontId="53" fillId="0" borderId="83" xfId="0" applyNumberFormat="1" applyFont="1" applyFill="1" applyBorder="1" applyAlignment="1" applyProtection="1">
      <alignment horizontal="right" vertical="center"/>
      <protection locked="0"/>
    </xf>
    <xf numFmtId="3" fontId="53" fillId="0" borderId="54" xfId="0" applyNumberFormat="1" applyFont="1" applyFill="1" applyBorder="1" applyAlignment="1" applyProtection="1">
      <alignment horizontal="right" vertical="center"/>
      <protection locked="0"/>
    </xf>
    <xf numFmtId="3" fontId="53" fillId="0" borderId="92" xfId="0" applyNumberFormat="1" applyFont="1" applyFill="1" applyBorder="1" applyAlignment="1" applyProtection="1">
      <alignment horizontal="right" vertical="center"/>
      <protection locked="0"/>
    </xf>
    <xf numFmtId="3" fontId="15" fillId="0" borderId="229" xfId="0" applyNumberFormat="1" applyFont="1" applyFill="1" applyBorder="1" applyAlignment="1" applyProtection="1">
      <alignment horizontal="right" vertical="center"/>
      <protection locked="0"/>
    </xf>
    <xf numFmtId="3" fontId="15" fillId="0" borderId="230" xfId="0" applyNumberFormat="1" applyFont="1" applyFill="1" applyBorder="1" applyAlignment="1" applyProtection="1">
      <alignment horizontal="right" vertical="center"/>
      <protection locked="0"/>
    </xf>
    <xf numFmtId="3" fontId="15" fillId="0" borderId="231" xfId="0" applyNumberFormat="1" applyFont="1" applyFill="1" applyBorder="1" applyAlignment="1" applyProtection="1">
      <alignment horizontal="right" vertical="center"/>
      <protection locked="0"/>
    </xf>
    <xf numFmtId="3" fontId="16" fillId="0" borderId="231" xfId="0" applyNumberFormat="1" applyFont="1" applyFill="1" applyBorder="1" applyAlignment="1" applyProtection="1">
      <alignment horizontal="right" vertical="center"/>
      <protection locked="0"/>
    </xf>
    <xf numFmtId="3" fontId="15" fillId="0" borderId="232" xfId="0" applyNumberFormat="1" applyFont="1" applyFill="1" applyBorder="1" applyAlignment="1" applyProtection="1">
      <alignment horizontal="right" vertical="center"/>
      <protection locked="0"/>
    </xf>
    <xf numFmtId="3" fontId="15" fillId="0" borderId="233" xfId="0" applyNumberFormat="1" applyFont="1" applyFill="1" applyBorder="1" applyAlignment="1" applyProtection="1">
      <alignment horizontal="right" vertical="center"/>
      <protection locked="0"/>
    </xf>
    <xf numFmtId="3" fontId="53" fillId="0" borderId="234" xfId="0" applyNumberFormat="1" applyFont="1" applyFill="1" applyBorder="1" applyAlignment="1" applyProtection="1">
      <alignment horizontal="right" vertical="center"/>
      <protection locked="0"/>
    </xf>
    <xf numFmtId="3" fontId="16" fillId="0" borderId="229" xfId="0" applyNumberFormat="1" applyFont="1" applyFill="1" applyBorder="1" applyAlignment="1" applyProtection="1">
      <alignment horizontal="right" vertical="center"/>
      <protection locked="0"/>
    </xf>
    <xf numFmtId="3" fontId="16" fillId="0" borderId="231" xfId="0" applyNumberFormat="1" applyFont="1" applyFill="1" applyBorder="1" applyAlignment="1" applyProtection="1">
      <alignment horizontal="left" vertical="center" indent="2"/>
      <protection locked="0"/>
    </xf>
    <xf numFmtId="3" fontId="52" fillId="0" borderId="229" xfId="0" applyNumberFormat="1" applyFont="1" applyFill="1" applyBorder="1" applyAlignment="1" applyProtection="1">
      <alignment horizontal="right" vertical="center"/>
      <protection locked="0"/>
    </xf>
    <xf numFmtId="3" fontId="52" fillId="0" borderId="231" xfId="0" applyNumberFormat="1" applyFont="1" applyFill="1" applyBorder="1" applyAlignment="1" applyProtection="1">
      <alignment horizontal="left" vertical="center" indent="2"/>
      <protection locked="0"/>
    </xf>
    <xf numFmtId="3" fontId="52" fillId="0" borderId="231" xfId="0" applyNumberFormat="1" applyFont="1" applyFill="1" applyBorder="1" applyAlignment="1" applyProtection="1">
      <alignment horizontal="right" vertical="center"/>
      <protection locked="0"/>
    </xf>
    <xf numFmtId="3" fontId="53" fillId="0" borderId="231" xfId="0" applyNumberFormat="1" applyFont="1" applyFill="1" applyBorder="1" applyAlignment="1" applyProtection="1">
      <alignment horizontal="right" vertical="center"/>
      <protection locked="0"/>
    </xf>
    <xf numFmtId="3" fontId="53" fillId="0" borderId="232" xfId="0" applyNumberFormat="1" applyFont="1" applyFill="1" applyBorder="1" applyAlignment="1" applyProtection="1">
      <alignment horizontal="right" vertical="center"/>
      <protection locked="0"/>
    </xf>
    <xf numFmtId="3" fontId="53" fillId="0" borderId="233" xfId="0" applyNumberFormat="1" applyFont="1" applyFill="1" applyBorder="1" applyAlignment="1" applyProtection="1">
      <alignment horizontal="right" vertical="center"/>
      <protection locked="0"/>
    </xf>
    <xf numFmtId="3" fontId="53" fillId="0" borderId="235" xfId="0" applyNumberFormat="1" applyFont="1" applyFill="1" applyBorder="1" applyAlignment="1" applyProtection="1">
      <alignment horizontal="right" vertical="center"/>
      <protection locked="0"/>
    </xf>
    <xf numFmtId="3" fontId="53" fillId="0" borderId="236" xfId="0" applyNumberFormat="1" applyFont="1" applyFill="1" applyBorder="1" applyAlignment="1" applyProtection="1">
      <alignment horizontal="right" vertical="center"/>
      <protection locked="0"/>
    </xf>
    <xf numFmtId="0" fontId="16" fillId="8" borderId="13" xfId="0" applyFont="1" applyFill="1" applyBorder="1" applyAlignment="1" applyProtection="1">
      <alignment horizontal="left" vertical="center"/>
    </xf>
    <xf numFmtId="0" fontId="0" fillId="8" borderId="17" xfId="0" applyFill="1" applyBorder="1" applyAlignment="1" applyProtection="1">
      <alignment vertical="center"/>
    </xf>
    <xf numFmtId="3" fontId="16" fillId="0" borderId="148" xfId="0" applyNumberFormat="1" applyFont="1" applyFill="1" applyBorder="1" applyAlignment="1" applyProtection="1">
      <alignment horizontal="right" vertical="center"/>
      <protection locked="0"/>
    </xf>
    <xf numFmtId="3" fontId="16" fillId="0" borderId="120" xfId="0" applyNumberFormat="1" applyFont="1" applyFill="1" applyBorder="1" applyAlignment="1" applyProtection="1">
      <alignment horizontal="right" vertical="center"/>
      <protection locked="0"/>
    </xf>
    <xf numFmtId="3" fontId="16" fillId="0" borderId="113" xfId="0" applyNumberFormat="1" applyFont="1" applyFill="1" applyBorder="1" applyAlignment="1" applyProtection="1">
      <alignment horizontal="right" vertical="center"/>
      <protection locked="0"/>
    </xf>
    <xf numFmtId="3" fontId="16" fillId="0" borderId="199" xfId="0" applyNumberFormat="1" applyFont="1" applyFill="1" applyBorder="1" applyAlignment="1" applyProtection="1">
      <alignment horizontal="right" vertical="center"/>
      <protection locked="0"/>
    </xf>
    <xf numFmtId="3" fontId="16" fillId="0" borderId="131" xfId="0" applyNumberFormat="1" applyFont="1" applyFill="1" applyBorder="1" applyAlignment="1" applyProtection="1">
      <alignment horizontal="right" vertical="center"/>
      <protection locked="0"/>
    </xf>
    <xf numFmtId="3" fontId="16" fillId="0" borderId="87" xfId="0" applyNumberFormat="1" applyFont="1" applyFill="1" applyBorder="1" applyAlignment="1" applyProtection="1">
      <alignment horizontal="right" vertical="center"/>
      <protection locked="0"/>
    </xf>
    <xf numFmtId="3" fontId="16" fillId="0" borderId="89" xfId="0" applyNumberFormat="1" applyFont="1" applyFill="1" applyBorder="1" applyAlignment="1" applyProtection="1">
      <alignment horizontal="right" vertical="center"/>
      <protection locked="0"/>
    </xf>
    <xf numFmtId="3" fontId="16" fillId="0" borderId="237" xfId="0" applyNumberFormat="1" applyFont="1" applyFill="1" applyBorder="1" applyAlignment="1" applyProtection="1">
      <alignment horizontal="right" vertical="center"/>
      <protection locked="0"/>
    </xf>
    <xf numFmtId="3" fontId="16" fillId="0" borderId="70" xfId="0" applyNumberFormat="1" applyFont="1" applyFill="1" applyBorder="1" applyAlignment="1" applyProtection="1">
      <alignment horizontal="right" vertical="center"/>
      <protection locked="0"/>
    </xf>
    <xf numFmtId="3" fontId="16" fillId="0" borderId="192" xfId="0" applyNumberFormat="1" applyFont="1" applyFill="1" applyBorder="1" applyAlignment="1" applyProtection="1">
      <alignment horizontal="right" vertical="center"/>
      <protection locked="0"/>
    </xf>
    <xf numFmtId="3" fontId="16" fillId="0" borderId="195" xfId="0" applyNumberFormat="1" applyFont="1" applyFill="1" applyBorder="1" applyAlignment="1" applyProtection="1">
      <alignment horizontal="right" vertical="center"/>
      <protection locked="0"/>
    </xf>
    <xf numFmtId="3" fontId="16" fillId="0" borderId="58" xfId="0" applyNumberFormat="1" applyFont="1" applyFill="1" applyBorder="1" applyAlignment="1" applyProtection="1">
      <alignment horizontal="right" vertical="center"/>
      <protection locked="0"/>
    </xf>
    <xf numFmtId="3" fontId="16" fillId="0" borderId="23" xfId="0" applyNumberFormat="1" applyFont="1" applyFill="1" applyBorder="1" applyAlignment="1" applyProtection="1">
      <alignment horizontal="right" vertical="center"/>
      <protection locked="0"/>
    </xf>
    <xf numFmtId="3" fontId="16" fillId="0" borderId="235" xfId="0" applyNumberFormat="1" applyFont="1" applyFill="1" applyBorder="1" applyAlignment="1" applyProtection="1">
      <alignment horizontal="right" vertical="center"/>
      <protection locked="0"/>
    </xf>
    <xf numFmtId="3" fontId="16" fillId="0" borderId="4" xfId="0" applyNumberFormat="1" applyFont="1" applyFill="1" applyBorder="1" applyAlignment="1" applyProtection="1">
      <alignment horizontal="right" vertical="center"/>
      <protection locked="0"/>
    </xf>
    <xf numFmtId="3" fontId="16" fillId="0" borderId="238" xfId="0" applyNumberFormat="1" applyFont="1" applyFill="1" applyBorder="1" applyAlignment="1" applyProtection="1">
      <alignment horizontal="right" vertical="center"/>
      <protection locked="0"/>
    </xf>
    <xf numFmtId="3" fontId="16" fillId="0" borderId="5" xfId="0" applyNumberFormat="1" applyFont="1" applyFill="1" applyBorder="1" applyAlignment="1" applyProtection="1">
      <alignment horizontal="right" vertical="center"/>
      <protection locked="0"/>
    </xf>
    <xf numFmtId="3" fontId="16" fillId="0" borderId="189" xfId="0" applyNumberFormat="1" applyFont="1" applyFill="1" applyBorder="1" applyAlignment="1" applyProtection="1">
      <alignment horizontal="right" vertical="center"/>
      <protection locked="0"/>
    </xf>
    <xf numFmtId="3" fontId="16" fillId="0" borderId="208" xfId="0" applyNumberFormat="1" applyFont="1" applyFill="1" applyBorder="1" applyAlignment="1" applyProtection="1">
      <alignment horizontal="right" vertical="center"/>
      <protection locked="0"/>
    </xf>
    <xf numFmtId="3" fontId="16" fillId="0" borderId="210" xfId="0" applyNumberFormat="1" applyFont="1" applyFill="1" applyBorder="1" applyAlignment="1" applyProtection="1">
      <alignment horizontal="right" vertical="center"/>
      <protection locked="0"/>
    </xf>
    <xf numFmtId="3" fontId="16" fillId="0" borderId="26" xfId="0" applyNumberFormat="1" applyFont="1" applyFill="1" applyBorder="1" applyAlignment="1" applyProtection="1">
      <alignment horizontal="right" vertical="center"/>
      <protection locked="0"/>
    </xf>
    <xf numFmtId="3" fontId="16" fillId="0" borderId="228" xfId="0" applyNumberFormat="1" applyFont="1" applyFill="1" applyBorder="1" applyAlignment="1" applyProtection="1">
      <alignment horizontal="right" vertical="center"/>
      <protection locked="0"/>
    </xf>
    <xf numFmtId="0" fontId="15" fillId="0" borderId="82" xfId="4" applyFill="1" applyBorder="1" applyProtection="1">
      <protection locked="0"/>
    </xf>
    <xf numFmtId="0" fontId="15" fillId="0" borderId="239" xfId="4" applyFill="1" applyBorder="1" applyProtection="1">
      <protection locked="0"/>
    </xf>
    <xf numFmtId="0" fontId="20" fillId="0" borderId="91" xfId="4" applyFont="1" applyFill="1" applyBorder="1" applyProtection="1">
      <protection locked="0"/>
    </xf>
    <xf numFmtId="0" fontId="15" fillId="0" borderId="57" xfId="4" applyFill="1" applyBorder="1" applyProtection="1">
      <protection locked="0"/>
    </xf>
    <xf numFmtId="0" fontId="15" fillId="0" borderId="95" xfId="4" applyFill="1" applyBorder="1" applyProtection="1">
      <protection locked="0"/>
    </xf>
    <xf numFmtId="0" fontId="62" fillId="0" borderId="132" xfId="4" applyFont="1" applyFill="1" applyBorder="1" applyProtection="1">
      <protection locked="0"/>
    </xf>
    <xf numFmtId="0" fontId="15" fillId="0" borderId="132" xfId="4" applyFill="1" applyBorder="1" applyProtection="1">
      <protection locked="0"/>
    </xf>
    <xf numFmtId="0" fontId="20" fillId="0" borderId="60" xfId="4" applyFont="1" applyFill="1" applyBorder="1" applyProtection="1">
      <protection locked="0"/>
    </xf>
    <xf numFmtId="0" fontId="62" fillId="0" borderId="224" xfId="4" applyFont="1" applyFill="1" applyBorder="1" applyProtection="1">
      <protection locked="0"/>
    </xf>
    <xf numFmtId="0" fontId="16" fillId="0" borderId="239" xfId="4" applyFont="1" applyFill="1" applyBorder="1" applyProtection="1">
      <protection locked="0"/>
    </xf>
    <xf numFmtId="0" fontId="61" fillId="0" borderId="197" xfId="4" applyFont="1" applyFill="1" applyBorder="1" applyProtection="1">
      <protection locked="0"/>
    </xf>
    <xf numFmtId="0" fontId="15" fillId="6" borderId="0" xfId="4" applyFill="1" applyBorder="1" applyProtection="1">
      <protection locked="0"/>
    </xf>
    <xf numFmtId="0" fontId="15" fillId="0" borderId="147" xfId="4" applyFill="1" applyBorder="1" applyProtection="1">
      <protection locked="0"/>
    </xf>
    <xf numFmtId="0" fontId="15" fillId="0" borderId="186" xfId="4" applyFill="1" applyBorder="1" applyProtection="1">
      <protection locked="0"/>
    </xf>
    <xf numFmtId="0" fontId="20" fillId="0" borderId="124" xfId="4" applyFont="1" applyFill="1" applyBorder="1" applyProtection="1">
      <protection locked="0"/>
    </xf>
    <xf numFmtId="0" fontId="15" fillId="0" borderId="125" xfId="4" applyFill="1" applyBorder="1" applyProtection="1">
      <protection locked="0"/>
    </xf>
    <xf numFmtId="0" fontId="15" fillId="0" borderId="200" xfId="4" applyFill="1" applyBorder="1" applyProtection="1">
      <protection locked="0"/>
    </xf>
    <xf numFmtId="0" fontId="62" fillId="0" borderId="133" xfId="4" applyFont="1" applyFill="1" applyBorder="1" applyProtection="1">
      <protection locked="0"/>
    </xf>
    <xf numFmtId="0" fontId="15" fillId="0" borderId="133" xfId="4" applyFill="1" applyBorder="1" applyProtection="1">
      <protection locked="0"/>
    </xf>
    <xf numFmtId="0" fontId="20" fillId="0" borderId="126" xfId="4" applyFont="1" applyFill="1" applyBorder="1" applyProtection="1">
      <protection locked="0"/>
    </xf>
    <xf numFmtId="0" fontId="62" fillId="0" borderId="185" xfId="4" applyFont="1" applyFill="1" applyBorder="1" applyProtection="1">
      <protection locked="0"/>
    </xf>
    <xf numFmtId="0" fontId="16" fillId="0" borderId="186" xfId="4" applyFont="1" applyFill="1" applyBorder="1" applyProtection="1">
      <protection locked="0"/>
    </xf>
    <xf numFmtId="0" fontId="61" fillId="0" borderId="127" xfId="4" applyFont="1" applyFill="1" applyBorder="1" applyProtection="1">
      <protection locked="0"/>
    </xf>
    <xf numFmtId="0" fontId="15" fillId="0" borderId="240" xfId="4" applyNumberFormat="1" applyFill="1" applyBorder="1" applyProtection="1">
      <protection locked="0"/>
    </xf>
    <xf numFmtId="0" fontId="16" fillId="0" borderId="48" xfId="4" applyNumberFormat="1" applyFont="1" applyFill="1" applyBorder="1" applyProtection="1">
      <protection locked="0"/>
    </xf>
    <xf numFmtId="0" fontId="20" fillId="0" borderId="203" xfId="4" applyNumberFormat="1" applyFont="1" applyFill="1" applyBorder="1" applyProtection="1">
      <protection locked="0"/>
    </xf>
    <xf numFmtId="0" fontId="15" fillId="0" borderId="191" xfId="4" applyNumberFormat="1" applyFill="1" applyBorder="1" applyProtection="1">
      <protection locked="0"/>
    </xf>
    <xf numFmtId="0" fontId="15" fillId="0" borderId="204" xfId="4" applyNumberFormat="1" applyFill="1" applyBorder="1" applyProtection="1">
      <protection locked="0"/>
    </xf>
    <xf numFmtId="0" fontId="62" fillId="0" borderId="225" xfId="4" applyNumberFormat="1" applyFont="1" applyFill="1" applyBorder="1" applyProtection="1">
      <protection locked="0"/>
    </xf>
    <xf numFmtId="0" fontId="15" fillId="0" borderId="225" xfId="4" applyNumberFormat="1" applyFill="1" applyBorder="1" applyProtection="1">
      <protection locked="0"/>
    </xf>
    <xf numFmtId="0" fontId="20" fillId="0" borderId="192" xfId="4" applyNumberFormat="1" applyFont="1" applyFill="1" applyBorder="1" applyProtection="1">
      <protection locked="0"/>
    </xf>
    <xf numFmtId="0" fontId="62" fillId="0" borderId="48" xfId="4" applyNumberFormat="1" applyFont="1" applyFill="1" applyBorder="1" applyProtection="1">
      <protection locked="0"/>
    </xf>
    <xf numFmtId="0" fontId="16" fillId="0" borderId="240" xfId="4" applyNumberFormat="1" applyFont="1" applyFill="1" applyBorder="1" applyProtection="1">
      <protection locked="0"/>
    </xf>
    <xf numFmtId="0" fontId="61" fillId="0" borderId="193" xfId="4" applyNumberFormat="1" applyFont="1" applyFill="1" applyBorder="1" applyProtection="1">
      <protection locked="0"/>
    </xf>
    <xf numFmtId="0" fontId="15" fillId="0" borderId="159" xfId="4" applyFill="1" applyBorder="1" applyProtection="1">
      <protection locked="0"/>
    </xf>
    <xf numFmtId="0" fontId="15" fillId="0" borderId="209" xfId="4" applyFill="1" applyBorder="1" applyProtection="1">
      <protection locked="0"/>
    </xf>
    <xf numFmtId="0" fontId="20" fillId="0" borderId="128" xfId="4" applyFont="1" applyFill="1" applyBorder="1" applyProtection="1">
      <protection locked="0"/>
    </xf>
    <xf numFmtId="0" fontId="15" fillId="0" borderId="129" xfId="4" applyFill="1" applyBorder="1" applyProtection="1">
      <protection locked="0"/>
    </xf>
    <xf numFmtId="0" fontId="15" fillId="0" borderId="201" xfId="4" applyFill="1" applyBorder="1" applyProtection="1">
      <protection locked="0"/>
    </xf>
    <xf numFmtId="0" fontId="62" fillId="0" borderId="134" xfId="4" applyFont="1" applyFill="1" applyBorder="1" applyProtection="1">
      <protection locked="0"/>
    </xf>
    <xf numFmtId="0" fontId="15" fillId="0" borderId="134" xfId="4" applyFill="1" applyBorder="1" applyProtection="1">
      <protection locked="0"/>
    </xf>
    <xf numFmtId="0" fontId="20" fillId="0" borderId="195" xfId="4" applyFont="1" applyFill="1" applyBorder="1" applyProtection="1">
      <protection locked="0"/>
    </xf>
    <xf numFmtId="0" fontId="62" fillId="0" borderId="226" xfId="4" applyFont="1" applyFill="1" applyBorder="1" applyProtection="1">
      <protection locked="0"/>
    </xf>
    <xf numFmtId="0" fontId="16" fillId="0" borderId="209" xfId="4" applyFont="1" applyFill="1" applyBorder="1" applyProtection="1">
      <protection locked="0"/>
    </xf>
    <xf numFmtId="0" fontId="61" fillId="0" borderId="196" xfId="4" applyFont="1" applyFill="1" applyBorder="1" applyProtection="1">
      <protection locked="0"/>
    </xf>
    <xf numFmtId="3" fontId="15" fillId="0" borderId="40" xfId="4" applyNumberFormat="1" applyFill="1" applyBorder="1" applyAlignment="1" applyProtection="1">
      <alignment horizontal="right" vertical="center"/>
      <protection locked="0"/>
    </xf>
    <xf numFmtId="3" fontId="15" fillId="0" borderId="140" xfId="4" applyNumberFormat="1" applyFill="1" applyBorder="1" applyAlignment="1" applyProtection="1">
      <alignment horizontal="right" vertical="center"/>
      <protection locked="0"/>
    </xf>
    <xf numFmtId="3" fontId="15" fillId="0" borderId="40" xfId="4" applyNumberFormat="1" applyFill="1" applyBorder="1" applyAlignment="1" applyProtection="1">
      <alignment horizontal="right"/>
      <protection locked="0"/>
    </xf>
    <xf numFmtId="3" fontId="15" fillId="0" borderId="56" xfId="4" applyNumberFormat="1" applyFill="1" applyBorder="1" applyAlignment="1" applyProtection="1">
      <alignment horizontal="right" vertical="center"/>
      <protection locked="0"/>
    </xf>
    <xf numFmtId="3" fontId="62" fillId="0" borderId="40" xfId="4" applyNumberFormat="1" applyFont="1" applyFill="1" applyBorder="1" applyAlignment="1" applyProtection="1">
      <alignment horizontal="right"/>
      <protection locked="0"/>
    </xf>
    <xf numFmtId="3" fontId="62" fillId="0" borderId="140" xfId="4" applyNumberFormat="1" applyFont="1" applyFill="1" applyBorder="1" applyAlignment="1" applyProtection="1">
      <alignment horizontal="right" vertical="center"/>
      <protection locked="0"/>
    </xf>
    <xf numFmtId="3" fontId="62" fillId="0" borderId="56" xfId="4" applyNumberFormat="1" applyFont="1" applyFill="1" applyBorder="1" applyAlignment="1" applyProtection="1">
      <alignment horizontal="right" vertical="center"/>
      <protection locked="0"/>
    </xf>
    <xf numFmtId="0" fontId="15" fillId="8" borderId="19" xfId="4" applyFont="1" applyFill="1" applyBorder="1" applyAlignment="1" applyProtection="1">
      <alignment horizontal="center" vertical="center" wrapText="1"/>
    </xf>
    <xf numFmtId="0" fontId="16" fillId="8" borderId="1" xfId="4" applyFont="1" applyFill="1" applyBorder="1" applyAlignment="1" applyProtection="1">
      <alignment horizontal="centerContinuous" vertical="center"/>
    </xf>
    <xf numFmtId="3" fontId="58" fillId="0" borderId="106" xfId="4" applyNumberFormat="1" applyFont="1" applyFill="1" applyBorder="1" applyAlignment="1" applyProtection="1">
      <alignment horizontal="right" vertical="center"/>
      <protection locked="0"/>
    </xf>
    <xf numFmtId="3" fontId="58" fillId="0" borderId="145" xfId="4" applyNumberFormat="1" applyFont="1" applyFill="1" applyBorder="1" applyAlignment="1" applyProtection="1">
      <alignment horizontal="right" vertical="center"/>
      <protection locked="0"/>
    </xf>
    <xf numFmtId="3" fontId="58" fillId="0" borderId="106" xfId="4" applyNumberFormat="1" applyFont="1" applyFill="1" applyBorder="1" applyAlignment="1" applyProtection="1">
      <alignment horizontal="right"/>
      <protection locked="0"/>
    </xf>
    <xf numFmtId="3" fontId="58" fillId="0" borderId="68" xfId="4" applyNumberFormat="1" applyFont="1" applyFill="1" applyBorder="1" applyAlignment="1" applyProtection="1">
      <alignment horizontal="right" vertical="center"/>
      <protection locked="0"/>
    </xf>
    <xf numFmtId="3" fontId="58" fillId="0" borderId="121" xfId="4" applyNumberFormat="1" applyFont="1" applyFill="1" applyBorder="1" applyAlignment="1" applyProtection="1">
      <alignment horizontal="right" vertical="center"/>
      <protection locked="0"/>
    </xf>
    <xf numFmtId="3" fontId="15" fillId="0" borderId="159" xfId="4" applyNumberFormat="1" applyFill="1" applyBorder="1" applyAlignment="1" applyProtection="1">
      <alignment horizontal="right" vertical="center"/>
      <protection locked="0"/>
    </xf>
    <xf numFmtId="3" fontId="15" fillId="0" borderId="137" xfId="4" applyNumberFormat="1" applyFill="1" applyBorder="1" applyAlignment="1" applyProtection="1">
      <alignment horizontal="right" vertical="center"/>
      <protection locked="0"/>
    </xf>
    <xf numFmtId="3" fontId="15" fillId="0" borderId="159" xfId="4" applyNumberFormat="1" applyFill="1" applyBorder="1" applyAlignment="1" applyProtection="1">
      <alignment horizontal="right"/>
      <protection locked="0"/>
    </xf>
    <xf numFmtId="3" fontId="15" fillId="0" borderId="129" xfId="4" applyNumberFormat="1" applyFill="1" applyBorder="1" applyAlignment="1" applyProtection="1">
      <alignment horizontal="right" vertical="center"/>
      <protection locked="0"/>
    </xf>
    <xf numFmtId="3" fontId="62" fillId="0" borderId="131" xfId="4" applyNumberFormat="1" applyFont="1" applyFill="1" applyBorder="1" applyAlignment="1" applyProtection="1">
      <alignment horizontal="right" vertical="center"/>
      <protection locked="0"/>
    </xf>
    <xf numFmtId="3" fontId="62" fillId="0" borderId="159" xfId="4" applyNumberFormat="1" applyFont="1" applyFill="1" applyBorder="1" applyAlignment="1" applyProtection="1">
      <alignment horizontal="right"/>
      <protection locked="0"/>
    </xf>
    <xf numFmtId="3" fontId="62" fillId="0" borderId="137" xfId="4" applyNumberFormat="1" applyFont="1" applyFill="1" applyBorder="1" applyAlignment="1" applyProtection="1">
      <alignment horizontal="right" vertical="center"/>
      <protection locked="0"/>
    </xf>
    <xf numFmtId="3" fontId="62" fillId="0" borderId="129" xfId="4" applyNumberFormat="1" applyFont="1" applyFill="1" applyBorder="1" applyAlignment="1" applyProtection="1">
      <alignment horizontal="right" vertical="center"/>
      <protection locked="0"/>
    </xf>
    <xf numFmtId="3" fontId="0" fillId="0" borderId="82" xfId="0" applyNumberFormat="1" applyFill="1" applyBorder="1" applyAlignment="1" applyProtection="1">
      <alignment horizontal="right" vertical="center"/>
      <protection locked="0"/>
    </xf>
    <xf numFmtId="3" fontId="0" fillId="0" borderId="91" xfId="0" applyNumberFormat="1" applyFill="1" applyBorder="1" applyAlignment="1" applyProtection="1">
      <alignment horizontal="right" vertical="center"/>
      <protection locked="0"/>
    </xf>
    <xf numFmtId="3" fontId="0" fillId="0" borderId="57" xfId="0" applyNumberFormat="1" applyFill="1" applyBorder="1" applyAlignment="1" applyProtection="1">
      <alignment horizontal="right" vertical="center"/>
      <protection locked="0"/>
    </xf>
    <xf numFmtId="3" fontId="62" fillId="0" borderId="96" xfId="0" applyNumberFormat="1" applyFont="1" applyFill="1" applyBorder="1" applyAlignment="1" applyProtection="1">
      <alignment horizontal="right" vertical="center"/>
      <protection locked="0"/>
    </xf>
    <xf numFmtId="3" fontId="16" fillId="0" borderId="153" xfId="0" applyNumberFormat="1" applyFont="1" applyFill="1" applyBorder="1" applyAlignment="1" applyProtection="1">
      <alignment horizontal="right" vertical="center"/>
      <protection locked="0"/>
    </xf>
    <xf numFmtId="3" fontId="0" fillId="0" borderId="95" xfId="0" applyNumberFormat="1" applyFill="1" applyBorder="1" applyAlignment="1" applyProtection="1">
      <alignment horizontal="right" vertical="center"/>
      <protection locked="0"/>
    </xf>
    <xf numFmtId="3" fontId="0" fillId="0" borderId="186" xfId="0" applyNumberFormat="1" applyFill="1" applyBorder="1" applyAlignment="1" applyProtection="1">
      <alignment horizontal="right" vertical="center"/>
      <protection locked="0"/>
    </xf>
    <xf numFmtId="3" fontId="0" fillId="0" borderId="124" xfId="0" applyNumberFormat="1" applyFill="1" applyBorder="1" applyAlignment="1" applyProtection="1">
      <alignment horizontal="right" vertical="center"/>
      <protection locked="0"/>
    </xf>
    <xf numFmtId="3" fontId="62" fillId="0" borderId="130" xfId="0" applyNumberFormat="1" applyFont="1" applyFill="1" applyBorder="1" applyAlignment="1" applyProtection="1">
      <alignment horizontal="right" vertical="center"/>
      <protection locked="0"/>
    </xf>
    <xf numFmtId="3" fontId="16" fillId="0" borderId="146" xfId="0" applyNumberFormat="1" applyFont="1" applyFill="1" applyBorder="1" applyAlignment="1" applyProtection="1">
      <alignment horizontal="right" vertical="center"/>
      <protection locked="0"/>
    </xf>
    <xf numFmtId="3" fontId="15" fillId="15" borderId="0" xfId="4" applyNumberFormat="1" applyFill="1" applyBorder="1" applyAlignment="1" applyProtection="1">
      <alignment horizontal="right" vertical="center"/>
    </xf>
    <xf numFmtId="3" fontId="58" fillId="15" borderId="0" xfId="4" applyNumberFormat="1" applyFont="1" applyFill="1" applyBorder="1" applyAlignment="1" applyProtection="1">
      <alignment horizontal="right" vertical="center"/>
    </xf>
    <xf numFmtId="3" fontId="15" fillId="0" borderId="148" xfId="4" applyNumberFormat="1" applyFill="1" applyBorder="1" applyAlignment="1" applyProtection="1">
      <alignment horizontal="right" vertical="center"/>
      <protection locked="0"/>
    </xf>
    <xf numFmtId="3" fontId="15" fillId="0" borderId="120" xfId="4" applyNumberFormat="1" applyFill="1" applyBorder="1" applyAlignment="1" applyProtection="1">
      <alignment horizontal="right" vertical="center"/>
      <protection locked="0"/>
    </xf>
    <xf numFmtId="3" fontId="15" fillId="0" borderId="130" xfId="4" applyNumberFormat="1" applyFill="1" applyBorder="1" applyAlignment="1" applyProtection="1">
      <alignment horizontal="right" vertical="center"/>
      <protection locked="0"/>
    </xf>
    <xf numFmtId="3" fontId="15" fillId="0" borderId="88" xfId="4" applyNumberFormat="1" applyFill="1" applyBorder="1" applyAlignment="1" applyProtection="1">
      <alignment horizontal="right" vertical="center"/>
      <protection locked="0"/>
    </xf>
    <xf numFmtId="3" fontId="15" fillId="0" borderId="113" xfId="4" applyNumberFormat="1" applyFill="1" applyBorder="1" applyAlignment="1" applyProtection="1">
      <alignment horizontal="right" vertical="center"/>
      <protection locked="0"/>
    </xf>
    <xf numFmtId="3" fontId="15" fillId="0" borderId="131" xfId="4" applyNumberFormat="1" applyFill="1" applyBorder="1" applyAlignment="1" applyProtection="1">
      <alignment horizontal="right" vertical="center"/>
      <protection locked="0"/>
    </xf>
    <xf numFmtId="3" fontId="62" fillId="0" borderId="148" xfId="4" applyNumberFormat="1" applyFont="1" applyFill="1" applyBorder="1" applyAlignment="1" applyProtection="1">
      <alignment horizontal="right" vertical="center"/>
      <protection locked="0"/>
    </xf>
    <xf numFmtId="3" fontId="15" fillId="0" borderId="90" xfId="4" applyNumberFormat="1" applyFill="1" applyBorder="1" applyAlignment="1" applyProtection="1">
      <alignment horizontal="right" vertical="center"/>
      <protection locked="0"/>
    </xf>
    <xf numFmtId="3" fontId="15" fillId="0" borderId="241" xfId="4" applyNumberFormat="1" applyFill="1" applyBorder="1" applyAlignment="1" applyProtection="1">
      <alignment horizontal="right" vertical="center"/>
      <protection locked="0"/>
    </xf>
    <xf numFmtId="3" fontId="62" fillId="0" borderId="44" xfId="4" applyNumberFormat="1" applyFont="1" applyFill="1" applyBorder="1" applyAlignment="1" applyProtection="1">
      <alignment horizontal="right" vertical="center"/>
      <protection locked="0"/>
    </xf>
    <xf numFmtId="3" fontId="15" fillId="0" borderId="110" xfId="4" applyNumberFormat="1" applyFill="1" applyBorder="1" applyAlignment="1" applyProtection="1">
      <alignment horizontal="right" vertical="center"/>
      <protection locked="0"/>
    </xf>
    <xf numFmtId="3" fontId="58" fillId="0" borderId="242" xfId="4" applyNumberFormat="1" applyFont="1" applyFill="1" applyBorder="1" applyAlignment="1" applyProtection="1">
      <alignment horizontal="right" vertical="center"/>
      <protection locked="0"/>
    </xf>
    <xf numFmtId="3" fontId="15" fillId="0" borderId="134" xfId="4" applyNumberFormat="1" applyFill="1" applyBorder="1" applyAlignment="1" applyProtection="1">
      <alignment horizontal="right" vertical="center"/>
      <protection locked="0"/>
    </xf>
    <xf numFmtId="3" fontId="62" fillId="0" borderId="243" xfId="4" applyNumberFormat="1" applyFont="1" applyFill="1" applyBorder="1" applyAlignment="1" applyProtection="1">
      <alignment horizontal="right" vertical="center"/>
      <protection locked="0"/>
    </xf>
    <xf numFmtId="3" fontId="62" fillId="0" borderId="110" xfId="4" applyNumberFormat="1" applyFont="1" applyFill="1" applyBorder="1" applyAlignment="1" applyProtection="1">
      <alignment horizontal="right" vertical="center"/>
      <protection locked="0"/>
    </xf>
    <xf numFmtId="3" fontId="62" fillId="0" borderId="133" xfId="4" applyNumberFormat="1" applyFont="1" applyFill="1" applyBorder="1" applyAlignment="1" applyProtection="1">
      <alignment horizontal="right" vertical="center"/>
      <protection locked="0"/>
    </xf>
    <xf numFmtId="3" fontId="62" fillId="0" borderId="211" xfId="4" applyNumberFormat="1" applyFont="1" applyFill="1" applyBorder="1" applyAlignment="1" applyProtection="1">
      <alignment horizontal="right" vertical="center"/>
      <protection locked="0"/>
    </xf>
    <xf numFmtId="3" fontId="62" fillId="0" borderId="227" xfId="4" applyNumberFormat="1" applyFont="1" applyFill="1" applyBorder="1" applyAlignment="1" applyProtection="1">
      <alignment horizontal="right" vertical="center"/>
      <protection locked="0"/>
    </xf>
    <xf numFmtId="3" fontId="15" fillId="0" borderId="112" xfId="4" applyNumberFormat="1" applyFill="1" applyBorder="1" applyAlignment="1" applyProtection="1">
      <alignment horizontal="right" vertical="center"/>
      <protection locked="0"/>
    </xf>
    <xf numFmtId="3" fontId="15" fillId="0" borderId="243" xfId="4" applyNumberFormat="1" applyFill="1" applyBorder="1" applyAlignment="1" applyProtection="1">
      <alignment horizontal="right" vertical="center"/>
      <protection locked="0"/>
    </xf>
    <xf numFmtId="3" fontId="15" fillId="0" borderId="133" xfId="4" applyNumberFormat="1" applyFill="1" applyBorder="1" applyAlignment="1" applyProtection="1">
      <alignment horizontal="right" vertical="center"/>
      <protection locked="0"/>
    </xf>
    <xf numFmtId="3" fontId="15" fillId="0" borderId="211" xfId="4" applyNumberFormat="1" applyFill="1" applyBorder="1" applyAlignment="1" applyProtection="1">
      <alignment horizontal="right" vertical="center"/>
      <protection locked="0"/>
    </xf>
    <xf numFmtId="3" fontId="15" fillId="0" borderId="154" xfId="4" applyNumberFormat="1" applyFill="1" applyBorder="1" applyAlignment="1" applyProtection="1">
      <alignment horizontal="right" vertical="center"/>
      <protection locked="0"/>
    </xf>
    <xf numFmtId="3" fontId="58" fillId="0" borderId="111" xfId="4" applyNumberFormat="1" applyFont="1" applyFill="1" applyBorder="1" applyAlignment="1" applyProtection="1">
      <alignment horizontal="right" vertical="center"/>
      <protection locked="0"/>
    </xf>
    <xf numFmtId="0" fontId="0" fillId="9" borderId="1" xfId="0" applyFill="1" applyBorder="1" applyAlignment="1" applyProtection="1">
      <alignment horizontal="centerContinuous" vertical="center"/>
    </xf>
    <xf numFmtId="0" fontId="62" fillId="9" borderId="2" xfId="0" applyFont="1" applyFill="1" applyBorder="1" applyAlignment="1" applyProtection="1">
      <alignment horizontal="center" vertical="center" wrapText="1"/>
    </xf>
    <xf numFmtId="0" fontId="0" fillId="0" borderId="189" xfId="0" applyBorder="1" applyAlignment="1" applyProtection="1">
      <alignment vertical="center"/>
      <protection locked="0"/>
    </xf>
    <xf numFmtId="0" fontId="16" fillId="0" borderId="240" xfId="0" applyFont="1" applyBorder="1" applyAlignment="1" applyProtection="1">
      <alignment horizontal="right"/>
      <protection locked="0"/>
    </xf>
    <xf numFmtId="0" fontId="0" fillId="0" borderId="244" xfId="0" applyBorder="1" applyProtection="1">
      <protection locked="0"/>
    </xf>
    <xf numFmtId="0" fontId="0" fillId="0" borderId="191" xfId="0" applyBorder="1" applyProtection="1">
      <protection locked="0"/>
    </xf>
    <xf numFmtId="0" fontId="62" fillId="0" borderId="198" xfId="0" applyFont="1" applyBorder="1" applyProtection="1">
      <protection locked="0"/>
    </xf>
    <xf numFmtId="0" fontId="0" fillId="0" borderId="208" xfId="0" applyBorder="1" applyAlignment="1" applyProtection="1">
      <alignment vertical="center"/>
      <protection locked="0"/>
    </xf>
    <xf numFmtId="0" fontId="16" fillId="0" borderId="209" xfId="0" applyFont="1" applyBorder="1" applyAlignment="1" applyProtection="1">
      <alignment horizontal="right"/>
      <protection locked="0"/>
    </xf>
    <xf numFmtId="0" fontId="0" fillId="0" borderId="137" xfId="0" applyBorder="1" applyProtection="1">
      <protection locked="0"/>
    </xf>
    <xf numFmtId="0" fontId="0" fillId="0" borderId="129" xfId="0" applyBorder="1" applyProtection="1">
      <protection locked="0"/>
    </xf>
    <xf numFmtId="0" fontId="62" fillId="0" borderId="160" xfId="0" applyFont="1" applyBorder="1" applyProtection="1">
      <protection locked="0"/>
    </xf>
    <xf numFmtId="0" fontId="0" fillId="0" borderId="135" xfId="0" applyFill="1" applyBorder="1" applyProtection="1">
      <protection locked="0"/>
    </xf>
    <xf numFmtId="0" fontId="0" fillId="0" borderId="125" xfId="0" applyFill="1" applyBorder="1" applyProtection="1">
      <protection locked="0"/>
    </xf>
    <xf numFmtId="0" fontId="0" fillId="0" borderId="130" xfId="0" applyFill="1" applyBorder="1" applyProtection="1">
      <protection locked="0"/>
    </xf>
    <xf numFmtId="3" fontId="0" fillId="0" borderId="202" xfId="0" applyNumberFormat="1" applyBorder="1" applyAlignment="1" applyProtection="1">
      <alignment horizontal="right" vertical="center"/>
      <protection locked="0"/>
    </xf>
    <xf numFmtId="3" fontId="0" fillId="0" borderId="159" xfId="0" applyNumberFormat="1" applyBorder="1" applyAlignment="1" applyProtection="1">
      <alignment horizontal="right" vertical="center"/>
      <protection locked="0"/>
    </xf>
    <xf numFmtId="0" fontId="0" fillId="0" borderId="137" xfId="0" applyFill="1" applyBorder="1" applyProtection="1">
      <protection locked="0"/>
    </xf>
    <xf numFmtId="0" fontId="0" fillId="0" borderId="129" xfId="0" applyFill="1" applyBorder="1" applyProtection="1">
      <protection locked="0"/>
    </xf>
    <xf numFmtId="0" fontId="0" fillId="0" borderId="131" xfId="0" applyFill="1" applyBorder="1" applyProtection="1">
      <protection locked="0"/>
    </xf>
    <xf numFmtId="0" fontId="15" fillId="0" borderId="245" xfId="4" applyFill="1" applyBorder="1" applyAlignment="1" applyProtection="1">
      <alignment vertical="center"/>
      <protection locked="0"/>
    </xf>
    <xf numFmtId="0" fontId="15" fillId="0" borderId="246" xfId="4" applyFill="1" applyBorder="1" applyProtection="1">
      <protection locked="0"/>
    </xf>
    <xf numFmtId="0" fontId="15" fillId="0" borderId="247" xfId="4" applyFill="1" applyBorder="1" applyProtection="1">
      <protection locked="0"/>
    </xf>
    <xf numFmtId="0" fontId="15" fillId="0" borderId="248" xfId="4" applyFill="1" applyBorder="1" applyProtection="1">
      <protection locked="0"/>
    </xf>
    <xf numFmtId="0" fontId="58" fillId="0" borderId="40" xfId="4" applyFont="1" applyFill="1" applyBorder="1" applyAlignment="1" applyProtection="1">
      <alignment vertical="center"/>
      <protection locked="0"/>
    </xf>
    <xf numFmtId="0" fontId="58" fillId="0" borderId="149" xfId="4" applyFont="1" applyFill="1" applyBorder="1" applyProtection="1">
      <protection locked="0"/>
    </xf>
    <xf numFmtId="0" fontId="58" fillId="0" borderId="150" xfId="4" applyFont="1" applyFill="1" applyBorder="1" applyProtection="1">
      <protection locked="0"/>
    </xf>
    <xf numFmtId="0" fontId="58" fillId="0" borderId="249" xfId="4" applyFont="1" applyFill="1" applyBorder="1" applyProtection="1">
      <protection locked="0"/>
    </xf>
    <xf numFmtId="3" fontId="15" fillId="10" borderId="52" xfId="0" applyNumberFormat="1" applyFont="1" applyFill="1" applyBorder="1" applyAlignment="1" applyProtection="1">
      <alignment vertical="center"/>
    </xf>
    <xf numFmtId="3" fontId="51" fillId="10" borderId="0" xfId="0" applyNumberFormat="1" applyFont="1" applyFill="1" applyBorder="1" applyAlignment="1" applyProtection="1">
      <alignment vertical="center"/>
    </xf>
    <xf numFmtId="3" fontId="51" fillId="10" borderId="0" xfId="0" applyNumberFormat="1" applyFont="1" applyFill="1" applyBorder="1" applyProtection="1"/>
    <xf numFmtId="3" fontId="0" fillId="10" borderId="0" xfId="0" applyNumberFormat="1" applyFill="1" applyBorder="1" applyAlignment="1" applyProtection="1">
      <alignment vertical="center"/>
    </xf>
    <xf numFmtId="3" fontId="51" fillId="0" borderId="56" xfId="0" applyNumberFormat="1" applyFont="1" applyFill="1" applyBorder="1" applyProtection="1">
      <protection locked="0"/>
    </xf>
    <xf numFmtId="3" fontId="51" fillId="0" borderId="199" xfId="0" applyNumberFormat="1" applyFont="1" applyFill="1" applyBorder="1" applyProtection="1">
      <protection locked="0"/>
    </xf>
    <xf numFmtId="3" fontId="0" fillId="0" borderId="56" xfId="0" applyNumberFormat="1" applyFill="1" applyBorder="1" applyProtection="1">
      <protection locked="0"/>
    </xf>
    <xf numFmtId="3" fontId="0" fillId="0" borderId="64" xfId="0" applyNumberFormat="1" applyFill="1" applyBorder="1" applyProtection="1">
      <protection locked="0"/>
    </xf>
    <xf numFmtId="3" fontId="58" fillId="0" borderId="113" xfId="0" applyNumberFormat="1" applyFont="1" applyFill="1" applyBorder="1" applyProtection="1">
      <protection locked="0"/>
    </xf>
    <xf numFmtId="3" fontId="16" fillId="10" borderId="27" xfId="0" applyNumberFormat="1" applyFont="1" applyFill="1" applyBorder="1" applyAlignment="1" applyProtection="1">
      <alignment vertical="center"/>
    </xf>
    <xf numFmtId="3" fontId="16" fillId="10" borderId="106" xfId="0" applyNumberFormat="1" applyFont="1" applyFill="1" applyBorder="1" applyAlignment="1" applyProtection="1">
      <alignment vertical="center"/>
    </xf>
    <xf numFmtId="3" fontId="51" fillId="0" borderId="138" xfId="4" applyNumberFormat="1" applyFont="1" applyFill="1" applyBorder="1" applyProtection="1">
      <protection locked="0"/>
    </xf>
    <xf numFmtId="3" fontId="51" fillId="0" borderId="138" xfId="0" applyNumberFormat="1" applyFont="1" applyFill="1" applyBorder="1" applyProtection="1">
      <protection locked="0"/>
    </xf>
    <xf numFmtId="3" fontId="51" fillId="0" borderId="148" xfId="0" applyNumberFormat="1" applyFont="1" applyFill="1" applyBorder="1" applyProtection="1">
      <protection locked="0"/>
    </xf>
    <xf numFmtId="3" fontId="51" fillId="0" borderId="68" xfId="4" applyNumberFormat="1" applyFont="1" applyFill="1" applyBorder="1" applyProtection="1">
      <protection locked="0"/>
    </xf>
    <xf numFmtId="3" fontId="51" fillId="0" borderId="68" xfId="0" applyNumberFormat="1" applyFont="1" applyFill="1" applyBorder="1" applyProtection="1">
      <protection locked="0"/>
    </xf>
    <xf numFmtId="3" fontId="51" fillId="0" borderId="121" xfId="0" applyNumberFormat="1" applyFont="1" applyFill="1" applyBorder="1" applyProtection="1">
      <protection locked="0"/>
    </xf>
    <xf numFmtId="3" fontId="16" fillId="10" borderId="202" xfId="0" applyNumberFormat="1" applyFont="1" applyFill="1" applyBorder="1" applyAlignment="1" applyProtection="1">
      <alignment vertical="center"/>
    </xf>
    <xf numFmtId="3" fontId="16" fillId="10" borderId="159" xfId="0" applyNumberFormat="1" applyFont="1" applyFill="1" applyBorder="1" applyAlignment="1" applyProtection="1">
      <alignment vertical="center"/>
    </xf>
    <xf numFmtId="3" fontId="51" fillId="0" borderId="129" xfId="0" applyNumberFormat="1" applyFont="1" applyFill="1" applyBorder="1" applyProtection="1">
      <protection locked="0"/>
    </xf>
    <xf numFmtId="3" fontId="51" fillId="0" borderId="131" xfId="0" applyNumberFormat="1" applyFont="1" applyFill="1" applyBorder="1" applyProtection="1">
      <protection locked="0"/>
    </xf>
    <xf numFmtId="3" fontId="51" fillId="0" borderId="148" xfId="4" applyNumberFormat="1" applyFont="1" applyFill="1" applyBorder="1" applyProtection="1">
      <protection locked="0"/>
    </xf>
    <xf numFmtId="3" fontId="51" fillId="0" borderId="121" xfId="4" applyNumberFormat="1" applyFont="1" applyFill="1" applyBorder="1" applyProtection="1">
      <protection locked="0"/>
    </xf>
    <xf numFmtId="3" fontId="51" fillId="0" borderId="113" xfId="0" applyNumberFormat="1" applyFont="1" applyFill="1" applyBorder="1" applyProtection="1">
      <protection locked="0"/>
    </xf>
    <xf numFmtId="3" fontId="16" fillId="10" borderId="12" xfId="0" applyNumberFormat="1" applyFont="1" applyFill="1" applyBorder="1" applyAlignment="1" applyProtection="1">
      <alignment vertical="center"/>
    </xf>
    <xf numFmtId="3" fontId="16" fillId="10" borderId="158" xfId="0" applyNumberFormat="1" applyFont="1" applyFill="1" applyBorder="1" applyAlignment="1" applyProtection="1">
      <alignment vertical="center"/>
    </xf>
    <xf numFmtId="3" fontId="16" fillId="10" borderId="22" xfId="0" applyNumberFormat="1" applyFont="1" applyFill="1" applyBorder="1" applyAlignment="1" applyProtection="1">
      <alignment vertical="center"/>
    </xf>
    <xf numFmtId="3" fontId="16" fillId="10" borderId="30" xfId="0" applyNumberFormat="1" applyFont="1" applyFill="1" applyBorder="1" applyAlignment="1" applyProtection="1">
      <alignment vertical="center"/>
    </xf>
    <xf numFmtId="3" fontId="16" fillId="10" borderId="205" xfId="0" applyNumberFormat="1" applyFont="1" applyFill="1" applyBorder="1" applyAlignment="1" applyProtection="1">
      <alignment vertical="center"/>
    </xf>
    <xf numFmtId="3" fontId="51" fillId="0" borderId="142" xfId="4" applyNumberFormat="1" applyFont="1" applyFill="1" applyBorder="1" applyProtection="1">
      <protection locked="0"/>
    </xf>
    <xf numFmtId="3" fontId="51" fillId="0" borderId="145" xfId="4" applyNumberFormat="1" applyFont="1" applyFill="1" applyBorder="1" applyProtection="1">
      <protection locked="0"/>
    </xf>
    <xf numFmtId="3" fontId="51" fillId="0" borderId="250" xfId="0" applyNumberFormat="1" applyFont="1" applyFill="1" applyBorder="1" applyProtection="1">
      <protection locked="0"/>
    </xf>
    <xf numFmtId="3" fontId="51" fillId="0" borderId="140" xfId="0" applyNumberFormat="1" applyFont="1" applyFill="1" applyBorder="1" applyProtection="1">
      <protection locked="0"/>
    </xf>
    <xf numFmtId="3" fontId="51" fillId="0" borderId="137" xfId="0" applyNumberFormat="1" applyFont="1" applyFill="1" applyBorder="1" applyProtection="1">
      <protection locked="0"/>
    </xf>
    <xf numFmtId="0" fontId="44" fillId="0" borderId="177" xfId="4" applyFont="1" applyFill="1" applyBorder="1" applyAlignment="1" applyProtection="1">
      <alignment horizontal="right" vertical="center" wrapText="1"/>
      <protection locked="0"/>
    </xf>
    <xf numFmtId="3" fontId="15" fillId="0" borderId="180" xfId="4" applyNumberFormat="1" applyFont="1" applyFill="1" applyBorder="1" applyAlignment="1" applyProtection="1">
      <alignment horizontal="right"/>
      <protection locked="0"/>
    </xf>
    <xf numFmtId="3" fontId="15" fillId="0" borderId="181" xfId="4" applyNumberFormat="1" applyFont="1" applyFill="1" applyBorder="1" applyAlignment="1" applyProtection="1">
      <alignment horizontal="right"/>
      <protection locked="0"/>
    </xf>
    <xf numFmtId="3" fontId="15" fillId="0" borderId="182" xfId="4" applyNumberFormat="1" applyFont="1" applyFill="1" applyBorder="1" applyAlignment="1" applyProtection="1">
      <alignment horizontal="right"/>
      <protection locked="0"/>
    </xf>
    <xf numFmtId="0" fontId="44" fillId="0" borderId="245" xfId="4" applyFont="1" applyFill="1" applyBorder="1" applyAlignment="1" applyProtection="1">
      <alignment horizontal="right" vertical="center" wrapText="1"/>
      <protection locked="0"/>
    </xf>
    <xf numFmtId="3" fontId="15" fillId="0" borderId="246" xfId="4" applyNumberFormat="1" applyFont="1" applyFill="1" applyBorder="1" applyAlignment="1" applyProtection="1">
      <alignment horizontal="right"/>
      <protection locked="0"/>
    </xf>
    <xf numFmtId="3" fontId="15" fillId="0" borderId="247" xfId="4" applyNumberFormat="1" applyFont="1" applyFill="1" applyBorder="1" applyAlignment="1" applyProtection="1">
      <alignment horizontal="right"/>
      <protection locked="0"/>
    </xf>
    <xf numFmtId="3" fontId="15" fillId="0" borderId="248" xfId="4" applyNumberFormat="1" applyFont="1" applyFill="1" applyBorder="1" applyAlignment="1" applyProtection="1">
      <alignment horizontal="right"/>
      <protection locked="0"/>
    </xf>
    <xf numFmtId="0" fontId="72" fillId="0" borderId="40" xfId="4" applyFont="1" applyFill="1" applyBorder="1" applyAlignment="1" applyProtection="1">
      <alignment horizontal="right" vertical="center" wrapText="1"/>
      <protection locked="0"/>
    </xf>
    <xf numFmtId="3" fontId="62" fillId="0" borderId="149" xfId="4" applyNumberFormat="1" applyFont="1" applyFill="1" applyBorder="1" applyAlignment="1" applyProtection="1">
      <alignment horizontal="right"/>
      <protection locked="0"/>
    </xf>
    <xf numFmtId="3" fontId="62" fillId="0" borderId="150" xfId="4" applyNumberFormat="1" applyFont="1" applyFill="1" applyBorder="1" applyAlignment="1" applyProtection="1">
      <alignment horizontal="right"/>
      <protection locked="0"/>
    </xf>
    <xf numFmtId="3" fontId="62" fillId="0" borderId="249" xfId="4" applyNumberFormat="1" applyFont="1" applyFill="1" applyBorder="1" applyAlignment="1" applyProtection="1">
      <alignment horizontal="right"/>
      <protection locked="0"/>
    </xf>
    <xf numFmtId="3" fontId="15" fillId="0" borderId="251" xfId="4" applyNumberFormat="1" applyFont="1" applyFill="1" applyBorder="1" applyAlignment="1" applyProtection="1">
      <alignment horizontal="right"/>
      <protection locked="0"/>
    </xf>
    <xf numFmtId="3" fontId="15" fillId="0" borderId="252" xfId="4" applyNumberFormat="1" applyFont="1" applyFill="1" applyBorder="1" applyAlignment="1" applyProtection="1">
      <alignment horizontal="right"/>
      <protection locked="0"/>
    </xf>
    <xf numFmtId="3" fontId="15" fillId="0" borderId="253" xfId="4" applyNumberFormat="1" applyFont="1" applyFill="1" applyBorder="1" applyAlignment="1" applyProtection="1">
      <alignment horizontal="right"/>
      <protection locked="0"/>
    </xf>
    <xf numFmtId="0" fontId="44" fillId="0" borderId="159" xfId="4" applyFont="1" applyFill="1" applyBorder="1" applyAlignment="1" applyProtection="1">
      <alignment horizontal="right" vertical="center" wrapText="1"/>
      <protection locked="0"/>
    </xf>
    <xf numFmtId="0" fontId="52" fillId="11" borderId="15" xfId="0" applyFont="1" applyFill="1" applyBorder="1" applyAlignment="1" applyProtection="1">
      <alignment horizontal="center" vertical="center"/>
    </xf>
    <xf numFmtId="0" fontId="52" fillId="11" borderId="23" xfId="0" applyFont="1" applyFill="1" applyBorder="1" applyAlignment="1" applyProtection="1">
      <alignment horizontal="center" vertical="top" wrapText="1"/>
    </xf>
    <xf numFmtId="3" fontId="4" fillId="0" borderId="87" xfId="0" applyNumberFormat="1" applyFont="1" applyFill="1" applyBorder="1" applyAlignment="1" applyProtection="1">
      <alignment vertical="center"/>
      <protection locked="0"/>
    </xf>
    <xf numFmtId="3" fontId="16" fillId="11" borderId="12" xfId="0" applyNumberFormat="1" applyFont="1" applyFill="1" applyBorder="1" applyAlignment="1" applyProtection="1">
      <alignment vertical="center"/>
    </xf>
    <xf numFmtId="3" fontId="16" fillId="11" borderId="158" xfId="0" applyNumberFormat="1" applyFont="1" applyFill="1" applyBorder="1" applyAlignment="1" applyProtection="1">
      <alignment vertical="center"/>
    </xf>
    <xf numFmtId="3" fontId="16" fillId="11" borderId="22" xfId="0" applyNumberFormat="1" applyFont="1" applyFill="1" applyBorder="1" applyAlignment="1" applyProtection="1">
      <alignment vertical="center"/>
    </xf>
    <xf numFmtId="3" fontId="16" fillId="11" borderId="30" xfId="0" applyNumberFormat="1" applyFont="1" applyFill="1" applyBorder="1" applyAlignment="1" applyProtection="1">
      <alignment vertical="center"/>
    </xf>
    <xf numFmtId="3" fontId="16" fillId="11" borderId="205" xfId="0" applyNumberFormat="1" applyFont="1" applyFill="1" applyBorder="1" applyAlignment="1" applyProtection="1">
      <alignment vertical="center"/>
    </xf>
    <xf numFmtId="0" fontId="75" fillId="7" borderId="26" xfId="0" applyFont="1" applyFill="1" applyBorder="1" applyAlignment="1" applyProtection="1">
      <alignment horizontal="center" vertical="center" wrapText="1"/>
    </xf>
    <xf numFmtId="0" fontId="76" fillId="7" borderId="24" xfId="0" applyFont="1" applyFill="1" applyBorder="1" applyAlignment="1" applyProtection="1">
      <alignment horizontal="center" vertical="top" wrapText="1"/>
    </xf>
    <xf numFmtId="0" fontId="76" fillId="7" borderId="22" xfId="0" applyFont="1" applyFill="1" applyBorder="1" applyAlignment="1" applyProtection="1">
      <alignment horizontal="center" vertical="center"/>
    </xf>
    <xf numFmtId="0" fontId="62" fillId="7" borderId="2" xfId="0" applyFont="1" applyFill="1" applyBorder="1" applyAlignment="1" applyProtection="1">
      <alignment horizontal="center" vertical="center" wrapText="1"/>
    </xf>
    <xf numFmtId="3" fontId="62" fillId="0" borderId="82" xfId="0" applyNumberFormat="1" applyFont="1" applyFill="1" applyBorder="1" applyAlignment="1" applyProtection="1">
      <alignment horizontal="right" vertical="center"/>
      <protection locked="0"/>
    </xf>
    <xf numFmtId="3" fontId="62" fillId="0" borderId="147" xfId="0" applyNumberFormat="1" applyFont="1" applyFill="1" applyBorder="1" applyAlignment="1" applyProtection="1">
      <alignment horizontal="right" vertical="center"/>
      <protection locked="0"/>
    </xf>
    <xf numFmtId="0" fontId="16" fillId="7" borderId="6" xfId="0" applyFont="1" applyFill="1" applyBorder="1" applyAlignment="1" applyProtection="1">
      <alignment horizontal="centerContinuous" vertical="center"/>
    </xf>
    <xf numFmtId="0" fontId="16" fillId="7" borderId="1" xfId="0" applyFont="1" applyFill="1" applyBorder="1" applyAlignment="1" applyProtection="1">
      <alignment horizontal="centerContinuous" vertical="center"/>
    </xf>
    <xf numFmtId="3" fontId="61" fillId="0" borderId="202" xfId="0" applyNumberFormat="1" applyFont="1" applyFill="1" applyBorder="1" applyAlignment="1" applyProtection="1">
      <alignment horizontal="right" vertical="center"/>
      <protection locked="0"/>
    </xf>
    <xf numFmtId="3" fontId="16" fillId="0" borderId="191" xfId="0" applyNumberFormat="1" applyFont="1" applyFill="1" applyBorder="1" applyAlignment="1" applyProtection="1">
      <alignment horizontal="right" vertical="center"/>
      <protection locked="0"/>
    </xf>
    <xf numFmtId="3" fontId="61" fillId="0" borderId="199" xfId="0" applyNumberFormat="1" applyFont="1" applyFill="1" applyBorder="1" applyAlignment="1" applyProtection="1">
      <alignment horizontal="right" vertical="center"/>
      <protection locked="0"/>
    </xf>
    <xf numFmtId="3" fontId="16" fillId="0" borderId="198" xfId="0" applyNumberFormat="1" applyFont="1" applyFill="1" applyBorder="1" applyAlignment="1" applyProtection="1">
      <alignment horizontal="right" vertical="center"/>
      <protection locked="0"/>
    </xf>
    <xf numFmtId="3" fontId="62" fillId="0" borderId="159" xfId="0" applyNumberFormat="1" applyFont="1" applyFill="1" applyBorder="1" applyAlignment="1" applyProtection="1">
      <alignment horizontal="right" vertical="center"/>
      <protection locked="0"/>
    </xf>
    <xf numFmtId="0" fontId="23" fillId="8" borderId="0" xfId="0" applyFont="1" applyFill="1" applyProtection="1"/>
    <xf numFmtId="164" fontId="79" fillId="8" borderId="254" xfId="6" applyFont="1" applyFill="1" applyBorder="1" applyAlignment="1" applyProtection="1">
      <alignment horizontal="left"/>
    </xf>
    <xf numFmtId="49" fontId="81" fillId="8" borderId="0" xfId="6" applyNumberFormat="1" applyFont="1" applyFill="1" applyAlignment="1" applyProtection="1">
      <alignment horizontal="left" vertical="top" wrapText="1"/>
    </xf>
    <xf numFmtId="49" fontId="81" fillId="8" borderId="0" xfId="6" quotePrefix="1" applyNumberFormat="1" applyFont="1" applyFill="1" applyAlignment="1" applyProtection="1">
      <alignment horizontal="left" vertical="top" wrapText="1"/>
    </xf>
    <xf numFmtId="164" fontId="81" fillId="8" borderId="6" xfId="6" applyNumberFormat="1" applyFont="1" applyFill="1" applyBorder="1" applyAlignment="1" applyProtection="1">
      <alignment horizontal="left"/>
    </xf>
    <xf numFmtId="0" fontId="81" fillId="8" borderId="1" xfId="0" applyFont="1" applyFill="1" applyBorder="1" applyAlignment="1">
      <alignment wrapText="1"/>
    </xf>
    <xf numFmtId="49" fontId="81" fillId="8" borderId="8" xfId="6" applyNumberFormat="1" applyFont="1" applyFill="1" applyBorder="1" applyAlignment="1" applyProtection="1">
      <alignment horizontal="left" vertical="top" wrapText="1"/>
    </xf>
    <xf numFmtId="49" fontId="81" fillId="8" borderId="8" xfId="6" quotePrefix="1" applyNumberFormat="1" applyFont="1" applyFill="1" applyBorder="1" applyAlignment="1" applyProtection="1">
      <alignment horizontal="left" vertical="top" wrapText="1"/>
    </xf>
    <xf numFmtId="0" fontId="0" fillId="8" borderId="2" xfId="0" applyFill="1" applyBorder="1"/>
    <xf numFmtId="0" fontId="0" fillId="0" borderId="0" xfId="0" applyBorder="1"/>
    <xf numFmtId="164" fontId="15" fillId="8" borderId="5" xfId="6" applyFont="1" applyFill="1" applyBorder="1" applyAlignment="1" applyProtection="1">
      <alignment horizontal="left" vertical="center"/>
    </xf>
    <xf numFmtId="49" fontId="82" fillId="8" borderId="7" xfId="6" applyNumberFormat="1" applyFont="1" applyFill="1" applyBorder="1" applyAlignment="1" applyProtection="1">
      <alignment horizontal="left" vertical="top" wrapText="1"/>
    </xf>
    <xf numFmtId="164" fontId="58" fillId="8" borderId="5" xfId="6" applyFont="1" applyFill="1" applyBorder="1" applyAlignment="1" applyProtection="1">
      <alignment horizontal="left" vertical="center"/>
    </xf>
    <xf numFmtId="49" fontId="81" fillId="8" borderId="45" xfId="6" applyNumberFormat="1" applyFont="1" applyFill="1" applyBorder="1" applyAlignment="1" applyProtection="1">
      <alignment horizontal="left" vertical="top" wrapText="1"/>
    </xf>
    <xf numFmtId="49" fontId="81" fillId="8" borderId="29" xfId="6" applyNumberFormat="1" applyFont="1" applyFill="1" applyBorder="1" applyAlignment="1" applyProtection="1">
      <alignment horizontal="left" vertical="top" wrapText="1"/>
    </xf>
    <xf numFmtId="49" fontId="81" fillId="8" borderId="0" xfId="6" applyNumberFormat="1" applyFont="1" applyFill="1" applyBorder="1" applyAlignment="1" applyProtection="1">
      <alignment horizontal="left" vertical="top" wrapText="1"/>
    </xf>
    <xf numFmtId="0" fontId="12" fillId="0" borderId="0" xfId="2" applyFont="1" applyBorder="1" applyAlignment="1" applyProtection="1">
      <alignment horizontal="left" vertical="center"/>
      <protection locked="0"/>
    </xf>
    <xf numFmtId="0" fontId="15" fillId="0" borderId="0" xfId="4" applyBorder="1" applyAlignment="1" applyProtection="1">
      <alignment wrapText="1"/>
    </xf>
    <xf numFmtId="0" fontId="12" fillId="0" borderId="0" xfId="2" quotePrefix="1" applyFont="1" applyBorder="1" applyAlignment="1" applyProtection="1">
      <alignment horizontal="left" vertical="center"/>
      <protection locked="0"/>
    </xf>
    <xf numFmtId="0" fontId="15" fillId="0" borderId="0" xfId="4" applyFill="1" applyBorder="1" applyProtection="1"/>
    <xf numFmtId="0" fontId="84" fillId="12" borderId="8" xfId="0" applyFont="1" applyFill="1" applyBorder="1"/>
    <xf numFmtId="0" fontId="84" fillId="12" borderId="25" xfId="0" applyFont="1" applyFill="1" applyBorder="1"/>
    <xf numFmtId="0" fontId="84" fillId="0" borderId="8" xfId="0" applyFont="1" applyFill="1" applyBorder="1"/>
    <xf numFmtId="0" fontId="84" fillId="0" borderId="25" xfId="0" applyFont="1" applyFill="1" applyBorder="1"/>
    <xf numFmtId="0" fontId="84" fillId="0" borderId="7" xfId="0" applyFont="1" applyFill="1" applyBorder="1"/>
    <xf numFmtId="0" fontId="84" fillId="0" borderId="19" xfId="0" applyFont="1" applyFill="1" applyBorder="1"/>
    <xf numFmtId="0" fontId="15" fillId="0" borderId="0" xfId="0" applyFont="1"/>
    <xf numFmtId="0" fontId="51" fillId="12" borderId="0" xfId="0" applyFont="1" applyFill="1" applyAlignment="1" applyProtection="1">
      <alignment vertical="top"/>
    </xf>
    <xf numFmtId="0" fontId="59" fillId="8" borderId="5" xfId="0" applyFont="1" applyFill="1" applyBorder="1" applyAlignment="1"/>
    <xf numFmtId="0" fontId="59" fillId="8" borderId="6" xfId="0" applyFont="1" applyFill="1" applyBorder="1" applyAlignment="1"/>
    <xf numFmtId="164" fontId="81" fillId="8" borderId="255" xfId="6" applyNumberFormat="1" applyFont="1" applyFill="1" applyBorder="1" applyAlignment="1" applyProtection="1">
      <alignment horizontal="center" wrapText="1"/>
    </xf>
    <xf numFmtId="164" fontId="81" fillId="8" borderId="284" xfId="6" applyNumberFormat="1" applyFont="1" applyFill="1" applyBorder="1" applyAlignment="1" applyProtection="1">
      <alignment horizontal="left" wrapText="1"/>
    </xf>
    <xf numFmtId="49" fontId="81" fillId="8" borderId="13" xfId="6" applyNumberFormat="1" applyFont="1" applyFill="1" applyBorder="1" applyAlignment="1" applyProtection="1">
      <alignment horizontal="center" vertical="top" wrapText="1"/>
    </xf>
    <xf numFmtId="49" fontId="81" fillId="8" borderId="8" xfId="6" applyNumberFormat="1" applyFont="1" applyFill="1" applyBorder="1" applyAlignment="1" applyProtection="1">
      <alignment horizontal="left" vertical="top" wrapText="1" indent="2"/>
    </xf>
    <xf numFmtId="49" fontId="81" fillId="8" borderId="13" xfId="6" quotePrefix="1" applyNumberFormat="1" applyFont="1" applyFill="1" applyBorder="1" applyAlignment="1" applyProtection="1">
      <alignment horizontal="center" vertical="top" wrapText="1"/>
    </xf>
    <xf numFmtId="49" fontId="81" fillId="8" borderId="0" xfId="6" quotePrefix="1" applyNumberFormat="1" applyFont="1" applyFill="1" applyBorder="1" applyAlignment="1" applyProtection="1">
      <alignment horizontal="left" vertical="top" wrapText="1"/>
    </xf>
    <xf numFmtId="49" fontId="81" fillId="8" borderId="20" xfId="6" applyNumberFormat="1" applyFont="1" applyFill="1" applyBorder="1" applyAlignment="1" applyProtection="1">
      <alignment horizontal="center" vertical="top" wrapText="1"/>
    </xf>
    <xf numFmtId="49" fontId="81" fillId="8" borderId="46" xfId="6" applyNumberFormat="1" applyFont="1" applyFill="1" applyBorder="1" applyAlignment="1" applyProtection="1">
      <alignment horizontal="left" vertical="top" wrapText="1"/>
    </xf>
    <xf numFmtId="49" fontId="81" fillId="8" borderId="285" xfId="6" applyNumberFormat="1" applyFont="1" applyFill="1" applyBorder="1" applyAlignment="1" applyProtection="1">
      <alignment horizontal="left" vertical="top" wrapText="1"/>
    </xf>
    <xf numFmtId="49" fontId="81" fillId="8" borderId="285" xfId="6" quotePrefix="1" applyNumberFormat="1" applyFont="1" applyFill="1" applyBorder="1" applyAlignment="1" applyProtection="1">
      <alignment horizontal="left" vertical="top" wrapText="1"/>
    </xf>
    <xf numFmtId="49" fontId="81" fillId="8" borderId="285" xfId="6" applyNumberFormat="1" applyFont="1" applyFill="1" applyBorder="1" applyAlignment="1" applyProtection="1">
      <alignment horizontal="left" vertical="top" wrapText="1" indent="2"/>
    </xf>
    <xf numFmtId="49" fontId="81" fillId="8" borderId="21" xfId="6" applyNumberFormat="1" applyFont="1" applyFill="1" applyBorder="1" applyAlignment="1" applyProtection="1">
      <alignment horizontal="center" vertical="top" wrapText="1"/>
    </xf>
    <xf numFmtId="49" fontId="80" fillId="8" borderId="45" xfId="6" applyNumberFormat="1" applyFont="1" applyFill="1" applyBorder="1" applyAlignment="1" applyProtection="1">
      <alignment horizontal="left" vertical="top" wrapText="1"/>
    </xf>
    <xf numFmtId="49" fontId="80" fillId="8" borderId="29" xfId="6" applyNumberFormat="1" applyFont="1" applyFill="1" applyBorder="1" applyAlignment="1" applyProtection="1">
      <alignment horizontal="left" vertical="top" wrapText="1" indent="3"/>
    </xf>
    <xf numFmtId="0" fontId="16" fillId="8" borderId="17" xfId="0" applyFont="1" applyFill="1" applyBorder="1" applyAlignment="1">
      <alignment horizontal="center"/>
    </xf>
    <xf numFmtId="0" fontId="17" fillId="17" borderId="0" xfId="0" applyFont="1" applyFill="1" applyProtection="1"/>
    <xf numFmtId="0" fontId="0" fillId="17" borderId="0" xfId="0" applyFill="1" applyProtection="1"/>
    <xf numFmtId="0" fontId="15" fillId="17" borderId="0" xfId="0" applyFont="1" applyFill="1" applyProtection="1"/>
    <xf numFmtId="0" fontId="16" fillId="17" borderId="0" xfId="0" applyFont="1" applyFill="1" applyProtection="1"/>
    <xf numFmtId="0" fontId="50" fillId="17" borderId="0" xfId="0" applyFont="1" applyFill="1" applyProtection="1"/>
    <xf numFmtId="0" fontId="15" fillId="18" borderId="13" xfId="0" applyFont="1" applyFill="1" applyBorder="1" applyAlignment="1">
      <alignment horizontal="left" indent="1"/>
    </xf>
    <xf numFmtId="0" fontId="62" fillId="18" borderId="17" xfId="0" applyFont="1" applyFill="1" applyBorder="1" applyAlignment="1">
      <alignment horizontal="left" indent="1"/>
    </xf>
    <xf numFmtId="0" fontId="16" fillId="18" borderId="27" xfId="0" applyFont="1" applyFill="1" applyBorder="1" applyAlignment="1">
      <alignment vertical="center"/>
    </xf>
    <xf numFmtId="0" fontId="15" fillId="18" borderId="8" xfId="0" applyFont="1" applyFill="1" applyBorder="1" applyAlignment="1" applyProtection="1">
      <alignment horizontal="left" wrapText="1"/>
    </xf>
    <xf numFmtId="0" fontId="15" fillId="18" borderId="8" xfId="0" applyFont="1" applyFill="1" applyBorder="1" applyAlignment="1" applyProtection="1">
      <alignment horizontal="left" indent="1"/>
    </xf>
    <xf numFmtId="0" fontId="62" fillId="18" borderId="7" xfId="0" applyFont="1" applyFill="1" applyBorder="1" applyAlignment="1" applyProtection="1">
      <alignment horizontal="left" indent="1"/>
    </xf>
    <xf numFmtId="0" fontId="16" fillId="18" borderId="27" xfId="0" applyFont="1" applyFill="1" applyBorder="1" applyAlignment="1" applyProtection="1">
      <alignment wrapText="1"/>
    </xf>
    <xf numFmtId="0" fontId="61" fillId="18" borderId="27" xfId="0" applyFont="1" applyFill="1" applyBorder="1" applyAlignment="1" applyProtection="1">
      <alignment wrapText="1"/>
    </xf>
    <xf numFmtId="0" fontId="62" fillId="18" borderId="8" xfId="0" applyFont="1" applyFill="1" applyBorder="1" applyAlignment="1" applyProtection="1">
      <alignment horizontal="left" wrapText="1"/>
    </xf>
    <xf numFmtId="0" fontId="62" fillId="18" borderId="8" xfId="0" applyFont="1" applyFill="1" applyBorder="1" applyAlignment="1" applyProtection="1">
      <alignment horizontal="left" indent="1"/>
    </xf>
    <xf numFmtId="0" fontId="51" fillId="18" borderId="0" xfId="0" applyFont="1" applyFill="1" applyAlignment="1" applyProtection="1"/>
    <xf numFmtId="0" fontId="15" fillId="8" borderId="8" xfId="0" applyFont="1" applyFill="1" applyBorder="1" applyAlignment="1">
      <alignment horizontal="left" indent="1"/>
    </xf>
    <xf numFmtId="0" fontId="15" fillId="8" borderId="7" xfId="0" applyFont="1" applyFill="1" applyBorder="1" applyAlignment="1">
      <alignment horizontal="left" indent="1"/>
    </xf>
    <xf numFmtId="0" fontId="15" fillId="7" borderId="8" xfId="0" applyFont="1" applyFill="1" applyBorder="1" applyAlignment="1">
      <alignment horizontal="left" indent="1"/>
    </xf>
    <xf numFmtId="0" fontId="15" fillId="7" borderId="7" xfId="0" applyFont="1" applyFill="1" applyBorder="1" applyAlignment="1">
      <alignment horizontal="left" indent="1"/>
    </xf>
    <xf numFmtId="0" fontId="15" fillId="0" borderId="301" xfId="4" applyFill="1" applyBorder="1" applyAlignment="1" applyProtection="1">
      <alignment vertical="center"/>
      <protection locked="0"/>
    </xf>
    <xf numFmtId="0" fontId="15" fillId="0" borderId="302" xfId="4" applyFill="1" applyBorder="1" applyProtection="1">
      <protection locked="0"/>
    </xf>
    <xf numFmtId="0" fontId="15" fillId="0" borderId="303" xfId="4" applyFill="1" applyBorder="1" applyProtection="1">
      <protection locked="0"/>
    </xf>
    <xf numFmtId="0" fontId="15" fillId="0" borderId="304" xfId="4" applyFill="1" applyBorder="1" applyProtection="1">
      <protection locked="0"/>
    </xf>
    <xf numFmtId="0" fontId="15" fillId="0" borderId="0" xfId="0" applyFont="1" applyFill="1" applyProtection="1">
      <protection locked="0"/>
    </xf>
    <xf numFmtId="0" fontId="0" fillId="0" borderId="83" xfId="0" applyBorder="1" applyProtection="1">
      <protection locked="0"/>
    </xf>
    <xf numFmtId="0" fontId="0" fillId="0" borderId="278" xfId="0" applyBorder="1" applyProtection="1">
      <protection locked="0"/>
    </xf>
    <xf numFmtId="0" fontId="0" fillId="0" borderId="279" xfId="0" applyBorder="1" applyProtection="1">
      <protection locked="0"/>
    </xf>
    <xf numFmtId="0" fontId="0" fillId="0" borderId="54" xfId="0" applyBorder="1" applyProtection="1">
      <protection locked="0"/>
    </xf>
    <xf numFmtId="0" fontId="0" fillId="0" borderId="277" xfId="0" applyBorder="1" applyProtection="1">
      <protection locked="0"/>
    </xf>
    <xf numFmtId="0" fontId="0" fillId="0" borderId="280" xfId="0" applyBorder="1" applyProtection="1">
      <protection locked="0"/>
    </xf>
    <xf numFmtId="0" fontId="0" fillId="0" borderId="92" xfId="0" applyBorder="1" applyProtection="1">
      <protection locked="0"/>
    </xf>
    <xf numFmtId="0" fontId="0" fillId="0" borderId="299" xfId="0" applyBorder="1" applyProtection="1">
      <protection locked="0"/>
    </xf>
    <xf numFmtId="0" fontId="0" fillId="0" borderId="300" xfId="0" applyBorder="1" applyProtection="1">
      <protection locked="0"/>
    </xf>
    <xf numFmtId="0" fontId="0" fillId="0" borderId="87" xfId="0" applyBorder="1" applyProtection="1">
      <protection locked="0"/>
    </xf>
    <xf numFmtId="0" fontId="0" fillId="0" borderId="281" xfId="0" applyBorder="1" applyProtection="1">
      <protection locked="0"/>
    </xf>
    <xf numFmtId="0" fontId="0" fillId="0" borderId="282" xfId="0" applyBorder="1" applyProtection="1">
      <protection locked="0"/>
    </xf>
    <xf numFmtId="0" fontId="0" fillId="0" borderId="4" xfId="0" applyBorder="1" applyProtection="1">
      <protection locked="0"/>
    </xf>
    <xf numFmtId="0" fontId="0" fillId="0" borderId="256" xfId="0" applyBorder="1" applyProtection="1">
      <protection locked="0"/>
    </xf>
    <xf numFmtId="0" fontId="0" fillId="0" borderId="5" xfId="0" applyBorder="1" applyProtection="1">
      <protection locked="0"/>
    </xf>
    <xf numFmtId="0" fontId="0" fillId="0" borderId="189" xfId="0" applyBorder="1" applyProtection="1">
      <protection locked="0"/>
    </xf>
    <xf numFmtId="0" fontId="0" fillId="0" borderId="258" xfId="0" applyBorder="1" applyProtection="1">
      <protection locked="0"/>
    </xf>
    <xf numFmtId="0" fontId="0" fillId="0" borderId="78" xfId="0" applyBorder="1" applyProtection="1">
      <protection locked="0"/>
    </xf>
    <xf numFmtId="0" fontId="0" fillId="0" borderId="51" xfId="0" applyBorder="1" applyProtection="1">
      <protection locked="0"/>
    </xf>
    <xf numFmtId="0" fontId="0" fillId="0" borderId="52" xfId="0" applyBorder="1" applyProtection="1">
      <protection locked="0"/>
    </xf>
    <xf numFmtId="0" fontId="0" fillId="0" borderId="190" xfId="0" applyBorder="1" applyProtection="1">
      <protection locked="0"/>
    </xf>
    <xf numFmtId="0" fontId="0" fillId="0" borderId="262" xfId="0" applyBorder="1" applyProtection="1">
      <protection locked="0"/>
    </xf>
    <xf numFmtId="0" fontId="0" fillId="0" borderId="263" xfId="0" applyBorder="1" applyProtection="1">
      <protection locked="0"/>
    </xf>
    <xf numFmtId="0" fontId="0" fillId="0" borderId="264" xfId="0" applyBorder="1" applyProtection="1">
      <protection locked="0"/>
    </xf>
    <xf numFmtId="0" fontId="0" fillId="0" borderId="265" xfId="0" applyBorder="1" applyProtection="1">
      <protection locked="0"/>
    </xf>
    <xf numFmtId="0" fontId="0" fillId="0" borderId="266" xfId="0" applyBorder="1" applyProtection="1">
      <protection locked="0"/>
    </xf>
    <xf numFmtId="0" fontId="0" fillId="0" borderId="267" xfId="0" applyBorder="1" applyProtection="1">
      <protection locked="0"/>
    </xf>
    <xf numFmtId="0" fontId="0" fillId="0" borderId="13" xfId="0" applyBorder="1" applyProtection="1">
      <protection locked="0"/>
    </xf>
    <xf numFmtId="0" fontId="0" fillId="0" borderId="59" xfId="0" applyBorder="1" applyProtection="1">
      <protection locked="0"/>
    </xf>
    <xf numFmtId="0" fontId="0" fillId="0" borderId="0" xfId="0" applyBorder="1" applyProtection="1">
      <protection locked="0"/>
    </xf>
    <xf numFmtId="0" fontId="0" fillId="0" borderId="192" xfId="0" applyBorder="1" applyProtection="1">
      <protection locked="0"/>
    </xf>
    <xf numFmtId="0" fontId="0" fillId="0" borderId="259" xfId="0" applyBorder="1" applyProtection="1">
      <protection locked="0"/>
    </xf>
    <xf numFmtId="0" fontId="0" fillId="0" borderId="21" xfId="0" applyBorder="1" applyProtection="1">
      <protection locked="0"/>
    </xf>
    <xf numFmtId="0" fontId="0" fillId="0" borderId="257" xfId="0" applyBorder="1" applyProtection="1">
      <protection locked="0"/>
    </xf>
    <xf numFmtId="0" fontId="0" fillId="0" borderId="45" xfId="0" applyBorder="1" applyProtection="1">
      <protection locked="0"/>
    </xf>
    <xf numFmtId="0" fontId="0" fillId="0" borderId="240" xfId="0" applyBorder="1" applyProtection="1">
      <protection locked="0"/>
    </xf>
    <xf numFmtId="0" fontId="0" fillId="0" borderId="260" xfId="0" applyBorder="1" applyProtection="1">
      <protection locked="0"/>
    </xf>
    <xf numFmtId="0" fontId="0" fillId="0" borderId="268" xfId="0" applyBorder="1" applyProtection="1">
      <protection locked="0"/>
    </xf>
    <xf numFmtId="0" fontId="0" fillId="0" borderId="269" xfId="0" applyBorder="1" applyProtection="1">
      <protection locked="0"/>
    </xf>
    <xf numFmtId="0" fontId="0" fillId="0" borderId="270" xfId="0" applyBorder="1" applyProtection="1">
      <protection locked="0"/>
    </xf>
    <xf numFmtId="0" fontId="0" fillId="0" borderId="271" xfId="0" applyBorder="1" applyProtection="1">
      <protection locked="0"/>
    </xf>
    <xf numFmtId="0" fontId="0" fillId="0" borderId="272" xfId="0" applyBorder="1" applyProtection="1">
      <protection locked="0"/>
    </xf>
    <xf numFmtId="0" fontId="0" fillId="0" borderId="286" xfId="0" applyBorder="1" applyProtection="1">
      <protection locked="0"/>
    </xf>
    <xf numFmtId="0" fontId="0" fillId="0" borderId="287" xfId="0" applyBorder="1" applyProtection="1">
      <protection locked="0"/>
    </xf>
    <xf numFmtId="0" fontId="0" fillId="0" borderId="288" xfId="0" applyBorder="1" applyProtection="1">
      <protection locked="0"/>
    </xf>
    <xf numFmtId="0" fontId="0" fillId="0" borderId="289" xfId="0" applyBorder="1" applyProtection="1">
      <protection locked="0"/>
    </xf>
    <xf numFmtId="0" fontId="0" fillId="0" borderId="290" xfId="0" applyBorder="1" applyProtection="1">
      <protection locked="0"/>
    </xf>
    <xf numFmtId="0" fontId="0" fillId="0" borderId="155" xfId="0" applyBorder="1" applyProtection="1">
      <protection locked="0"/>
    </xf>
    <xf numFmtId="0" fontId="0" fillId="0" borderId="140" xfId="0" applyBorder="1" applyProtection="1">
      <protection locked="0"/>
    </xf>
    <xf numFmtId="0" fontId="0" fillId="0" borderId="261" xfId="0" applyBorder="1" applyProtection="1">
      <protection locked="0"/>
    </xf>
    <xf numFmtId="0" fontId="0" fillId="0" borderId="291" xfId="0" applyBorder="1" applyProtection="1">
      <protection locked="0"/>
    </xf>
    <xf numFmtId="0" fontId="0" fillId="0" borderId="292" xfId="0" applyBorder="1" applyProtection="1">
      <protection locked="0"/>
    </xf>
    <xf numFmtId="0" fontId="0" fillId="0" borderId="293" xfId="0" applyBorder="1" applyProtection="1">
      <protection locked="0"/>
    </xf>
    <xf numFmtId="0" fontId="0" fillId="0" borderId="294" xfId="0" applyBorder="1" applyProtection="1">
      <protection locked="0"/>
    </xf>
    <xf numFmtId="0" fontId="0" fillId="0" borderId="295" xfId="0" applyBorder="1" applyProtection="1">
      <protection locked="0"/>
    </xf>
    <xf numFmtId="0" fontId="0" fillId="0" borderId="273" xfId="0" applyBorder="1" applyProtection="1">
      <protection locked="0"/>
    </xf>
    <xf numFmtId="0" fontId="0" fillId="0" borderId="274" xfId="0" applyBorder="1" applyProtection="1">
      <protection locked="0"/>
    </xf>
    <xf numFmtId="0" fontId="0" fillId="0" borderId="249" xfId="0" applyBorder="1" applyProtection="1">
      <protection locked="0"/>
    </xf>
    <xf numFmtId="0" fontId="0" fillId="0" borderId="275" xfId="0" applyBorder="1" applyProtection="1">
      <protection locked="0"/>
    </xf>
    <xf numFmtId="0" fontId="0" fillId="0" borderId="276" xfId="0" applyBorder="1" applyProtection="1">
      <protection locked="0"/>
    </xf>
    <xf numFmtId="0" fontId="0" fillId="0" borderId="183" xfId="0" applyBorder="1" applyProtection="1">
      <protection locked="0"/>
    </xf>
    <xf numFmtId="0" fontId="0" fillId="0" borderId="178" xfId="0" applyBorder="1" applyProtection="1">
      <protection locked="0"/>
    </xf>
    <xf numFmtId="0" fontId="0" fillId="0" borderId="298" xfId="0" applyBorder="1" applyProtection="1">
      <protection locked="0"/>
    </xf>
    <xf numFmtId="0" fontId="0" fillId="0" borderId="173" xfId="0" applyBorder="1" applyProtection="1">
      <protection locked="0"/>
    </xf>
    <xf numFmtId="0" fontId="0" fillId="0" borderId="174" xfId="0" applyBorder="1" applyProtection="1">
      <protection locked="0"/>
    </xf>
    <xf numFmtId="0" fontId="0" fillId="0" borderId="297" xfId="0" applyBorder="1" applyProtection="1">
      <protection locked="0"/>
    </xf>
    <xf numFmtId="0" fontId="0" fillId="0" borderId="165" xfId="0" applyBorder="1" applyProtection="1">
      <protection locked="0"/>
    </xf>
    <xf numFmtId="0" fontId="0" fillId="0" borderId="166" xfId="0" applyBorder="1" applyProtection="1">
      <protection locked="0"/>
    </xf>
    <xf numFmtId="0" fontId="0" fillId="0" borderId="296" xfId="0" applyBorder="1" applyProtection="1">
      <protection locked="0"/>
    </xf>
    <xf numFmtId="0" fontId="0" fillId="0" borderId="167" xfId="0" applyBorder="1" applyProtection="1">
      <protection locked="0"/>
    </xf>
    <xf numFmtId="0" fontId="0" fillId="0" borderId="168" xfId="0" applyBorder="1" applyProtection="1">
      <protection locked="0"/>
    </xf>
    <xf numFmtId="0" fontId="15" fillId="6" borderId="0" xfId="0" applyFont="1" applyFill="1" applyProtection="1">
      <protection locked="0"/>
    </xf>
    <xf numFmtId="0" fontId="15" fillId="0" borderId="183" xfId="0" applyFont="1" applyBorder="1" applyProtection="1">
      <protection locked="0"/>
    </xf>
    <xf numFmtId="0" fontId="0" fillId="0" borderId="126" xfId="0" applyBorder="1" applyProtection="1">
      <protection locked="0"/>
    </xf>
    <xf numFmtId="0" fontId="62" fillId="0" borderId="164" xfId="0" applyFont="1" applyBorder="1" applyProtection="1">
      <protection locked="0"/>
    </xf>
    <xf numFmtId="0" fontId="0" fillId="0" borderId="195" xfId="0" applyBorder="1" applyProtection="1">
      <protection locked="0"/>
    </xf>
    <xf numFmtId="0" fontId="15" fillId="6" borderId="62" xfId="0" applyFont="1" applyFill="1" applyBorder="1" applyAlignment="1" applyProtection="1">
      <alignment horizontal="left"/>
      <protection locked="0"/>
    </xf>
    <xf numFmtId="3" fontId="0" fillId="0" borderId="277" xfId="0" applyNumberFormat="1" applyBorder="1" applyProtection="1">
      <protection locked="0"/>
    </xf>
    <xf numFmtId="3" fontId="0" fillId="0" borderId="54" xfId="0" applyNumberFormat="1" applyBorder="1" applyProtection="1">
      <protection locked="0"/>
    </xf>
    <xf numFmtId="3" fontId="0" fillId="0" borderId="299" xfId="0" applyNumberFormat="1" applyBorder="1" applyProtection="1">
      <protection locked="0"/>
    </xf>
    <xf numFmtId="3" fontId="0" fillId="0" borderId="281" xfId="0" applyNumberFormat="1" applyBorder="1" applyProtection="1">
      <protection locked="0"/>
    </xf>
    <xf numFmtId="3" fontId="0" fillId="0" borderId="278" xfId="0" applyNumberFormat="1" applyBorder="1" applyProtection="1">
      <protection locked="0"/>
    </xf>
    <xf numFmtId="3" fontId="0" fillId="0" borderId="92" xfId="0" applyNumberFormat="1" applyBorder="1" applyProtection="1">
      <protection locked="0"/>
    </xf>
    <xf numFmtId="3" fontId="15" fillId="0" borderId="125" xfId="4" quotePrefix="1" applyNumberFormat="1" applyFill="1" applyBorder="1" applyAlignment="1" applyProtection="1">
      <alignment horizontal="right" vertical="center"/>
      <protection locked="0"/>
    </xf>
    <xf numFmtId="3" fontId="0" fillId="0" borderId="87" xfId="0" applyNumberFormat="1" applyBorder="1" applyProtection="1">
      <protection locked="0"/>
    </xf>
    <xf numFmtId="3" fontId="0" fillId="0" borderId="125" xfId="0" applyNumberFormat="1" applyBorder="1" applyProtection="1">
      <protection locked="0"/>
    </xf>
    <xf numFmtId="3" fontId="0" fillId="0" borderId="138" xfId="0" applyNumberFormat="1" applyBorder="1" applyProtection="1">
      <protection locked="0"/>
    </xf>
    <xf numFmtId="3" fontId="0" fillId="0" borderId="141" xfId="0" applyNumberFormat="1" applyFill="1" applyBorder="1" applyProtection="1">
      <protection locked="0"/>
    </xf>
    <xf numFmtId="3" fontId="0" fillId="0" borderId="140" xfId="0" applyNumberFormat="1" applyFill="1" applyBorder="1" applyProtection="1">
      <protection locked="0"/>
    </xf>
    <xf numFmtId="3" fontId="0" fillId="0" borderId="120" xfId="0" applyNumberFormat="1" applyFill="1" applyBorder="1" applyProtection="1">
      <protection locked="0"/>
    </xf>
    <xf numFmtId="3" fontId="44" fillId="0" borderId="183" xfId="4" applyNumberFormat="1" applyFont="1" applyFill="1" applyBorder="1" applyAlignment="1" applyProtection="1">
      <alignment horizontal="right" vertical="center" wrapText="1"/>
      <protection locked="0"/>
    </xf>
    <xf numFmtId="3" fontId="44" fillId="0" borderId="178" xfId="4" applyNumberFormat="1" applyFont="1" applyFill="1" applyBorder="1" applyAlignment="1" applyProtection="1">
      <alignment horizontal="right" vertical="center" wrapText="1"/>
      <protection locked="0"/>
    </xf>
    <xf numFmtId="3" fontId="72" fillId="0" borderId="40" xfId="4" applyNumberFormat="1" applyFont="1" applyFill="1" applyBorder="1" applyAlignment="1" applyProtection="1">
      <alignment horizontal="right" vertical="center" wrapText="1"/>
      <protection locked="0"/>
    </xf>
    <xf numFmtId="3" fontId="72" fillId="0" borderId="179" xfId="4" applyNumberFormat="1" applyFont="1" applyFill="1" applyBorder="1" applyAlignment="1" applyProtection="1">
      <alignment horizontal="right" vertical="center" wrapText="1"/>
      <protection locked="0"/>
    </xf>
    <xf numFmtId="3" fontId="61" fillId="0" borderId="74" xfId="4" applyNumberFormat="1" applyFont="1" applyFill="1" applyBorder="1" applyProtection="1">
      <protection locked="0"/>
    </xf>
    <xf numFmtId="3" fontId="15" fillId="0" borderId="80" xfId="4" applyNumberFormat="1" applyFill="1" applyBorder="1" applyProtection="1">
      <protection locked="0"/>
    </xf>
    <xf numFmtId="3" fontId="15" fillId="0" borderId="240" xfId="4" applyNumberFormat="1" applyFill="1" applyBorder="1" applyProtection="1">
      <protection locked="0"/>
    </xf>
    <xf numFmtId="3" fontId="0" fillId="0" borderId="166" xfId="0" applyNumberFormat="1" applyBorder="1" applyProtection="1">
      <protection locked="0"/>
    </xf>
    <xf numFmtId="0" fontId="15" fillId="0" borderId="166" xfId="0" applyFont="1" applyBorder="1" applyProtection="1">
      <protection locked="0"/>
    </xf>
    <xf numFmtId="3" fontId="0" fillId="0" borderId="178" xfId="0" applyNumberFormat="1" applyBorder="1" applyProtection="1">
      <protection locked="0"/>
    </xf>
    <xf numFmtId="0" fontId="15" fillId="12" borderId="0" xfId="0" applyFont="1" applyFill="1" applyAlignment="1" applyProtection="1">
      <alignment horizontal="left" vertical="top" wrapText="1"/>
    </xf>
    <xf numFmtId="0" fontId="83" fillId="0" borderId="12" xfId="0" applyFont="1" applyBorder="1" applyAlignment="1">
      <alignment horizontal="center" vertical="center"/>
    </xf>
    <xf numFmtId="0" fontId="83" fillId="0" borderId="16" xfId="0" applyFont="1" applyBorder="1" applyAlignment="1">
      <alignment horizontal="center" vertical="center"/>
    </xf>
    <xf numFmtId="0" fontId="83" fillId="0" borderId="17" xfId="0" applyFont="1" applyBorder="1" applyAlignment="1">
      <alignment horizontal="center" vertical="center"/>
    </xf>
    <xf numFmtId="0" fontId="83" fillId="0" borderId="19" xfId="0" applyFont="1" applyBorder="1" applyAlignment="1">
      <alignment horizontal="center" vertical="center"/>
    </xf>
    <xf numFmtId="0" fontId="83" fillId="0" borderId="12" xfId="0" applyFont="1" applyBorder="1" applyAlignment="1">
      <alignment horizontal="center" vertical="center" wrapText="1"/>
    </xf>
    <xf numFmtId="0" fontId="83" fillId="0" borderId="16" xfId="0" applyFont="1" applyBorder="1" applyAlignment="1">
      <alignment horizontal="center" vertical="center" wrapText="1"/>
    </xf>
    <xf numFmtId="0" fontId="83" fillId="0" borderId="13" xfId="0" applyFont="1" applyBorder="1" applyAlignment="1">
      <alignment horizontal="center" vertical="center" wrapText="1"/>
    </xf>
    <xf numFmtId="0" fontId="83" fillId="0" borderId="25" xfId="0" applyFont="1" applyBorder="1" applyAlignment="1">
      <alignment horizontal="center" vertical="center" wrapText="1"/>
    </xf>
    <xf numFmtId="0" fontId="83" fillId="0" borderId="17" xfId="0" applyFont="1" applyBorder="1" applyAlignment="1">
      <alignment horizontal="center" vertical="center" wrapText="1"/>
    </xf>
    <xf numFmtId="0" fontId="83" fillId="0" borderId="19" xfId="0" applyFont="1" applyBorder="1" applyAlignment="1">
      <alignment horizontal="center" vertical="center" wrapText="1"/>
    </xf>
    <xf numFmtId="0" fontId="16" fillId="5" borderId="4" xfId="0" applyFont="1" applyFill="1" applyBorder="1" applyAlignment="1" applyProtection="1">
      <alignment horizontal="center" vertical="center"/>
    </xf>
    <xf numFmtId="0" fontId="16" fillId="5" borderId="5" xfId="0" applyFont="1" applyFill="1" applyBorder="1" applyAlignment="1" applyProtection="1">
      <alignment horizontal="center" vertical="center"/>
    </xf>
    <xf numFmtId="0" fontId="16" fillId="5" borderId="189" xfId="0" applyFont="1" applyFill="1" applyBorder="1" applyAlignment="1" applyProtection="1">
      <alignment horizontal="center" vertical="center"/>
    </xf>
    <xf numFmtId="0" fontId="16" fillId="5" borderId="6" xfId="0" applyFont="1" applyFill="1" applyBorder="1" applyAlignment="1" applyProtection="1">
      <alignment horizontal="center" vertical="center"/>
    </xf>
    <xf numFmtId="0" fontId="15" fillId="5" borderId="12" xfId="0" applyFont="1" applyFill="1" applyBorder="1" applyAlignment="1" applyProtection="1">
      <alignment horizontal="center" vertical="center" wrapText="1"/>
    </xf>
    <xf numFmtId="0" fontId="15" fillId="5" borderId="14" xfId="0" applyFont="1" applyFill="1" applyBorder="1" applyAlignment="1" applyProtection="1">
      <alignment horizontal="center" vertical="center" wrapText="1"/>
    </xf>
    <xf numFmtId="0" fontId="15" fillId="5" borderId="17" xfId="0" applyFont="1" applyFill="1" applyBorder="1" applyAlignment="1" applyProtection="1">
      <alignment horizontal="center" vertical="center" wrapText="1"/>
    </xf>
    <xf numFmtId="0" fontId="15" fillId="5" borderId="2" xfId="0" applyFont="1" applyFill="1" applyBorder="1" applyAlignment="1" applyProtection="1">
      <alignment horizontal="center" vertical="center" wrapText="1"/>
    </xf>
    <xf numFmtId="0" fontId="53" fillId="5" borderId="15" xfId="0" applyFont="1" applyFill="1" applyBorder="1" applyAlignment="1" applyProtection="1">
      <alignment horizontal="center" vertical="center" wrapText="1"/>
    </xf>
    <xf numFmtId="0" fontId="53" fillId="5" borderId="18" xfId="0" applyFont="1" applyFill="1" applyBorder="1" applyAlignment="1" applyProtection="1">
      <alignment horizontal="center" vertical="center" wrapText="1"/>
    </xf>
    <xf numFmtId="0" fontId="15" fillId="5" borderId="30" xfId="0" applyFont="1" applyFill="1" applyBorder="1" applyAlignment="1" applyProtection="1">
      <alignment horizontal="center" vertical="center" wrapText="1"/>
    </xf>
    <xf numFmtId="0" fontId="15" fillId="5" borderId="16" xfId="0" applyFont="1" applyFill="1" applyBorder="1" applyAlignment="1" applyProtection="1">
      <alignment horizontal="center" vertical="center" wrapText="1"/>
    </xf>
    <xf numFmtId="0" fontId="15" fillId="5" borderId="198" xfId="0" applyFont="1" applyFill="1" applyBorder="1" applyAlignment="1" applyProtection="1">
      <alignment horizontal="center" vertical="center" wrapText="1"/>
    </xf>
    <xf numFmtId="0" fontId="15" fillId="5" borderId="19" xfId="0" applyFont="1" applyFill="1" applyBorder="1" applyAlignment="1" applyProtection="1">
      <alignment horizontal="center" vertical="center" wrapText="1"/>
    </xf>
    <xf numFmtId="0" fontId="4" fillId="5" borderId="189" xfId="0" applyFont="1" applyFill="1" applyBorder="1" applyAlignment="1" applyProtection="1">
      <alignment horizontal="center" vertical="center" wrapText="1"/>
    </xf>
    <xf numFmtId="0" fontId="4" fillId="5" borderId="26" xfId="0" applyFont="1" applyFill="1" applyBorder="1" applyAlignment="1" applyProtection="1">
      <alignment horizontal="center" vertical="center" wrapText="1"/>
    </xf>
    <xf numFmtId="0" fontId="21" fillId="5" borderId="192" xfId="0" applyFont="1" applyFill="1" applyBorder="1" applyAlignment="1" applyProtection="1">
      <alignment horizontal="center" vertical="center" wrapText="1"/>
    </xf>
    <xf numFmtId="0" fontId="21" fillId="5" borderId="25" xfId="0" applyFont="1" applyFill="1" applyBorder="1" applyAlignment="1" applyProtection="1">
      <alignment horizontal="center" vertical="center" wrapText="1"/>
    </xf>
    <xf numFmtId="0" fontId="4" fillId="5" borderId="5" xfId="0" applyFont="1" applyFill="1" applyBorder="1" applyAlignment="1" applyProtection="1">
      <alignment horizontal="center" vertical="center" wrapText="1"/>
    </xf>
    <xf numFmtId="0" fontId="21" fillId="5" borderId="12" xfId="0" applyFont="1" applyFill="1" applyBorder="1" applyAlignment="1" applyProtection="1">
      <alignment horizontal="center" wrapText="1"/>
    </xf>
    <xf numFmtId="0" fontId="21" fillId="5" borderId="15" xfId="0" applyFont="1" applyFill="1" applyBorder="1" applyAlignment="1" applyProtection="1">
      <alignment horizontal="center" wrapText="1"/>
    </xf>
    <xf numFmtId="0" fontId="21" fillId="5" borderId="13" xfId="0" applyFont="1" applyFill="1" applyBorder="1" applyAlignment="1" applyProtection="1">
      <alignment horizontal="center" vertical="center" wrapText="1"/>
    </xf>
    <xf numFmtId="0" fontId="21" fillId="5" borderId="23" xfId="0" applyFont="1" applyFill="1" applyBorder="1" applyAlignment="1" applyProtection="1">
      <alignment horizontal="center" vertical="center" wrapText="1"/>
    </xf>
    <xf numFmtId="0" fontId="21" fillId="5" borderId="17" xfId="0" applyFont="1" applyFill="1" applyBorder="1" applyAlignment="1" applyProtection="1">
      <alignment horizontal="center" vertical="top" wrapText="1"/>
    </xf>
    <xf numFmtId="0" fontId="21" fillId="5" borderId="18" xfId="0" applyFont="1" applyFill="1" applyBorder="1" applyAlignment="1" applyProtection="1">
      <alignment horizontal="center" vertical="top" wrapText="1"/>
    </xf>
    <xf numFmtId="0" fontId="16" fillId="5" borderId="16" xfId="0" applyFont="1" applyFill="1" applyBorder="1" applyAlignment="1" applyProtection="1">
      <alignment horizontal="center" vertical="center"/>
    </xf>
    <xf numFmtId="0" fontId="0" fillId="5" borderId="8" xfId="0" applyFill="1" applyBorder="1" applyAlignment="1" applyProtection="1">
      <alignment horizontal="center"/>
    </xf>
    <xf numFmtId="0" fontId="16" fillId="5" borderId="30" xfId="0" applyFont="1" applyFill="1" applyBorder="1" applyAlignment="1" applyProtection="1">
      <alignment horizontal="center" vertical="center"/>
    </xf>
    <xf numFmtId="0" fontId="16" fillId="5" borderId="198" xfId="0" applyFont="1" applyFill="1" applyBorder="1" applyAlignment="1" applyProtection="1">
      <alignment horizontal="center" vertical="center" wrapText="1"/>
    </xf>
    <xf numFmtId="0" fontId="16" fillId="5" borderId="19" xfId="0" applyFont="1" applyFill="1" applyBorder="1" applyAlignment="1" applyProtection="1">
      <alignment horizontal="center" vertical="center" wrapText="1"/>
    </xf>
    <xf numFmtId="0" fontId="59" fillId="5" borderId="12" xfId="0" applyFont="1" applyFill="1" applyBorder="1" applyAlignment="1" applyProtection="1">
      <alignment horizontal="left" vertical="center"/>
    </xf>
    <xf numFmtId="0" fontId="59" fillId="5" borderId="16" xfId="0" applyFont="1" applyFill="1" applyBorder="1" applyAlignment="1" applyProtection="1">
      <alignment horizontal="left" vertical="center"/>
    </xf>
    <xf numFmtId="0" fontId="59" fillId="5" borderId="17" xfId="0" applyFont="1" applyFill="1" applyBorder="1" applyAlignment="1" applyProtection="1">
      <alignment horizontal="left" vertical="center"/>
    </xf>
    <xf numFmtId="0" fontId="59" fillId="5" borderId="19" xfId="0" applyFont="1" applyFill="1" applyBorder="1" applyAlignment="1" applyProtection="1">
      <alignment horizontal="left" vertical="center"/>
    </xf>
    <xf numFmtId="0" fontId="16" fillId="5" borderId="12" xfId="0" applyFont="1" applyFill="1" applyBorder="1" applyAlignment="1" applyProtection="1">
      <alignment horizontal="center" vertical="center" wrapText="1"/>
    </xf>
    <xf numFmtId="0" fontId="16" fillId="5" borderId="14" xfId="0" applyFont="1" applyFill="1" applyBorder="1" applyAlignment="1" applyProtection="1">
      <alignment horizontal="center" vertical="center" wrapText="1"/>
    </xf>
    <xf numFmtId="0" fontId="16" fillId="5" borderId="17" xfId="0" applyFont="1" applyFill="1" applyBorder="1" applyAlignment="1" applyProtection="1">
      <alignment horizontal="center" vertical="center" wrapText="1"/>
    </xf>
    <xf numFmtId="0" fontId="16" fillId="5" borderId="2" xfId="0" applyFont="1" applyFill="1" applyBorder="1" applyAlignment="1" applyProtection="1">
      <alignment horizontal="center" vertical="center" wrapText="1"/>
    </xf>
    <xf numFmtId="0" fontId="16" fillId="5" borderId="14" xfId="0" applyFont="1" applyFill="1" applyBorder="1" applyAlignment="1" applyProtection="1">
      <alignment horizontal="center" vertical="center"/>
    </xf>
    <xf numFmtId="0" fontId="16" fillId="5" borderId="2" xfId="0" applyFont="1" applyFill="1" applyBorder="1" applyAlignment="1" applyProtection="1">
      <alignment horizontal="center" vertical="center"/>
    </xf>
    <xf numFmtId="0" fontId="0" fillId="5" borderId="3" xfId="0" applyFill="1" applyBorder="1" applyAlignment="1" applyProtection="1">
      <alignment horizontal="center"/>
    </xf>
    <xf numFmtId="0" fontId="0" fillId="7" borderId="8" xfId="0" applyFill="1" applyBorder="1" applyAlignment="1" applyProtection="1">
      <alignment horizontal="center"/>
    </xf>
    <xf numFmtId="0" fontId="0" fillId="7" borderId="7" xfId="0" applyFill="1" applyBorder="1" applyAlignment="1" applyProtection="1">
      <alignment horizontal="center"/>
    </xf>
    <xf numFmtId="0" fontId="21" fillId="7" borderId="12" xfId="0" applyFont="1" applyFill="1" applyBorder="1" applyAlignment="1" applyProtection="1">
      <alignment horizontal="center" wrapText="1"/>
    </xf>
    <xf numFmtId="0" fontId="21" fillId="7" borderId="15" xfId="0" applyFont="1" applyFill="1" applyBorder="1" applyAlignment="1" applyProtection="1">
      <alignment horizontal="center" wrapText="1"/>
    </xf>
    <xf numFmtId="0" fontId="21" fillId="7" borderId="192" xfId="0" applyFont="1" applyFill="1" applyBorder="1" applyAlignment="1" applyProtection="1">
      <alignment horizontal="center" vertical="center" wrapText="1"/>
    </xf>
    <xf numFmtId="0" fontId="21" fillId="7" borderId="25" xfId="0" applyFont="1" applyFill="1" applyBorder="1" applyAlignment="1" applyProtection="1">
      <alignment horizontal="center" vertical="center" wrapText="1"/>
    </xf>
    <xf numFmtId="0" fontId="4" fillId="7" borderId="5" xfId="0" applyFont="1" applyFill="1" applyBorder="1" applyAlignment="1" applyProtection="1">
      <alignment horizontal="center" vertical="center" wrapText="1"/>
    </xf>
    <xf numFmtId="0" fontId="4" fillId="7" borderId="189" xfId="0" applyFont="1" applyFill="1" applyBorder="1" applyAlignment="1" applyProtection="1">
      <alignment horizontal="center" vertical="center" wrapText="1"/>
    </xf>
    <xf numFmtId="0" fontId="4" fillId="7" borderId="26" xfId="0" applyFont="1" applyFill="1" applyBorder="1" applyAlignment="1" applyProtection="1">
      <alignment horizontal="center" vertical="center" wrapText="1"/>
    </xf>
    <xf numFmtId="0" fontId="21" fillId="7" borderId="13" xfId="0" applyFont="1" applyFill="1" applyBorder="1" applyAlignment="1" applyProtection="1">
      <alignment horizontal="center" vertical="center" wrapText="1"/>
    </xf>
    <xf numFmtId="0" fontId="21" fillId="7" borderId="23" xfId="0" applyFont="1" applyFill="1" applyBorder="1" applyAlignment="1" applyProtection="1">
      <alignment horizontal="center" vertical="center" wrapText="1"/>
    </xf>
    <xf numFmtId="0" fontId="21" fillId="7" borderId="17" xfId="0" applyFont="1" applyFill="1" applyBorder="1" applyAlignment="1" applyProtection="1">
      <alignment horizontal="center" vertical="top" wrapText="1"/>
    </xf>
    <xf numFmtId="0" fontId="21" fillId="7" borderId="18" xfId="0" applyFont="1" applyFill="1" applyBorder="1" applyAlignment="1" applyProtection="1">
      <alignment horizontal="center" vertical="top" wrapText="1"/>
    </xf>
    <xf numFmtId="0" fontId="16" fillId="7" borderId="4" xfId="0" applyFont="1" applyFill="1" applyBorder="1" applyAlignment="1" applyProtection="1">
      <alignment horizontal="center" vertical="center"/>
    </xf>
    <xf numFmtId="0" fontId="16" fillId="7" borderId="5" xfId="0" applyFont="1" applyFill="1" applyBorder="1" applyAlignment="1" applyProtection="1">
      <alignment horizontal="center" vertical="center"/>
    </xf>
    <xf numFmtId="0" fontId="16" fillId="7" borderId="6" xfId="0" applyFont="1" applyFill="1" applyBorder="1" applyAlignment="1" applyProtection="1">
      <alignment horizontal="center" vertical="center"/>
    </xf>
    <xf numFmtId="0" fontId="15" fillId="7" borderId="189" xfId="0" applyFont="1" applyFill="1" applyBorder="1" applyAlignment="1" applyProtection="1">
      <alignment horizontal="center" vertical="center"/>
    </xf>
    <xf numFmtId="0" fontId="15" fillId="7" borderId="16" xfId="0" applyFont="1" applyFill="1" applyBorder="1" applyAlignment="1" applyProtection="1">
      <alignment horizontal="center" vertical="center"/>
    </xf>
    <xf numFmtId="0" fontId="15" fillId="7" borderId="4" xfId="0" applyFont="1" applyFill="1" applyBorder="1" applyAlignment="1" applyProtection="1">
      <alignment horizontal="center" vertical="center" wrapText="1"/>
    </xf>
    <xf numFmtId="0" fontId="15" fillId="7" borderId="5" xfId="0" applyFont="1" applyFill="1" applyBorder="1" applyAlignment="1" applyProtection="1">
      <alignment horizontal="center" vertical="center" wrapText="1"/>
    </xf>
    <xf numFmtId="0" fontId="15" fillId="7" borderId="4" xfId="0" applyFont="1" applyFill="1" applyBorder="1" applyAlignment="1" applyProtection="1">
      <alignment horizontal="center" vertical="center"/>
    </xf>
    <xf numFmtId="0" fontId="15" fillId="7" borderId="5" xfId="0" applyFont="1" applyFill="1" applyBorder="1" applyAlignment="1" applyProtection="1">
      <alignment horizontal="center" vertical="center"/>
    </xf>
    <xf numFmtId="0" fontId="15" fillId="7" borderId="6" xfId="0" applyFont="1" applyFill="1" applyBorder="1" applyAlignment="1" applyProtection="1">
      <alignment horizontal="center" vertical="center"/>
    </xf>
    <xf numFmtId="0" fontId="15" fillId="16" borderId="17" xfId="0" applyFont="1" applyFill="1" applyBorder="1" applyAlignment="1" applyProtection="1">
      <alignment horizontal="center" vertical="center"/>
    </xf>
    <xf numFmtId="0" fontId="15" fillId="16" borderId="2" xfId="0" applyFont="1" applyFill="1" applyBorder="1" applyAlignment="1" applyProtection="1">
      <alignment horizontal="center" vertical="center"/>
    </xf>
    <xf numFmtId="0" fontId="15" fillId="16" borderId="5" xfId="0" applyFont="1" applyFill="1" applyBorder="1" applyAlignment="1" applyProtection="1">
      <alignment horizontal="center" vertical="center"/>
    </xf>
    <xf numFmtId="0" fontId="15" fillId="16" borderId="6" xfId="0" applyFont="1" applyFill="1" applyBorder="1" applyAlignment="1" applyProtection="1">
      <alignment horizontal="center" vertical="center"/>
    </xf>
    <xf numFmtId="0" fontId="16" fillId="7" borderId="4" xfId="0" applyFont="1" applyFill="1" applyBorder="1" applyAlignment="1" applyProtection="1">
      <alignment horizontal="center" vertical="center" wrapText="1"/>
    </xf>
    <xf numFmtId="0" fontId="16" fillId="7" borderId="5" xfId="0" applyFont="1" applyFill="1" applyBorder="1" applyAlignment="1" applyProtection="1">
      <alignment horizontal="center" vertical="center" wrapText="1"/>
    </xf>
    <xf numFmtId="0" fontId="16" fillId="7" borderId="6" xfId="0" applyFont="1" applyFill="1" applyBorder="1" applyAlignment="1" applyProtection="1">
      <alignment horizontal="center" vertical="center" wrapText="1"/>
    </xf>
    <xf numFmtId="0" fontId="16" fillId="16" borderId="4" xfId="0" applyFont="1" applyFill="1" applyBorder="1" applyAlignment="1" applyProtection="1">
      <alignment horizontal="center" vertical="center" wrapText="1"/>
    </xf>
    <xf numFmtId="0" fontId="16" fillId="16" borderId="5" xfId="0" applyFont="1" applyFill="1" applyBorder="1" applyAlignment="1" applyProtection="1">
      <alignment horizontal="center" vertical="center" wrapText="1"/>
    </xf>
    <xf numFmtId="0" fontId="16" fillId="16" borderId="6" xfId="0" applyFont="1" applyFill="1" applyBorder="1" applyAlignment="1" applyProtection="1">
      <alignment horizontal="center" vertical="center" wrapText="1"/>
    </xf>
    <xf numFmtId="0" fontId="19" fillId="7" borderId="3" xfId="0" applyFont="1" applyFill="1" applyBorder="1" applyAlignment="1" applyProtection="1">
      <alignment horizontal="left"/>
    </xf>
    <xf numFmtId="0" fontId="19" fillId="7" borderId="7" xfId="0" applyFont="1" applyFill="1" applyBorder="1" applyAlignment="1" applyProtection="1">
      <alignment horizontal="left"/>
    </xf>
    <xf numFmtId="0" fontId="16" fillId="7" borderId="12" xfId="0" applyFont="1" applyFill="1" applyBorder="1" applyAlignment="1" applyProtection="1">
      <alignment horizontal="center"/>
    </xf>
    <xf numFmtId="0" fontId="16" fillId="7" borderId="16" xfId="0" applyFont="1" applyFill="1" applyBorder="1" applyAlignment="1" applyProtection="1">
      <alignment horizontal="center"/>
    </xf>
    <xf numFmtId="0" fontId="16" fillId="7" borderId="17" xfId="0" applyFont="1" applyFill="1" applyBorder="1" applyAlignment="1" applyProtection="1">
      <alignment horizontal="center" vertical="center" wrapText="1"/>
    </xf>
    <xf numFmtId="0" fontId="16" fillId="7" borderId="19" xfId="0" applyFont="1" applyFill="1" applyBorder="1" applyAlignment="1" applyProtection="1">
      <alignment horizontal="center" vertical="center" wrapText="1"/>
    </xf>
    <xf numFmtId="0" fontId="16" fillId="7" borderId="189" xfId="0" applyFont="1" applyFill="1" applyBorder="1" applyAlignment="1" applyProtection="1">
      <alignment horizontal="center" vertical="center" wrapText="1"/>
    </xf>
    <xf numFmtId="0" fontId="59" fillId="7" borderId="3" xfId="0" applyFont="1" applyFill="1" applyBorder="1" applyAlignment="1" applyProtection="1">
      <alignment horizontal="left"/>
    </xf>
    <xf numFmtId="0" fontId="59" fillId="7" borderId="7" xfId="0" applyFont="1" applyFill="1" applyBorder="1" applyAlignment="1" applyProtection="1">
      <alignment horizontal="left"/>
    </xf>
    <xf numFmtId="0" fontId="61" fillId="7" borderId="4" xfId="0" applyFont="1" applyFill="1" applyBorder="1" applyAlignment="1" applyProtection="1">
      <alignment horizontal="center" vertical="center"/>
    </xf>
    <xf numFmtId="0" fontId="61" fillId="7" borderId="5" xfId="0" applyFont="1" applyFill="1" applyBorder="1" applyAlignment="1" applyProtection="1">
      <alignment horizontal="center" vertical="center"/>
    </xf>
    <xf numFmtId="0" fontId="61" fillId="7" borderId="6" xfId="0" applyFont="1" applyFill="1" applyBorder="1" applyAlignment="1" applyProtection="1">
      <alignment horizontal="center" vertical="center"/>
    </xf>
    <xf numFmtId="0" fontId="62" fillId="7" borderId="5" xfId="0" applyFont="1" applyFill="1" applyBorder="1" applyAlignment="1" applyProtection="1">
      <alignment horizontal="center" vertical="center"/>
    </xf>
    <xf numFmtId="0" fontId="62" fillId="7" borderId="6" xfId="0" applyFont="1" applyFill="1" applyBorder="1" applyAlignment="1" applyProtection="1">
      <alignment horizontal="center" vertical="center"/>
    </xf>
    <xf numFmtId="0" fontId="16" fillId="8" borderId="30" xfId="0" applyFont="1" applyFill="1" applyBorder="1" applyAlignment="1" applyProtection="1">
      <alignment horizontal="center" vertical="center"/>
    </xf>
    <xf numFmtId="0" fontId="16" fillId="8" borderId="16" xfId="0" applyFont="1" applyFill="1" applyBorder="1" applyAlignment="1" applyProtection="1">
      <alignment horizontal="center" vertical="center"/>
    </xf>
    <xf numFmtId="0" fontId="16" fillId="8" borderId="192" xfId="0" applyFont="1" applyFill="1" applyBorder="1" applyAlignment="1" applyProtection="1">
      <alignment horizontal="center" vertical="center"/>
    </xf>
    <xf numFmtId="0" fontId="16" fillId="8" borderId="25" xfId="0" applyFont="1" applyFill="1" applyBorder="1" applyAlignment="1" applyProtection="1">
      <alignment horizontal="center" vertical="center"/>
    </xf>
    <xf numFmtId="0" fontId="16" fillId="8" borderId="198" xfId="0" applyFont="1" applyFill="1" applyBorder="1" applyAlignment="1" applyProtection="1">
      <alignment horizontal="center" vertical="center"/>
    </xf>
    <xf numFmtId="0" fontId="16" fillId="8" borderId="19" xfId="0" applyFont="1" applyFill="1" applyBorder="1" applyAlignment="1" applyProtection="1">
      <alignment horizontal="center" vertical="center"/>
    </xf>
    <xf numFmtId="0" fontId="15" fillId="8" borderId="4" xfId="0" applyFont="1" applyFill="1" applyBorder="1" applyAlignment="1" applyProtection="1">
      <alignment horizontal="center" vertical="center" wrapText="1"/>
    </xf>
    <xf numFmtId="0" fontId="15" fillId="8" borderId="5" xfId="0" applyFont="1" applyFill="1" applyBorder="1" applyAlignment="1" applyProtection="1">
      <alignment horizontal="center" vertical="center" wrapText="1"/>
    </xf>
    <xf numFmtId="0" fontId="15" fillId="8" borderId="189" xfId="0" applyFont="1" applyFill="1" applyBorder="1" applyAlignment="1" applyProtection="1">
      <alignment horizontal="center" vertical="center" wrapText="1"/>
    </xf>
    <xf numFmtId="0" fontId="15" fillId="8" borderId="198" xfId="0" applyFont="1" applyFill="1" applyBorder="1" applyAlignment="1" applyProtection="1">
      <alignment horizontal="center" vertical="center" wrapText="1"/>
    </xf>
    <xf numFmtId="0" fontId="15" fillId="8" borderId="2" xfId="0" applyFont="1" applyFill="1" applyBorder="1" applyAlignment="1" applyProtection="1">
      <alignment horizontal="center" vertical="center" wrapText="1"/>
    </xf>
    <xf numFmtId="0" fontId="16" fillId="8" borderId="12" xfId="0" applyFont="1" applyFill="1" applyBorder="1" applyAlignment="1" applyProtection="1">
      <alignment horizontal="center" vertical="center"/>
    </xf>
    <xf numFmtId="0" fontId="16" fillId="8" borderId="14" xfId="0" applyFont="1" applyFill="1" applyBorder="1" applyAlignment="1" applyProtection="1">
      <alignment horizontal="center" vertical="center"/>
    </xf>
    <xf numFmtId="0" fontId="16" fillId="8" borderId="4" xfId="4" applyFont="1" applyFill="1" applyBorder="1" applyAlignment="1" applyProtection="1">
      <alignment horizontal="center" vertical="center"/>
    </xf>
    <xf numFmtId="0" fontId="16" fillId="8" borderId="5" xfId="4" applyFont="1" applyFill="1" applyBorder="1" applyAlignment="1" applyProtection="1">
      <alignment horizontal="center" vertical="center"/>
    </xf>
    <xf numFmtId="0" fontId="16" fillId="8" borderId="6" xfId="4" applyFont="1" applyFill="1" applyBorder="1" applyAlignment="1" applyProtection="1">
      <alignment horizontal="center" vertical="center"/>
    </xf>
    <xf numFmtId="0" fontId="15" fillId="8" borderId="17" xfId="4" applyFont="1" applyFill="1" applyBorder="1" applyAlignment="1" applyProtection="1">
      <alignment horizontal="center" vertical="center" wrapText="1"/>
    </xf>
    <xf numFmtId="0" fontId="15" fillId="8" borderId="2" xfId="4" applyFont="1" applyFill="1" applyBorder="1" applyAlignment="1" applyProtection="1">
      <alignment horizontal="center" vertical="center" wrapText="1"/>
    </xf>
    <xf numFmtId="0" fontId="16" fillId="8" borderId="189" xfId="4" applyNumberFormat="1" applyFont="1" applyFill="1" applyBorder="1" applyAlignment="1" applyProtection="1">
      <alignment horizontal="center" vertical="center" wrapText="1"/>
    </xf>
    <xf numFmtId="0" fontId="16" fillId="8" borderId="6" xfId="4" applyNumberFormat="1" applyFont="1" applyFill="1" applyBorder="1" applyAlignment="1" applyProtection="1">
      <alignment horizontal="center" vertical="center" wrapText="1"/>
    </xf>
    <xf numFmtId="0" fontId="15" fillId="8" borderId="198" xfId="4" applyFont="1" applyFill="1" applyBorder="1" applyAlignment="1" applyProtection="1">
      <alignment horizontal="center" vertical="center" wrapText="1"/>
    </xf>
    <xf numFmtId="0" fontId="15" fillId="8" borderId="19" xfId="4" applyFont="1" applyFill="1" applyBorder="1" applyAlignment="1" applyProtection="1">
      <alignment horizontal="center" vertical="center" wrapText="1"/>
    </xf>
    <xf numFmtId="0" fontId="15" fillId="8" borderId="4" xfId="4" applyFont="1" applyFill="1" applyBorder="1" applyAlignment="1" applyProtection="1">
      <alignment horizontal="center" vertical="center" wrapText="1"/>
    </xf>
    <xf numFmtId="0" fontId="15" fillId="8" borderId="5" xfId="4" applyFont="1" applyFill="1" applyBorder="1" applyAlignment="1" applyProtection="1">
      <alignment horizontal="center" vertical="center" wrapText="1"/>
    </xf>
    <xf numFmtId="0" fontId="15" fillId="8" borderId="30" xfId="4" applyFont="1" applyFill="1" applyBorder="1" applyAlignment="1" applyProtection="1">
      <alignment horizontal="center" vertical="center" wrapText="1"/>
    </xf>
    <xf numFmtId="0" fontId="15" fillId="8" borderId="16" xfId="4" applyFont="1" applyFill="1" applyBorder="1" applyAlignment="1" applyProtection="1">
      <alignment horizontal="center" vertical="center" wrapText="1"/>
    </xf>
    <xf numFmtId="0" fontId="15" fillId="8" borderId="189" xfId="4" applyFont="1" applyFill="1" applyBorder="1" applyAlignment="1" applyProtection="1">
      <alignment horizontal="center" vertical="center" wrapText="1"/>
    </xf>
    <xf numFmtId="0" fontId="15" fillId="8" borderId="6" xfId="4" applyFont="1" applyFill="1" applyBorder="1" applyAlignment="1" applyProtection="1">
      <alignment horizontal="center" vertical="center" wrapText="1"/>
    </xf>
    <xf numFmtId="0" fontId="20" fillId="8" borderId="12" xfId="4" applyFont="1" applyFill="1" applyBorder="1" applyAlignment="1" applyProtection="1">
      <alignment horizontal="center" vertical="center"/>
    </xf>
    <xf numFmtId="0" fontId="20" fillId="8" borderId="16" xfId="4" applyFont="1" applyFill="1" applyBorder="1" applyAlignment="1" applyProtection="1">
      <alignment horizontal="center" vertical="center"/>
    </xf>
    <xf numFmtId="0" fontId="15" fillId="8" borderId="17" xfId="4" applyFont="1" applyFill="1" applyBorder="1" applyAlignment="1" applyProtection="1">
      <alignment horizontal="center" vertical="center"/>
    </xf>
    <xf numFmtId="0" fontId="15" fillId="8" borderId="19" xfId="4" applyFont="1" applyFill="1" applyBorder="1" applyAlignment="1" applyProtection="1">
      <alignment horizontal="center" vertical="center"/>
    </xf>
    <xf numFmtId="0" fontId="16" fillId="8" borderId="4" xfId="0" applyFont="1" applyFill="1" applyBorder="1" applyAlignment="1" applyProtection="1">
      <alignment horizontal="center" vertical="center" wrapText="1"/>
    </xf>
    <xf numFmtId="0" fontId="16" fillId="8" borderId="5" xfId="0" applyFont="1" applyFill="1" applyBorder="1" applyAlignment="1" applyProtection="1">
      <alignment horizontal="center" vertical="center" wrapText="1"/>
    </xf>
    <xf numFmtId="0" fontId="16" fillId="8" borderId="6" xfId="0" applyFont="1" applyFill="1" applyBorder="1" applyAlignment="1" applyProtection="1">
      <alignment horizontal="center" vertical="center" wrapText="1"/>
    </xf>
    <xf numFmtId="0" fontId="15" fillId="8" borderId="6" xfId="0" applyFont="1" applyFill="1" applyBorder="1" applyAlignment="1" applyProtection="1">
      <alignment horizontal="center" vertical="center" wrapText="1"/>
    </xf>
    <xf numFmtId="164" fontId="15" fillId="8" borderId="5" xfId="6" applyFont="1" applyFill="1" applyBorder="1" applyAlignment="1" applyProtection="1">
      <alignment horizontal="center" vertical="center"/>
    </xf>
    <xf numFmtId="164" fontId="15" fillId="8" borderId="189" xfId="6" applyFont="1" applyFill="1" applyBorder="1" applyAlignment="1" applyProtection="1">
      <alignment horizontal="center" vertical="center"/>
    </xf>
    <xf numFmtId="164" fontId="15" fillId="8" borderId="6" xfId="6" applyFont="1" applyFill="1" applyBorder="1" applyAlignment="1" applyProtection="1">
      <alignment horizontal="center" vertical="center"/>
    </xf>
    <xf numFmtId="164" fontId="58" fillId="8" borderId="4" xfId="6" applyFont="1" applyFill="1" applyBorder="1" applyAlignment="1" applyProtection="1">
      <alignment horizontal="center" vertical="center"/>
    </xf>
    <xf numFmtId="164" fontId="58" fillId="8" borderId="5" xfId="6" applyFont="1" applyFill="1" applyBorder="1" applyAlignment="1" applyProtection="1">
      <alignment horizontal="center" vertical="center"/>
    </xf>
    <xf numFmtId="164" fontId="58" fillId="8" borderId="189" xfId="6" applyFont="1" applyFill="1" applyBorder="1" applyAlignment="1" applyProtection="1">
      <alignment horizontal="center" vertical="center"/>
    </xf>
    <xf numFmtId="164" fontId="58" fillId="8" borderId="6" xfId="6" applyFont="1" applyFill="1" applyBorder="1" applyAlignment="1" applyProtection="1">
      <alignment horizontal="center" vertical="center"/>
    </xf>
    <xf numFmtId="164" fontId="15" fillId="8" borderId="4" xfId="6" applyFont="1" applyFill="1" applyBorder="1" applyAlignment="1" applyProtection="1">
      <alignment horizontal="center" vertical="center"/>
    </xf>
    <xf numFmtId="0" fontId="59" fillId="8" borderId="5" xfId="4" applyFont="1" applyFill="1" applyBorder="1" applyAlignment="1" applyProtection="1">
      <alignment horizontal="left"/>
    </xf>
    <xf numFmtId="0" fontId="16" fillId="8" borderId="4" xfId="0" applyFont="1" applyFill="1" applyBorder="1" applyAlignment="1">
      <alignment horizontal="center" vertical="center"/>
    </xf>
    <xf numFmtId="0" fontId="16" fillId="8" borderId="5" xfId="0" applyFont="1" applyFill="1" applyBorder="1" applyAlignment="1">
      <alignment horizontal="center" vertical="center"/>
    </xf>
    <xf numFmtId="0" fontId="57" fillId="8" borderId="4" xfId="0" applyFont="1" applyFill="1" applyBorder="1" applyAlignment="1">
      <alignment horizontal="center" vertical="center"/>
    </xf>
    <xf numFmtId="0" fontId="57" fillId="8" borderId="5" xfId="0" applyFont="1" applyFill="1" applyBorder="1" applyAlignment="1">
      <alignment horizontal="center" vertical="center"/>
    </xf>
    <xf numFmtId="0" fontId="16" fillId="8" borderId="6" xfId="0" applyFont="1" applyFill="1" applyBorder="1" applyAlignment="1">
      <alignment horizontal="center" vertical="center"/>
    </xf>
    <xf numFmtId="164" fontId="79" fillId="8" borderId="283" xfId="6" applyFont="1" applyFill="1" applyBorder="1" applyAlignment="1" applyProtection="1">
      <alignment horizontal="left"/>
    </xf>
    <xf numFmtId="0" fontId="59" fillId="8" borderId="3" xfId="0" applyFont="1" applyFill="1" applyBorder="1" applyAlignment="1">
      <alignment horizontal="left"/>
    </xf>
    <xf numFmtId="0" fontId="59" fillId="8" borderId="7" xfId="0" applyFont="1" applyFill="1" applyBorder="1" applyAlignment="1">
      <alignment horizontal="left"/>
    </xf>
    <xf numFmtId="0" fontId="15" fillId="8" borderId="5" xfId="0" applyFont="1" applyFill="1" applyBorder="1" applyAlignment="1">
      <alignment horizontal="center" vertical="center"/>
    </xf>
    <xf numFmtId="0" fontId="15" fillId="8" borderId="6" xfId="0" applyFont="1" applyFill="1" applyBorder="1" applyAlignment="1">
      <alignment horizontal="center" vertical="center"/>
    </xf>
    <xf numFmtId="0" fontId="61" fillId="8" borderId="4" xfId="0" applyFont="1" applyFill="1" applyBorder="1" applyAlignment="1">
      <alignment horizontal="center" vertical="center"/>
    </xf>
    <xf numFmtId="0" fontId="61" fillId="8" borderId="5" xfId="0" applyFont="1" applyFill="1" applyBorder="1" applyAlignment="1">
      <alignment horizontal="center" vertical="center"/>
    </xf>
    <xf numFmtId="0" fontId="61" fillId="8" borderId="6" xfId="0" applyFont="1" applyFill="1" applyBorder="1" applyAlignment="1">
      <alignment horizontal="center" vertical="center"/>
    </xf>
    <xf numFmtId="0" fontId="62" fillId="8" borderId="5" xfId="0" applyFont="1" applyFill="1" applyBorder="1" applyAlignment="1">
      <alignment horizontal="center" vertical="center"/>
    </xf>
    <xf numFmtId="0" fontId="62" fillId="8" borderId="6" xfId="0" applyFont="1" applyFill="1" applyBorder="1" applyAlignment="1">
      <alignment horizontal="center" vertical="center"/>
    </xf>
    <xf numFmtId="0" fontId="16" fillId="9" borderId="4" xfId="0" applyFont="1" applyFill="1" applyBorder="1" applyAlignment="1" applyProtection="1">
      <alignment horizontal="center" vertical="center" wrapText="1"/>
    </xf>
    <xf numFmtId="0" fontId="16" fillId="9" borderId="5" xfId="0" applyFont="1" applyFill="1" applyBorder="1" applyAlignment="1" applyProtection="1">
      <alignment horizontal="center" vertical="center" wrapText="1"/>
    </xf>
    <xf numFmtId="0" fontId="16" fillId="9" borderId="6" xfId="0" applyFont="1" applyFill="1" applyBorder="1" applyAlignment="1" applyProtection="1">
      <alignment horizontal="center" vertical="center" wrapText="1"/>
    </xf>
    <xf numFmtId="0" fontId="15" fillId="9" borderId="5" xfId="0" applyFont="1" applyFill="1" applyBorder="1" applyAlignment="1" applyProtection="1">
      <alignment horizontal="center" vertical="center" wrapText="1"/>
    </xf>
    <xf numFmtId="0" fontId="15" fillId="9" borderId="189" xfId="0" applyFont="1" applyFill="1" applyBorder="1" applyAlignment="1" applyProtection="1">
      <alignment horizontal="center" vertical="center" wrapText="1"/>
    </xf>
    <xf numFmtId="0" fontId="15" fillId="9" borderId="6" xfId="0" applyFont="1" applyFill="1" applyBorder="1" applyAlignment="1" applyProtection="1">
      <alignment horizontal="center" vertical="center" wrapText="1"/>
    </xf>
    <xf numFmtId="0" fontId="15" fillId="9" borderId="2" xfId="0" applyFont="1" applyFill="1" applyBorder="1" applyAlignment="1" applyProtection="1">
      <alignment horizontal="center" vertical="center" wrapText="1"/>
    </xf>
    <xf numFmtId="0" fontId="15" fillId="9" borderId="192" xfId="0" applyFont="1" applyFill="1" applyBorder="1" applyAlignment="1" applyProtection="1">
      <alignment horizontal="center" vertical="center" wrapText="1"/>
    </xf>
    <xf numFmtId="0" fontId="15" fillId="9" borderId="25" xfId="0" applyFont="1" applyFill="1" applyBorder="1" applyAlignment="1" applyProtection="1">
      <alignment horizontal="center" vertical="center" wrapText="1"/>
    </xf>
    <xf numFmtId="0" fontId="15" fillId="9" borderId="4" xfId="0" applyFont="1" applyFill="1" applyBorder="1" applyAlignment="1" applyProtection="1">
      <alignment horizontal="center" vertical="center" wrapText="1"/>
    </xf>
    <xf numFmtId="0" fontId="15" fillId="9" borderId="189" xfId="0" applyFont="1" applyFill="1" applyBorder="1" applyAlignment="1" applyProtection="1">
      <alignment horizontal="center" vertical="center"/>
    </xf>
    <xf numFmtId="0" fontId="15" fillId="9" borderId="6" xfId="0" applyFont="1" applyFill="1" applyBorder="1" applyAlignment="1" applyProtection="1">
      <alignment horizontal="center" vertical="center"/>
    </xf>
    <xf numFmtId="0" fontId="15" fillId="9" borderId="4" xfId="0" applyFont="1" applyFill="1" applyBorder="1" applyAlignment="1" applyProtection="1">
      <alignment horizontal="center" vertical="center"/>
    </xf>
    <xf numFmtId="0" fontId="15" fillId="9" borderId="5" xfId="0" applyFont="1" applyFill="1" applyBorder="1" applyAlignment="1" applyProtection="1">
      <alignment horizontal="center" vertical="center"/>
    </xf>
    <xf numFmtId="0" fontId="16" fillId="10" borderId="12" xfId="4" applyFont="1" applyFill="1" applyBorder="1" applyAlignment="1" applyProtection="1">
      <alignment horizontal="center" vertical="center" wrapText="1"/>
    </xf>
    <xf numFmtId="0" fontId="16" fillId="10" borderId="14" xfId="4" applyFont="1" applyFill="1" applyBorder="1" applyAlignment="1" applyProtection="1">
      <alignment horizontal="center" vertical="center" wrapText="1"/>
    </xf>
    <xf numFmtId="0" fontId="15" fillId="10" borderId="17" xfId="4" applyFill="1" applyBorder="1" applyAlignment="1" applyProtection="1">
      <alignment horizontal="center" vertical="top" wrapText="1"/>
    </xf>
    <xf numFmtId="0" fontId="15" fillId="10" borderId="2" xfId="4" applyFill="1" applyBorder="1" applyAlignment="1" applyProtection="1">
      <alignment horizontal="center" vertical="top" wrapText="1"/>
    </xf>
    <xf numFmtId="0" fontId="16" fillId="10" borderId="14" xfId="4" applyFont="1" applyFill="1" applyBorder="1" applyAlignment="1" applyProtection="1">
      <alignment horizontal="center" wrapText="1"/>
    </xf>
    <xf numFmtId="0" fontId="16" fillId="10" borderId="30" xfId="4" applyFont="1" applyFill="1" applyBorder="1" applyAlignment="1" applyProtection="1">
      <alignment horizontal="center" wrapText="1"/>
    </xf>
    <xf numFmtId="0" fontId="16" fillId="10" borderId="16" xfId="4" applyFont="1" applyFill="1" applyBorder="1" applyAlignment="1" applyProtection="1">
      <alignment horizontal="center" wrapText="1"/>
    </xf>
    <xf numFmtId="0" fontId="21" fillId="10" borderId="30" xfId="0" applyFont="1" applyFill="1" applyBorder="1" applyAlignment="1" applyProtection="1">
      <alignment horizontal="center" vertical="center"/>
    </xf>
    <xf numFmtId="0" fontId="21" fillId="10" borderId="16" xfId="0" applyFont="1" applyFill="1" applyBorder="1" applyAlignment="1" applyProtection="1">
      <alignment horizontal="center" vertical="center"/>
    </xf>
    <xf numFmtId="0" fontId="21" fillId="10" borderId="198" xfId="0" applyFont="1" applyFill="1" applyBorder="1" applyAlignment="1" applyProtection="1">
      <alignment horizontal="center" vertical="center" wrapText="1"/>
    </xf>
    <xf numFmtId="0" fontId="21" fillId="10" borderId="19" xfId="0" applyFont="1" applyFill="1" applyBorder="1" applyAlignment="1" applyProtection="1">
      <alignment horizontal="center" vertical="center" wrapText="1"/>
    </xf>
    <xf numFmtId="0" fontId="0" fillId="10" borderId="30" xfId="0" applyFill="1" applyBorder="1" applyAlignment="1" applyProtection="1">
      <alignment horizontal="center"/>
    </xf>
    <xf numFmtId="0" fontId="0" fillId="10" borderId="15" xfId="0" applyFill="1" applyBorder="1" applyAlignment="1" applyProtection="1">
      <alignment horizontal="center"/>
    </xf>
    <xf numFmtId="0" fontId="16" fillId="10" borderId="12" xfId="0" applyFont="1" applyFill="1" applyBorder="1" applyAlignment="1" applyProtection="1">
      <alignment horizontal="center" vertical="center"/>
    </xf>
    <xf numFmtId="0" fontId="16" fillId="10" borderId="15" xfId="0" applyFont="1" applyFill="1" applyBorder="1" applyAlignment="1" applyProtection="1">
      <alignment horizontal="center" vertical="center"/>
    </xf>
    <xf numFmtId="0" fontId="16" fillId="10" borderId="13" xfId="0" applyFont="1" applyFill="1" applyBorder="1" applyAlignment="1" applyProtection="1">
      <alignment horizontal="center" vertical="center"/>
    </xf>
    <xf numFmtId="0" fontId="16" fillId="10" borderId="23" xfId="0" applyFont="1" applyFill="1" applyBorder="1" applyAlignment="1" applyProtection="1">
      <alignment horizontal="center" vertical="center"/>
    </xf>
    <xf numFmtId="0" fontId="16" fillId="10" borderId="17" xfId="0" applyFont="1" applyFill="1" applyBorder="1" applyAlignment="1" applyProtection="1">
      <alignment horizontal="center" vertical="top" wrapText="1"/>
    </xf>
    <xf numFmtId="0" fontId="16" fillId="10" borderId="18" xfId="0" applyFont="1" applyFill="1" applyBorder="1" applyAlignment="1" applyProtection="1">
      <alignment horizontal="center" vertical="top" wrapText="1"/>
    </xf>
    <xf numFmtId="0" fontId="16" fillId="10" borderId="192" xfId="0" applyFont="1" applyFill="1" applyBorder="1" applyAlignment="1" applyProtection="1">
      <alignment horizontal="center" vertical="center"/>
    </xf>
    <xf numFmtId="0" fontId="16" fillId="10" borderId="198" xfId="0" applyFont="1" applyFill="1" applyBorder="1" applyAlignment="1" applyProtection="1">
      <alignment horizontal="center" vertical="top" wrapText="1"/>
    </xf>
    <xf numFmtId="0" fontId="21" fillId="10" borderId="192" xfId="0" applyFont="1" applyFill="1" applyBorder="1" applyAlignment="1" applyProtection="1">
      <alignment horizontal="center" vertical="center" wrapText="1"/>
    </xf>
    <xf numFmtId="0" fontId="21" fillId="10" borderId="25" xfId="0" applyFont="1" applyFill="1" applyBorder="1" applyAlignment="1" applyProtection="1">
      <alignment horizontal="center" vertical="center" wrapText="1"/>
    </xf>
    <xf numFmtId="0" fontId="1" fillId="10" borderId="189" xfId="4" applyFont="1" applyFill="1" applyBorder="1" applyAlignment="1" applyProtection="1">
      <alignment horizontal="center" vertical="center" wrapText="1"/>
    </xf>
    <xf numFmtId="0" fontId="1" fillId="10" borderId="6" xfId="4" applyFont="1" applyFill="1" applyBorder="1" applyAlignment="1" applyProtection="1">
      <alignment horizontal="center" vertical="center" wrapText="1"/>
    </xf>
    <xf numFmtId="0" fontId="43" fillId="10" borderId="4" xfId="4" applyFont="1" applyFill="1" applyBorder="1" applyAlignment="1" applyProtection="1">
      <alignment horizontal="center" vertical="center" wrapText="1"/>
    </xf>
    <xf numFmtId="0" fontId="43" fillId="10" borderId="5" xfId="4" applyFont="1" applyFill="1" applyBorder="1" applyAlignment="1" applyProtection="1">
      <alignment horizontal="center" vertical="center" wrapText="1"/>
    </xf>
    <xf numFmtId="0" fontId="16" fillId="11" borderId="12" xfId="0" applyFont="1" applyFill="1" applyBorder="1" applyAlignment="1" applyProtection="1">
      <alignment horizontal="center" vertical="center" wrapText="1"/>
    </xf>
    <xf numFmtId="0" fontId="16" fillId="11" borderId="14" xfId="0" applyFont="1" applyFill="1" applyBorder="1" applyAlignment="1" applyProtection="1">
      <alignment horizontal="center" vertical="center" wrapText="1"/>
    </xf>
    <xf numFmtId="0" fontId="16" fillId="11" borderId="14" xfId="0" applyFont="1" applyFill="1" applyBorder="1" applyAlignment="1" applyProtection="1">
      <alignment horizontal="center" vertical="center"/>
    </xf>
    <xf numFmtId="0" fontId="16" fillId="11" borderId="30" xfId="0" applyFont="1" applyFill="1" applyBorder="1" applyAlignment="1" applyProtection="1">
      <alignment horizontal="center" vertical="center"/>
    </xf>
    <xf numFmtId="0" fontId="16" fillId="11" borderId="16" xfId="0" applyFont="1" applyFill="1" applyBorder="1" applyAlignment="1" applyProtection="1">
      <alignment horizontal="center" vertical="center"/>
    </xf>
    <xf numFmtId="0" fontId="16" fillId="11" borderId="17" xfId="0" applyFont="1" applyFill="1" applyBorder="1" applyAlignment="1" applyProtection="1">
      <alignment horizontal="center" vertical="center" wrapText="1"/>
    </xf>
    <xf numFmtId="0" fontId="16" fillId="11" borderId="2" xfId="0" applyFont="1" applyFill="1" applyBorder="1" applyAlignment="1" applyProtection="1">
      <alignment horizontal="center" vertical="center" wrapText="1"/>
    </xf>
    <xf numFmtId="0" fontId="16" fillId="11" borderId="2" xfId="0" applyFont="1" applyFill="1" applyBorder="1" applyAlignment="1" applyProtection="1">
      <alignment horizontal="center" vertical="center"/>
    </xf>
    <xf numFmtId="0" fontId="16" fillId="11" borderId="198" xfId="0" applyFont="1" applyFill="1" applyBorder="1" applyAlignment="1" applyProtection="1">
      <alignment horizontal="center" vertical="center" wrapText="1"/>
    </xf>
    <xf numFmtId="0" fontId="16" fillId="11" borderId="19" xfId="0" applyFont="1" applyFill="1" applyBorder="1" applyAlignment="1" applyProtection="1">
      <alignment horizontal="center" vertical="center" wrapText="1"/>
    </xf>
    <xf numFmtId="0" fontId="49" fillId="18" borderId="0" xfId="0" applyFont="1" applyFill="1" applyAlignment="1" applyProtection="1">
      <alignment horizontal="center" vertical="center"/>
    </xf>
    <xf numFmtId="0" fontId="59" fillId="18" borderId="16" xfId="0" applyFont="1" applyFill="1" applyBorder="1" applyAlignment="1">
      <alignment horizontal="left"/>
    </xf>
    <xf numFmtId="0" fontId="59" fillId="18" borderId="19" xfId="0" applyFont="1" applyFill="1" applyBorder="1" applyAlignment="1">
      <alignment horizontal="left"/>
    </xf>
    <xf numFmtId="0" fontId="16" fillId="18" borderId="12" xfId="0" applyFont="1" applyFill="1" applyBorder="1" applyAlignment="1">
      <alignment horizontal="center" vertical="center" wrapText="1"/>
    </xf>
    <xf numFmtId="0" fontId="16" fillId="18" borderId="16" xfId="0" applyFont="1" applyFill="1" applyBorder="1" applyAlignment="1">
      <alignment horizontal="center" vertical="center" wrapText="1"/>
    </xf>
    <xf numFmtId="0" fontId="16" fillId="18" borderId="17" xfId="0" applyFont="1" applyFill="1" applyBorder="1" applyAlignment="1">
      <alignment horizontal="center" vertical="center" wrapText="1"/>
    </xf>
    <xf numFmtId="0" fontId="16" fillId="18" borderId="19" xfId="0" applyFont="1" applyFill="1" applyBorder="1" applyAlignment="1">
      <alignment horizontal="center" vertical="center" wrapText="1"/>
    </xf>
  </cellXfs>
  <cellStyles count="7">
    <cellStyle name="gap" xfId="1"/>
    <cellStyle name="Hipervínculo" xfId="2" builtinId="8"/>
    <cellStyle name="Hyperlink 2" xfId="3"/>
    <cellStyle name="Normal" xfId="0" builtinId="0"/>
    <cellStyle name="Normal 2" xfId="4"/>
    <cellStyle name="Normal_Backup of 2004RDQuest_E_draft4" xfId="6"/>
    <cellStyle name="row" xfId="5"/>
  </cellStyles>
  <dxfs count="6">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CCFFCC"/>
      <color rgb="FFCC99FF"/>
      <color rgb="FFCC00CC"/>
      <color rgb="FF33CC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190500</xdr:colOff>
      <xdr:row>2</xdr:row>
      <xdr:rowOff>28575</xdr:rowOff>
    </xdr:from>
    <xdr:to>
      <xdr:col>4</xdr:col>
      <xdr:colOff>342900</xdr:colOff>
      <xdr:row>5</xdr:row>
      <xdr:rowOff>66675</xdr:rowOff>
    </xdr:to>
    <xdr:pic>
      <xdr:nvPicPr>
        <xdr:cNvPr id="64155" name="Picture 1" descr="OECD-285"/>
        <xdr:cNvPicPr>
          <a:picLocks noChangeAspect="1" noChangeArrowheads="1"/>
        </xdr:cNvPicPr>
      </xdr:nvPicPr>
      <xdr:blipFill>
        <a:blip xmlns:r="http://schemas.openxmlformats.org/officeDocument/2006/relationships" r:embed="rId1" cstate="print"/>
        <a:srcRect/>
        <a:stretch>
          <a:fillRect/>
        </a:stretch>
      </xdr:blipFill>
      <xdr:spPr bwMode="auto">
        <a:xfrm>
          <a:off x="190500" y="352425"/>
          <a:ext cx="1885950" cy="523875"/>
        </a:xfrm>
        <a:prstGeom prst="rect">
          <a:avLst/>
        </a:prstGeom>
        <a:noFill/>
        <a:ln w="9525">
          <a:noFill/>
          <a:miter lim="800000"/>
          <a:headEnd/>
          <a:tailEnd/>
        </a:ln>
      </xdr:spPr>
    </xdr:pic>
    <xdr:clientData/>
  </xdr:twoCellAnchor>
  <xdr:twoCellAnchor>
    <xdr:from>
      <xdr:col>15</xdr:col>
      <xdr:colOff>228600</xdr:colOff>
      <xdr:row>1</xdr:row>
      <xdr:rowOff>57150</xdr:rowOff>
    </xdr:from>
    <xdr:to>
      <xdr:col>18</xdr:col>
      <xdr:colOff>180975</xdr:colOff>
      <xdr:row>5</xdr:row>
      <xdr:rowOff>47625</xdr:rowOff>
    </xdr:to>
    <xdr:pic>
      <xdr:nvPicPr>
        <xdr:cNvPr id="64156" name="Picture 22" descr="estat CE RGB en"/>
        <xdr:cNvPicPr>
          <a:picLocks noChangeAspect="1" noChangeArrowheads="1"/>
        </xdr:cNvPicPr>
      </xdr:nvPicPr>
      <xdr:blipFill>
        <a:blip xmlns:r="http://schemas.openxmlformats.org/officeDocument/2006/relationships" r:embed="rId2" cstate="print">
          <a:grayscl/>
          <a:biLevel thresh="50000"/>
        </a:blip>
        <a:srcRect/>
        <a:stretch>
          <a:fillRect/>
        </a:stretch>
      </xdr:blipFill>
      <xdr:spPr bwMode="auto">
        <a:xfrm>
          <a:off x="8305800" y="219075"/>
          <a:ext cx="1781175" cy="638175"/>
        </a:xfrm>
        <a:prstGeom prst="rect">
          <a:avLst/>
        </a:prstGeom>
        <a:noFill/>
        <a:ln w="9525">
          <a:noFill/>
          <a:miter lim="800000"/>
          <a:headEnd/>
          <a:tailEnd/>
        </a:ln>
      </xdr:spPr>
    </xdr:pic>
    <xdr:clientData/>
  </xdr:twoCellAnchor>
  <xdr:twoCellAnchor>
    <xdr:from>
      <xdr:col>9</xdr:col>
      <xdr:colOff>228600</xdr:colOff>
      <xdr:row>0</xdr:row>
      <xdr:rowOff>57150</xdr:rowOff>
    </xdr:from>
    <xdr:to>
      <xdr:col>12</xdr:col>
      <xdr:colOff>171450</xdr:colOff>
      <xdr:row>6</xdr:row>
      <xdr:rowOff>114300</xdr:rowOff>
    </xdr:to>
    <xdr:pic>
      <xdr:nvPicPr>
        <xdr:cNvPr id="64157" name="Picture 2693" descr="image001"/>
        <xdr:cNvPicPr>
          <a:picLocks noChangeAspect="1" noChangeArrowheads="1"/>
        </xdr:cNvPicPr>
      </xdr:nvPicPr>
      <xdr:blipFill>
        <a:blip xmlns:r="http://schemas.openxmlformats.org/officeDocument/2006/relationships" r:embed="rId3" cstate="print"/>
        <a:srcRect/>
        <a:stretch>
          <a:fillRect/>
        </a:stretch>
      </xdr:blipFill>
      <xdr:spPr bwMode="auto">
        <a:xfrm>
          <a:off x="4648200" y="57150"/>
          <a:ext cx="1771650" cy="10287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2962275</xdr:colOff>
      <xdr:row>14</xdr:row>
      <xdr:rowOff>180975</xdr:rowOff>
    </xdr:from>
    <xdr:to>
      <xdr:col>2</xdr:col>
      <xdr:colOff>3152775</xdr:colOff>
      <xdr:row>16</xdr:row>
      <xdr:rowOff>28575</xdr:rowOff>
    </xdr:to>
    <xdr:sp macro="" textlink="">
      <xdr:nvSpPr>
        <xdr:cNvPr id="2" name="Cross 1"/>
        <xdr:cNvSpPr/>
      </xdr:nvSpPr>
      <xdr:spPr>
        <a:xfrm>
          <a:off x="3600450" y="2390775"/>
          <a:ext cx="190500" cy="228600"/>
        </a:xfrm>
        <a:prstGeom prst="plus">
          <a:avLst/>
        </a:prstGeom>
        <a:solidFill>
          <a:schemeClr val="bg1"/>
        </a:solidFill>
        <a:ln w="952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75</xdr:row>
      <xdr:rowOff>85725</xdr:rowOff>
    </xdr:from>
    <xdr:to>
      <xdr:col>0</xdr:col>
      <xdr:colOff>257175</xdr:colOff>
      <xdr:row>76</xdr:row>
      <xdr:rowOff>76200</xdr:rowOff>
    </xdr:to>
    <xdr:sp macro="[0]!AddCtzCntry" textlink="">
      <xdr:nvSpPr>
        <xdr:cNvPr id="2" name="Cross 1"/>
        <xdr:cNvSpPr/>
      </xdr:nvSpPr>
      <xdr:spPr>
        <a:xfrm>
          <a:off x="66675" y="14373225"/>
          <a:ext cx="190500" cy="180975"/>
        </a:xfrm>
        <a:prstGeom prst="plus">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78316</xdr:colOff>
      <xdr:row>72</xdr:row>
      <xdr:rowOff>109009</xdr:rowOff>
    </xdr:from>
    <xdr:to>
      <xdr:col>0</xdr:col>
      <xdr:colOff>268816</xdr:colOff>
      <xdr:row>73</xdr:row>
      <xdr:rowOff>99484</xdr:rowOff>
    </xdr:to>
    <xdr:sp macro="[0]!AddCtzCntry" textlink="">
      <xdr:nvSpPr>
        <xdr:cNvPr id="3" name="Cross 2"/>
        <xdr:cNvSpPr/>
      </xdr:nvSpPr>
      <xdr:spPr>
        <a:xfrm>
          <a:off x="78316" y="13888509"/>
          <a:ext cx="190500" cy="180975"/>
        </a:xfrm>
        <a:prstGeom prst="plus">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67</xdr:row>
      <xdr:rowOff>136525</xdr:rowOff>
    </xdr:from>
    <xdr:to>
      <xdr:col>0</xdr:col>
      <xdr:colOff>276225</xdr:colOff>
      <xdr:row>68</xdr:row>
      <xdr:rowOff>127000</xdr:rowOff>
    </xdr:to>
    <xdr:sp macro="[0]!AddCtzCntry" textlink="">
      <xdr:nvSpPr>
        <xdr:cNvPr id="2" name="Cross 1"/>
        <xdr:cNvSpPr/>
      </xdr:nvSpPr>
      <xdr:spPr>
        <a:xfrm>
          <a:off x="85725" y="11460692"/>
          <a:ext cx="190500" cy="149225"/>
        </a:xfrm>
        <a:prstGeom prst="plus">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70</xdr:row>
      <xdr:rowOff>161925</xdr:rowOff>
    </xdr:from>
    <xdr:to>
      <xdr:col>0</xdr:col>
      <xdr:colOff>238125</xdr:colOff>
      <xdr:row>71</xdr:row>
      <xdr:rowOff>152400</xdr:rowOff>
    </xdr:to>
    <xdr:sp macro="[0]!AddCtzCntry" textlink="">
      <xdr:nvSpPr>
        <xdr:cNvPr id="2" name="Cross 1"/>
        <xdr:cNvSpPr/>
      </xdr:nvSpPr>
      <xdr:spPr>
        <a:xfrm>
          <a:off x="47625" y="13560425"/>
          <a:ext cx="190500" cy="180975"/>
        </a:xfrm>
        <a:prstGeom prst="plus">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pluk_C/AppData/Local/Microsoft/Windows/Temporary%20Internet%20Files/Content.Outlook/MQL287UP/CDH%202012%20Revised%20Output%20tables%20rev1%20clea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tables"/>
      <sheetName val="ExplNote"/>
      <sheetName val="Cntry"/>
      <sheetName val="Flags"/>
      <sheetName val="P1"/>
      <sheetName val="P2.1"/>
      <sheetName val="P2.2"/>
      <sheetName val="P3"/>
      <sheetName val="P4"/>
      <sheetName val="P5"/>
      <sheetName val="P6"/>
      <sheetName val="P7"/>
      <sheetName val="P8"/>
      <sheetName val="ED1"/>
      <sheetName val="ED2"/>
      <sheetName val="ED3"/>
      <sheetName val="ED4"/>
      <sheetName val="ED5"/>
      <sheetName val="ED6"/>
      <sheetName val="EMP1"/>
      <sheetName val="EMP2.1"/>
      <sheetName val="EMP2.2"/>
      <sheetName val="EMP2.3"/>
      <sheetName val="EMP3"/>
      <sheetName val="EMP4"/>
      <sheetName val="EMP5"/>
      <sheetName val="EMP6.1"/>
      <sheetName val="EMP6.2"/>
      <sheetName val="EMP7"/>
      <sheetName val="EMP8"/>
      <sheetName val="EMP9"/>
      <sheetName val="EMP10"/>
      <sheetName val="PERC1.1"/>
      <sheetName val="PERC1.2"/>
      <sheetName val="PERC2.1"/>
      <sheetName val="PERC2.2"/>
      <sheetName val="IMOB1"/>
      <sheetName val="IMOB2"/>
      <sheetName val="IMOB3"/>
      <sheetName val="IMOB4"/>
      <sheetName val="OMOB1"/>
      <sheetName val="OMOB2"/>
      <sheetName val="Tool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ow r="3">
          <cell r="I3" t="str">
            <v>EDU1</v>
          </cell>
          <cell r="K3" t="str">
            <v>CDH dedicated sample survey</v>
          </cell>
        </row>
        <row r="4">
          <cell r="I4" t="str">
            <v>EDU2</v>
          </cell>
          <cell r="K4" t="str">
            <v>CDH dedicated census</v>
          </cell>
        </row>
        <row r="5">
          <cell r="I5" t="str">
            <v>EDU3</v>
          </cell>
          <cell r="K5" t="str">
            <v>Doctorate Holders register</v>
          </cell>
        </row>
        <row r="6">
          <cell r="I6" t="str">
            <v>EDU4</v>
          </cell>
          <cell r="K6" t="str">
            <v>Other administrative sources</v>
          </cell>
        </row>
        <row r="7">
          <cell r="I7" t="str">
            <v>EDU5</v>
          </cell>
          <cell r="K7" t="str">
            <v>Registers survey</v>
          </cell>
        </row>
        <row r="8">
          <cell r="I8" t="str">
            <v>EDU6</v>
          </cell>
        </row>
        <row r="9">
          <cell r="I9" t="str">
            <v>EDU7</v>
          </cell>
        </row>
        <row r="10">
          <cell r="I10" t="str">
            <v>EDU8</v>
          </cell>
        </row>
        <row r="11">
          <cell r="I11" t="str">
            <v>EDU9</v>
          </cell>
        </row>
        <row r="12">
          <cell r="I12" t="str">
            <v>REC1</v>
          </cell>
        </row>
        <row r="13">
          <cell r="I13" t="str">
            <v>REC2</v>
          </cell>
        </row>
        <row r="14">
          <cell r="I14" t="str">
            <v>REC3</v>
          </cell>
          <cell r="K14" t="str">
            <v>National citizens only</v>
          </cell>
        </row>
        <row r="15">
          <cell r="I15" t="str">
            <v>POS1</v>
          </cell>
          <cell r="K15" t="str">
            <v>All national citizens and foreign citizens with restrictions</v>
          </cell>
        </row>
        <row r="16">
          <cell r="I16" t="str">
            <v>POS2</v>
          </cell>
          <cell r="K16" t="str">
            <v>Both national and foreign citizens</v>
          </cell>
        </row>
        <row r="17">
          <cell r="I17" t="str">
            <v>POS3</v>
          </cell>
        </row>
        <row r="18">
          <cell r="I18" t="str">
            <v>POS4</v>
          </cell>
        </row>
        <row r="19">
          <cell r="I19" t="str">
            <v>POS5</v>
          </cell>
        </row>
        <row r="20">
          <cell r="I20" t="str">
            <v>POS6</v>
          </cell>
        </row>
        <row r="21">
          <cell r="I21" t="str">
            <v>POS7</v>
          </cell>
          <cell r="K21" t="str">
            <v>National territory only</v>
          </cell>
        </row>
        <row r="22">
          <cell r="I22" t="str">
            <v>POS8</v>
          </cell>
          <cell r="K22" t="str">
            <v>Others</v>
          </cell>
        </row>
        <row r="23">
          <cell r="I23" t="str">
            <v>EMP1</v>
          </cell>
        </row>
        <row r="24">
          <cell r="I24" t="str">
            <v>EMP2</v>
          </cell>
        </row>
        <row r="25">
          <cell r="I25" t="str">
            <v>EMP3</v>
          </cell>
        </row>
        <row r="26">
          <cell r="I26" t="str">
            <v>EMP4</v>
          </cell>
        </row>
        <row r="27">
          <cell r="I27" t="str">
            <v>EMP5</v>
          </cell>
        </row>
        <row r="28">
          <cell r="I28" t="str">
            <v>EMP6</v>
          </cell>
        </row>
        <row r="29">
          <cell r="I29" t="str">
            <v>EMP7</v>
          </cell>
        </row>
        <row r="30">
          <cell r="I30" t="str">
            <v>EMP8</v>
          </cell>
        </row>
        <row r="31">
          <cell r="I31" t="str">
            <v>EMP9</v>
          </cell>
        </row>
        <row r="32">
          <cell r="I32" t="str">
            <v>EMP10</v>
          </cell>
        </row>
        <row r="33">
          <cell r="I33" t="str">
            <v>EMP11</v>
          </cell>
        </row>
        <row r="34">
          <cell r="I34" t="str">
            <v>EMP12</v>
          </cell>
        </row>
        <row r="35">
          <cell r="I35" t="str">
            <v>MOB1</v>
          </cell>
        </row>
        <row r="36">
          <cell r="I36" t="str">
            <v>MOB2</v>
          </cell>
        </row>
        <row r="37">
          <cell r="I37" t="str">
            <v>MOB3</v>
          </cell>
        </row>
        <row r="38">
          <cell r="I38" t="str">
            <v>MOB4</v>
          </cell>
        </row>
        <row r="39">
          <cell r="I39" t="str">
            <v>MOB5</v>
          </cell>
        </row>
        <row r="40">
          <cell r="I40" t="str">
            <v>MOB6</v>
          </cell>
        </row>
        <row r="41">
          <cell r="I41" t="str">
            <v>MOB7</v>
          </cell>
        </row>
        <row r="42">
          <cell r="I42" t="str">
            <v>MOB8</v>
          </cell>
        </row>
        <row r="43">
          <cell r="I43" t="str">
            <v>MOB9</v>
          </cell>
        </row>
        <row r="44">
          <cell r="I44" t="str">
            <v>CAR1</v>
          </cell>
        </row>
        <row r="45">
          <cell r="I45" t="str">
            <v>CAR2</v>
          </cell>
        </row>
        <row r="46">
          <cell r="I46" t="str">
            <v>CAR3</v>
          </cell>
        </row>
        <row r="47">
          <cell r="I47" t="str">
            <v>CAR4</v>
          </cell>
        </row>
        <row r="48">
          <cell r="I48" t="str">
            <v>CAR5</v>
          </cell>
        </row>
        <row r="49">
          <cell r="I49" t="str">
            <v>CAR6</v>
          </cell>
        </row>
        <row r="50">
          <cell r="I50" t="str">
            <v>CAR7</v>
          </cell>
        </row>
        <row r="51">
          <cell r="I51" t="str">
            <v>CAR8</v>
          </cell>
        </row>
        <row r="52">
          <cell r="I52" t="str">
            <v>CAR9</v>
          </cell>
        </row>
        <row r="53">
          <cell r="I53" t="str">
            <v>CAR10</v>
          </cell>
        </row>
        <row r="54">
          <cell r="I54" t="str">
            <v>CAR11</v>
          </cell>
        </row>
        <row r="55">
          <cell r="I55" t="str">
            <v>CAR12</v>
          </cell>
        </row>
        <row r="56">
          <cell r="I56" t="str">
            <v>CAR13</v>
          </cell>
        </row>
        <row r="57">
          <cell r="I57" t="str">
            <v>CAR14</v>
          </cell>
        </row>
        <row r="58">
          <cell r="I58" t="str">
            <v>CAR15</v>
          </cell>
        </row>
        <row r="59">
          <cell r="I59" t="str">
            <v>PERS1</v>
          </cell>
        </row>
        <row r="60">
          <cell r="I60" t="str">
            <v>PERS2</v>
          </cell>
        </row>
        <row r="61">
          <cell r="I61" t="str">
            <v>PERS3</v>
          </cell>
        </row>
        <row r="62">
          <cell r="I62" t="str">
            <v>PERS4</v>
          </cell>
        </row>
        <row r="63">
          <cell r="I63" t="str">
            <v>PERS5</v>
          </cell>
        </row>
        <row r="64">
          <cell r="I64" t="str">
            <v>PERS6</v>
          </cell>
        </row>
        <row r="65">
          <cell r="I65" t="str">
            <v>PERS7</v>
          </cell>
        </row>
        <row r="66">
          <cell r="I66" t="str">
            <v>PERS8</v>
          </cell>
        </row>
      </sheetData>
      <sheetData sheetId="4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9"/>
  </sheetPr>
  <dimension ref="A8:U71"/>
  <sheetViews>
    <sheetView showGridLines="0" tabSelected="1" topLeftCell="A34" zoomScale="90" zoomScaleNormal="90" workbookViewId="0">
      <selection activeCell="A59" sqref="A59"/>
    </sheetView>
  </sheetViews>
  <sheetFormatPr baseColWidth="10" defaultColWidth="9.140625" defaultRowHeight="12.75" x14ac:dyDescent="0.2"/>
  <cols>
    <col min="1" max="1" width="4.42578125" customWidth="1"/>
    <col min="2" max="2" width="3.7109375" customWidth="1"/>
    <col min="3" max="3" width="8.7109375" customWidth="1"/>
    <col min="8" max="8" width="3.7109375" customWidth="1"/>
    <col min="19" max="19" width="3.7109375" customWidth="1"/>
    <col min="22" max="22" width="6.5703125" customWidth="1"/>
    <col min="28" max="28" width="4" customWidth="1"/>
  </cols>
  <sheetData>
    <row r="8" spans="1:21" s="2" customFormat="1" ht="15.75" x14ac:dyDescent="0.2">
      <c r="A8" s="1" t="s">
        <v>820</v>
      </c>
      <c r="B8" s="1"/>
      <c r="C8" s="1"/>
      <c r="D8" s="1"/>
      <c r="E8" s="1"/>
      <c r="F8" s="1"/>
      <c r="G8" s="1"/>
      <c r="H8" s="1"/>
      <c r="I8" s="1"/>
      <c r="J8" s="1"/>
      <c r="K8" s="1"/>
      <c r="L8" s="1"/>
      <c r="M8" s="1"/>
      <c r="N8" s="1"/>
      <c r="O8" s="1"/>
      <c r="P8" s="1"/>
      <c r="Q8" s="1"/>
      <c r="R8" s="1"/>
      <c r="S8" s="1"/>
      <c r="T8" s="1"/>
      <c r="U8" s="1"/>
    </row>
    <row r="9" spans="1:21" s="2" customFormat="1" ht="15.75" x14ac:dyDescent="0.2">
      <c r="A9" s="1" t="s">
        <v>951</v>
      </c>
      <c r="B9" s="1"/>
      <c r="C9" s="1"/>
      <c r="D9" s="1"/>
      <c r="E9" s="1"/>
      <c r="F9" s="1"/>
      <c r="G9" s="1"/>
      <c r="H9" s="1"/>
      <c r="I9" s="1"/>
      <c r="J9" s="1"/>
      <c r="K9" s="1"/>
      <c r="L9" s="1"/>
      <c r="M9" s="1"/>
      <c r="N9" s="1"/>
      <c r="O9" s="1"/>
      <c r="P9" s="1"/>
      <c r="Q9" s="1"/>
      <c r="R9" s="1"/>
      <c r="S9" s="1"/>
      <c r="T9" s="1"/>
      <c r="U9" s="1"/>
    </row>
    <row r="11" spans="1:21" ht="15.75" x14ac:dyDescent="0.25">
      <c r="B11" s="3" t="s">
        <v>0</v>
      </c>
      <c r="D11" s="4"/>
      <c r="E11" s="4"/>
      <c r="F11" s="4"/>
      <c r="G11" s="4"/>
      <c r="H11" s="4"/>
    </row>
    <row r="12" spans="1:21" x14ac:dyDescent="0.2">
      <c r="B12" s="5" t="s">
        <v>1041</v>
      </c>
    </row>
    <row r="13" spans="1:21" x14ac:dyDescent="0.2">
      <c r="B13" s="6"/>
    </row>
    <row r="14" spans="1:21" x14ac:dyDescent="0.2">
      <c r="B14" s="7" t="s">
        <v>940</v>
      </c>
    </row>
    <row r="15" spans="1:21" x14ac:dyDescent="0.2">
      <c r="B15" s="7"/>
      <c r="C15" s="9" t="s">
        <v>938</v>
      </c>
    </row>
    <row r="16" spans="1:21" s="8" customFormat="1" ht="12" x14ac:dyDescent="0.2">
      <c r="C16" s="9" t="s">
        <v>1</v>
      </c>
    </row>
    <row r="17" spans="2:13" x14ac:dyDescent="0.2">
      <c r="B17" s="6"/>
      <c r="C17" s="9" t="s">
        <v>939</v>
      </c>
    </row>
    <row r="18" spans="2:13" x14ac:dyDescent="0.2">
      <c r="B18" s="6"/>
    </row>
    <row r="19" spans="2:13" x14ac:dyDescent="0.2">
      <c r="B19" s="7" t="s">
        <v>2</v>
      </c>
    </row>
    <row r="20" spans="2:13" s="8" customFormat="1" ht="12" x14ac:dyDescent="0.2">
      <c r="C20" s="9" t="str">
        <f>'P1'!A7</f>
        <v>Table P1. Doctorate Holders by Sex and Age class</v>
      </c>
    </row>
    <row r="21" spans="2:13" s="7" customFormat="1" ht="12" x14ac:dyDescent="0.2">
      <c r="C21" s="638" t="str">
        <f>P2.1!A7</f>
        <v>Table P2.1. Doctorate Holders by Type of Citizenship, Resident Status and Place of Birth (optional table)</v>
      </c>
    </row>
    <row r="22" spans="2:13" s="7" customFormat="1" ht="12" x14ac:dyDescent="0.2">
      <c r="C22" s="638" t="str">
        <f>P2.2!A7</f>
        <v>Table P2.2. Doctorate Holders by Citizenship and Resident Status (optional table)</v>
      </c>
    </row>
    <row r="23" spans="2:13" s="7" customFormat="1" ht="12" x14ac:dyDescent="0.2">
      <c r="C23" s="9" t="str">
        <f>'P3'!A7</f>
        <v>Table P3. Doctorate Holders by Sex and Country of Citizenship</v>
      </c>
    </row>
    <row r="24" spans="2:13" s="7" customFormat="1" ht="12" x14ac:dyDescent="0.2">
      <c r="C24" s="9" t="str">
        <f>'P4'!A7</f>
        <v>Table P4. Doctorate Holders by Citizenship/Resident Status and Age class</v>
      </c>
    </row>
    <row r="25" spans="2:13" s="7" customFormat="1" ht="12" x14ac:dyDescent="0.2">
      <c r="C25" s="10" t="str">
        <f>'P5'!A7</f>
        <v>Table P5. Doctorate Holders by Citizenship and Field of Doctorate Degree</v>
      </c>
      <c r="D25" s="11"/>
      <c r="E25" s="11"/>
      <c r="F25" s="11"/>
      <c r="G25" s="11"/>
      <c r="H25" s="11"/>
      <c r="I25" s="11"/>
      <c r="J25" s="11"/>
      <c r="K25" s="11"/>
      <c r="L25" s="11"/>
      <c r="M25" s="11"/>
    </row>
    <row r="26" spans="2:13" s="7" customFormat="1" ht="12" x14ac:dyDescent="0.2">
      <c r="C26" s="9" t="str">
        <f>'P6'!A7</f>
        <v>Table P6. Doctorate Holders by Sex and Country of Birth</v>
      </c>
    </row>
    <row r="27" spans="2:13" s="7" customFormat="1" ht="12" x14ac:dyDescent="0.2">
      <c r="C27" s="9" t="str">
        <f>'P7'!A7</f>
        <v>Table P7. Doctorate Holders by Place of Birth/Resident Status and Age Class</v>
      </c>
    </row>
    <row r="28" spans="2:13" s="7" customFormat="1" ht="12" x14ac:dyDescent="0.2">
      <c r="C28" s="10" t="str">
        <f>'P8'!A7</f>
        <v>Table P8. Doctorate Holders by Place of Birth and Field of Doctorate Degree</v>
      </c>
      <c r="D28" s="11"/>
      <c r="E28" s="11"/>
      <c r="F28" s="11"/>
      <c r="G28" s="11"/>
      <c r="H28" s="11"/>
      <c r="I28" s="11"/>
      <c r="J28" s="11"/>
      <c r="K28" s="11"/>
      <c r="L28" s="11"/>
      <c r="M28" s="11"/>
    </row>
    <row r="29" spans="2:13" s="7" customFormat="1" ht="12" x14ac:dyDescent="0.2">
      <c r="B29" s="12"/>
    </row>
    <row r="30" spans="2:13" x14ac:dyDescent="0.2">
      <c r="B30" s="7" t="s">
        <v>3</v>
      </c>
    </row>
    <row r="31" spans="2:13" s="9" customFormat="1" ht="12" x14ac:dyDescent="0.2">
      <c r="C31" s="9" t="str">
        <f>'ED1'!A7</f>
        <v>Table ED1. Doctorate Holders by Citizenship/Resident Status and Region of Doctoral Award</v>
      </c>
    </row>
    <row r="32" spans="2:13" s="9" customFormat="1" ht="12" x14ac:dyDescent="0.2">
      <c r="C32" s="9" t="str">
        <f>'ED2'!A7</f>
        <v>Table ED2. Doctorate Holders by Place of Birth/Resident Status and Region of Doctoral Award</v>
      </c>
    </row>
    <row r="33" spans="2:17" s="9" customFormat="1" ht="12" x14ac:dyDescent="0.2">
      <c r="C33" s="9" t="str">
        <f>'ED3'!A7</f>
        <v>Table ED3. Doctorate Holders by Country of Doctoral Award and of Prior Education</v>
      </c>
    </row>
    <row r="34" spans="2:17" s="9" customFormat="1" ht="12" x14ac:dyDescent="0.2">
      <c r="C34" s="13" t="str">
        <f>'ED4'!A7</f>
        <v>Table ED4.  Recent Doctorate Recipients: Age at Graduation and Time to Completion by main Field of Doctoral Degree</v>
      </c>
    </row>
    <row r="35" spans="2:17" s="9" customFormat="1" ht="12" x14ac:dyDescent="0.2">
      <c r="C35" s="9" t="str">
        <f>'ED5'!A7</f>
        <v>Table ED5.  Doctorate Holders by main Field of Doctoral Degree and Primary Source of Funding during Completion of Doctorate</v>
      </c>
    </row>
    <row r="36" spans="2:17" s="9" customFormat="1" ht="12" x14ac:dyDescent="0.2">
      <c r="C36" s="638" t="str">
        <f>'ED6'!A7</f>
        <v>Table ED6.  Doctorate Holders: Knowledge, Attributes and Behaviours at the Time of Advanced Research Degree Completion (optional table)</v>
      </c>
      <c r="D36" s="7"/>
      <c r="E36" s="7"/>
      <c r="F36" s="7"/>
      <c r="G36" s="7"/>
      <c r="H36" s="7"/>
      <c r="I36" s="7"/>
      <c r="J36" s="7"/>
      <c r="K36" s="7"/>
      <c r="L36" s="7"/>
      <c r="M36" s="7"/>
      <c r="N36" s="638"/>
      <c r="O36" s="7"/>
      <c r="P36" s="7"/>
    </row>
    <row r="37" spans="2:17" s="8" customFormat="1" ht="12" x14ac:dyDescent="0.2">
      <c r="B37" s="14"/>
    </row>
    <row r="38" spans="2:17" x14ac:dyDescent="0.2">
      <c r="B38" s="7" t="s">
        <v>4</v>
      </c>
    </row>
    <row r="39" spans="2:17" s="9" customFormat="1" ht="12" x14ac:dyDescent="0.2">
      <c r="C39" s="9" t="str">
        <f>'EMP1'!A7</f>
        <v>Table EMP1.  Doctorate Holders by Employment Status and Year of Doctoral Award</v>
      </c>
    </row>
    <row r="40" spans="2:17" s="9" customFormat="1" ht="12" x14ac:dyDescent="0.2">
      <c r="C40" s="9" t="str">
        <f>EMP2.1!A7</f>
        <v>Table EMP2.1.  Doctorate Holders by Employment Status and Field of Doctoral Degree</v>
      </c>
    </row>
    <row r="41" spans="2:17" s="9" customFormat="1" ht="12" x14ac:dyDescent="0.2">
      <c r="C41" s="9" t="str">
        <f>EMP2.2!A7</f>
        <v>Table EMP2.2. Doctorate Holders by Employment Status and Age Class</v>
      </c>
    </row>
    <row r="42" spans="2:17" s="9" customFormat="1" ht="12" x14ac:dyDescent="0.2">
      <c r="C42" s="9" t="str">
        <f>EMP2.3!A7</f>
        <v>Table EMP2.3. Doctorate Holders by Employment Status and Citizenship/Resident Status</v>
      </c>
    </row>
    <row r="43" spans="2:17" s="9" customFormat="1" ht="12" x14ac:dyDescent="0.2">
      <c r="C43" s="13" t="str">
        <f>'EMP3'!A7</f>
        <v>Table EMP3.  Recent Doctorate Recipients by  Employment Status and Primary Source of Funding during Completion of Doctorate*</v>
      </c>
    </row>
    <row r="44" spans="2:17" s="9" customFormat="1" ht="12" x14ac:dyDescent="0.2">
      <c r="C44" s="9" t="str">
        <f>'EMP4'!A7</f>
        <v>Table EMP4.  Employed Doctorate Holders by Field of Doctoral Degree and Occupations</v>
      </c>
    </row>
    <row r="45" spans="2:17" s="9" customFormat="1" ht="12" x14ac:dyDescent="0.2">
      <c r="C45" s="9" t="str">
        <f>'EMP5'!A7</f>
        <v>Table EMP5.  Employed Doctorate Holders by Sector of Employment, Field of Doctoral Degree and Sex</v>
      </c>
    </row>
    <row r="46" spans="2:17" s="9" customFormat="1" ht="12" x14ac:dyDescent="0.2">
      <c r="C46" s="839" t="str">
        <f>EMP6.1!A7</f>
        <v>Table EMP6.1. Employed Doctorate Holders: Median Gross Annual Earnings</v>
      </c>
    </row>
    <row r="47" spans="2:17" s="15" customFormat="1" ht="12" x14ac:dyDescent="0.2">
      <c r="C47" s="839" t="str">
        <f>EMP6.2!A7</f>
        <v>Table EMP6.2. Employed Doctorate Holders: Average Gross Annual Earnings</v>
      </c>
      <c r="D47" s="9"/>
    </row>
    <row r="48" spans="2:17" s="15" customFormat="1" ht="12" x14ac:dyDescent="0.2">
      <c r="C48" s="638" t="str">
        <f>'EMP7'!A7</f>
        <v>Table EMP7.  Employed Recent Doctorate Recipients: Gross Annual Earnings by Primary Source of Funding during Completion of Doctorate* (optional table)</v>
      </c>
      <c r="D48" s="7"/>
      <c r="E48" s="7"/>
      <c r="F48" s="7"/>
      <c r="G48" s="7"/>
      <c r="H48" s="7"/>
      <c r="I48" s="7"/>
      <c r="J48" s="7"/>
      <c r="K48" s="7"/>
      <c r="L48" s="7"/>
      <c r="M48" s="7"/>
      <c r="N48" s="638"/>
      <c r="O48" s="7"/>
      <c r="P48" s="7"/>
      <c r="Q48" s="638"/>
    </row>
    <row r="49" spans="2:16" s="9" customFormat="1" ht="12" x14ac:dyDescent="0.2">
      <c r="C49" s="9" t="str">
        <f>'EMP8'!A7</f>
        <v>Table EMP8. Employed Doctorate Holders: Job Mobility over the last 10 years by Sector of Employment</v>
      </c>
    </row>
    <row r="50" spans="2:16" s="9" customFormat="1" ht="12" x14ac:dyDescent="0.2">
      <c r="C50" s="9" t="str">
        <f>'EMP9'!A7</f>
        <v>Table EMP9. Employed Doctorate Holders by Industry and Sex</v>
      </c>
      <c r="J50" s="7"/>
      <c r="K50" s="7"/>
      <c r="L50" s="7"/>
      <c r="M50" s="7"/>
      <c r="N50" s="638"/>
      <c r="O50" s="7"/>
      <c r="P50" s="7"/>
    </row>
    <row r="51" spans="2:16" s="9" customFormat="1" ht="12" x14ac:dyDescent="0.2">
      <c r="C51" s="638" t="str">
        <f>'EMP10'!A7</f>
        <v>Table EMP10.  Employed Doctorate Holders: Knowledge, Attributes and Behaviours  in Current Job by Sector of Employment  (optional table)</v>
      </c>
      <c r="D51" s="7"/>
      <c r="E51" s="7"/>
      <c r="F51" s="7"/>
      <c r="G51" s="7"/>
      <c r="H51" s="7"/>
      <c r="I51" s="7"/>
      <c r="J51" s="7"/>
      <c r="K51" s="7"/>
      <c r="L51" s="7"/>
      <c r="M51" s="7"/>
      <c r="N51" s="638"/>
      <c r="O51" s="7"/>
      <c r="P51" s="7"/>
    </row>
    <row r="52" spans="2:16" s="9" customFormat="1" ht="12" x14ac:dyDescent="0.2"/>
    <row r="53" spans="2:16" s="9" customFormat="1" ht="12" x14ac:dyDescent="0.2">
      <c r="C53" s="9" t="str">
        <f>PERC1.1!A7</f>
        <v>Table PERC1.1.  Employed Doctorate Holders: Perception regarding their Job Qualification by Sex and Year of Doctoral Award</v>
      </c>
    </row>
    <row r="54" spans="2:16" s="9" customFormat="1" ht="12" x14ac:dyDescent="0.2">
      <c r="C54" s="9" t="str">
        <f>PERC1.2!A7</f>
        <v>Table PERC1.2.  Employed Doctorate Holders: Perception regarding their Job Qualification by Sex and Field of Doctoral Degree</v>
      </c>
    </row>
    <row r="55" spans="2:16" s="9" customFormat="1" ht="12" x14ac:dyDescent="0.2">
      <c r="C55" s="9" t="str">
        <f>PERC2.1!A7</f>
        <v>Table PERC2.1.  Employed Doctorate Holders: Satisfaction with their Employment Situation by Sex and Criteria of Satisfaction</v>
      </c>
    </row>
    <row r="56" spans="2:16" s="9" customFormat="1" ht="12" x14ac:dyDescent="0.2">
      <c r="C56" s="9" t="str">
        <f>PERC2.2!A7</f>
        <v>Table PERC2.2.  Employed Doctorate Holders: Satisfaction with their Employment Situation by Research Status and Criteria of Satisfaction</v>
      </c>
    </row>
    <row r="57" spans="2:16" s="16" customFormat="1" ht="12" x14ac:dyDescent="0.2">
      <c r="C57" s="17"/>
    </row>
    <row r="58" spans="2:16" x14ac:dyDescent="0.2">
      <c r="B58" s="7" t="s">
        <v>5</v>
      </c>
    </row>
    <row r="59" spans="2:16" s="9" customFormat="1" ht="12" x14ac:dyDescent="0.2">
      <c r="C59" s="9" t="str">
        <f>IMOB1!A7</f>
        <v xml:space="preserve">Table IMOB1. Doctorate Holders by Type of International Mobility in the Last Ten Years and Citizenship </v>
      </c>
    </row>
    <row r="60" spans="2:16" s="9" customFormat="1" ht="12" x14ac:dyDescent="0.2">
      <c r="C60" s="9" t="str">
        <f>IMOB2!A7</f>
        <v>Table IMOB2. Internationally Mobile Doctorate Holders: Previous Country of Stay in the Last Ten Years by Citizenship</v>
      </c>
    </row>
    <row r="61" spans="2:16" s="9" customFormat="1" ht="12" x14ac:dyDescent="0.2">
      <c r="C61" s="9" t="str">
        <f>IMOB3!A7</f>
        <v>Table IMOB3. Internationally Mobile Doctorate Holders: Reasons for Moving Into the Country in the last 10 Years by Citizenship</v>
      </c>
    </row>
    <row r="62" spans="2:16" s="9" customFormat="1" ht="12" x14ac:dyDescent="0.2">
      <c r="C62" s="9" t="str">
        <f>IMOB4!A7</f>
        <v xml:space="preserve">Table IMOB4. Internationally Mobile Doctorate Holders: Frequency and Length of Mobility by Citizenship </v>
      </c>
    </row>
    <row r="63" spans="2:16" s="16" customFormat="1" ht="12" x14ac:dyDescent="0.2">
      <c r="C63" s="17"/>
    </row>
    <row r="64" spans="2:16" s="15" customFormat="1" ht="12" x14ac:dyDescent="0.2">
      <c r="C64" s="18" t="str">
        <f>OMOB1!A7</f>
        <v>Table OMOB1. Mobility Intentions in the Next Year by Country of Intended Destination (optional table)</v>
      </c>
    </row>
    <row r="65" spans="1:21" s="15" customFormat="1" ht="12" x14ac:dyDescent="0.2">
      <c r="C65" s="18" t="str">
        <f>OMOB2!A7</f>
        <v>Table OMOB2. Reasons for Mobility Intentions in the Next Year (optional table)</v>
      </c>
    </row>
    <row r="66" spans="1:21" s="15" customFormat="1" ht="12" x14ac:dyDescent="0.2">
      <c r="C66" s="18"/>
    </row>
    <row r="67" spans="1:21" s="15" customFormat="1" ht="12" x14ac:dyDescent="0.2">
      <c r="B67" s="7" t="s">
        <v>1038</v>
      </c>
      <c r="C67" s="18"/>
    </row>
    <row r="68" spans="1:21" s="15" customFormat="1" ht="12" x14ac:dyDescent="0.2">
      <c r="C68" s="9" t="str">
        <f>OUTP1!A7</f>
        <v>Table OUTP1.  Outputs of Doctorate Holders working as Researchers in the last three years by Field of Doctorate</v>
      </c>
      <c r="D68" s="9"/>
      <c r="E68" s="9"/>
      <c r="F68" s="9"/>
      <c r="G68" s="9"/>
      <c r="H68" s="9"/>
      <c r="I68" s="9"/>
      <c r="J68" s="9"/>
      <c r="K68" s="9"/>
      <c r="L68" s="9"/>
      <c r="M68" s="9"/>
      <c r="N68" s="9"/>
    </row>
    <row r="69" spans="1:21" s="15" customFormat="1" ht="12" x14ac:dyDescent="0.2">
      <c r="C69" s="9" t="str">
        <f>OUTP2!A7</f>
        <v>Table OUTP2.  Outputs of Doctorate Holders working as Researchers in the last three years by Age Class and Sex</v>
      </c>
      <c r="D69" s="9"/>
      <c r="E69" s="9"/>
      <c r="F69" s="9"/>
      <c r="G69" s="9"/>
      <c r="H69" s="9"/>
      <c r="I69" s="9"/>
      <c r="J69" s="9"/>
      <c r="K69" s="9"/>
      <c r="L69" s="9"/>
      <c r="M69" s="9"/>
      <c r="N69" s="9"/>
    </row>
    <row r="70" spans="1:21" s="16" customFormat="1" ht="12" x14ac:dyDescent="0.2">
      <c r="C70" s="9"/>
      <c r="D70" s="9"/>
      <c r="E70" s="9"/>
      <c r="F70" s="9"/>
      <c r="G70" s="9"/>
      <c r="H70" s="9"/>
      <c r="I70" s="9"/>
      <c r="J70" s="9"/>
      <c r="K70" s="9"/>
      <c r="L70" s="9"/>
      <c r="M70" s="9"/>
      <c r="N70" s="9"/>
    </row>
    <row r="71" spans="1:21" x14ac:dyDescent="0.2">
      <c r="A71" s="19"/>
      <c r="B71" s="19"/>
      <c r="C71" s="19"/>
      <c r="D71" s="19"/>
      <c r="E71" s="19"/>
      <c r="F71" s="19"/>
      <c r="G71" s="19"/>
      <c r="H71" s="19"/>
      <c r="I71" s="19"/>
      <c r="J71" s="19"/>
      <c r="K71" s="19"/>
      <c r="L71" s="19"/>
      <c r="M71" s="19"/>
      <c r="N71" s="19"/>
      <c r="O71" s="19"/>
      <c r="P71" s="19"/>
      <c r="Q71" s="19"/>
      <c r="R71" s="19"/>
      <c r="S71" s="19"/>
      <c r="T71" s="19"/>
      <c r="U71" s="19"/>
    </row>
  </sheetData>
  <hyperlinks>
    <hyperlink ref="C20" location="'P1'!A4" display="'P1'!A4"/>
    <hyperlink ref="C24" location="'P4'!A4" display="'P4'!A4"/>
    <hyperlink ref="C25" location="'P5'!A4" display="'P5'!A4"/>
    <hyperlink ref="C26" location="'P6'!A1" display="'P6'!A1"/>
    <hyperlink ref="C27" location="'P7'!A4" display="'P7'!A4"/>
    <hyperlink ref="C28" location="'P8'!A4" display="'P8'!A4"/>
    <hyperlink ref="C31" location="'ED1'!A4" display="'ED1'!A4"/>
    <hyperlink ref="C32" location="'ED2'!A4" display="'ED2'!A4"/>
    <hyperlink ref="C33" location="'ED3'!A4" display="'ED3'!A4"/>
    <hyperlink ref="C34" location="'ED4'!A5" display="'ED4'!A5"/>
    <hyperlink ref="C35" location="'ED5'!A5" display="'ED5'!A5"/>
    <hyperlink ref="C39" location="EMP1!A5" display="EMP1!A5"/>
    <hyperlink ref="C40" location="EMP2.2!A1" display="EMP2.2!A1"/>
    <hyperlink ref="C43" location="EMP3!A5" display="EMP3!A5"/>
    <hyperlink ref="C44" location="EMP4!A1" display="EMP4!A1"/>
    <hyperlink ref="C45" location="EMP5!A5" display="EMP5!A5"/>
    <hyperlink ref="C46" location="EMP6.1!A1" display="EMP6.1!A1"/>
    <hyperlink ref="C47" location="EMP6.2!A5" display="EMP6.2!A5"/>
    <hyperlink ref="C49" location="EMP8!A5" display="EMP8!A5"/>
    <hyperlink ref="C53" location="PERC1.1!A1" display="PERC1.1!A1"/>
    <hyperlink ref="C55" location="PERC2.1!A1" display="PERC2.1!A1"/>
    <hyperlink ref="C59" location="IMOB1!A4" display="IMOB1!A4"/>
    <hyperlink ref="C60" location="IMOB2!A4" display="IMOB2!A4"/>
    <hyperlink ref="C61" location="IMOB3!A4" display="IMOB3!A4"/>
    <hyperlink ref="C64" location="OMOB1!A5" display="OMOB1!A5"/>
    <hyperlink ref="C65" location="OMOB2!A5" display="OMOB2!A5"/>
    <hyperlink ref="C23" location="'P3'!A1" display="'P3'!A1"/>
    <hyperlink ref="C16" location="Cntry!A4" display="Metadata and country specificities"/>
    <hyperlink ref="C41" location="EMP2.2!A1" display="EMP2.2!A1"/>
    <hyperlink ref="C42" location="EMP2.3!A1" display="EMP2.3!A1"/>
    <hyperlink ref="C54" location="PERC1.2!A1" display="PERC1.2!A1"/>
    <hyperlink ref="C48" location="EMP7!A5" display="EMP7!A5"/>
    <hyperlink ref="C22" location="P2.2!A1" display="P2.2!A1"/>
    <hyperlink ref="C21" location="P2.1!B10" display="P2.1!B10"/>
    <hyperlink ref="C56" location="PERC2.2!A1" display="PERC2.2!A1"/>
    <hyperlink ref="C62" location="IMOB4!A1" display="IMOB4!A1"/>
    <hyperlink ref="C15" location="ExplNote!A5" display="Explanatory note"/>
    <hyperlink ref="C17" location="Flags!A4" display="Standard flags"/>
    <hyperlink ref="C36" location="'ED6'!A7" display="'ED6'!A7"/>
    <hyperlink ref="C50" location="'EMP9'!A7" display="'EMP9'!A7"/>
    <hyperlink ref="C51" location="'EMP10'!A7" display="'EMP10'!A7"/>
    <hyperlink ref="C68" location="OUTP1!A1" display="OUTP1!A1"/>
    <hyperlink ref="C69" location="OUTP2!A1" display="OUTP2!A1"/>
  </hyperlinks>
  <pageMargins left="0.35433070866141736" right="0.35433070866141736" top="0.98425196850393704" bottom="0.98425196850393704" header="0.51181102362204722" footer="0.51181102362204722"/>
  <pageSetup paperSize="9" scale="60" orientation="landscape" r:id="rId1"/>
  <headerFooter alignWithMargins="0">
    <oddHeader>&amp;LCDH&amp;C&amp;F&amp;R&amp;A</oddHeader>
    <oddFooter>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43"/>
    <pageSetUpPr fitToPage="1"/>
  </sheetPr>
  <dimension ref="A1:J90"/>
  <sheetViews>
    <sheetView showGridLines="0" topLeftCell="A7" zoomScale="80" zoomScaleNormal="80" workbookViewId="0">
      <selection activeCell="G40" sqref="G40"/>
    </sheetView>
  </sheetViews>
  <sheetFormatPr baseColWidth="10" defaultColWidth="9.140625" defaultRowHeight="15" customHeight="1" x14ac:dyDescent="0.2"/>
  <cols>
    <col min="1" max="1" width="5.42578125" style="31" customWidth="1"/>
    <col min="2" max="2" width="75.42578125" style="31" customWidth="1"/>
    <col min="3" max="3" width="12.7109375" style="31" customWidth="1"/>
    <col min="4" max="4" width="6.7109375" style="31" customWidth="1"/>
    <col min="5" max="5" width="12.7109375" style="31" customWidth="1"/>
    <col min="6" max="6" width="6.7109375" style="31" customWidth="1"/>
    <col min="7" max="7" width="11.85546875" style="31" customWidth="1"/>
    <col min="8" max="8" width="12.7109375" style="31" customWidth="1"/>
    <col min="9" max="9" width="6.7109375" style="31" customWidth="1"/>
  </cols>
  <sheetData>
    <row r="1" spans="1:10" s="66" customFormat="1" ht="12" customHeight="1" x14ac:dyDescent="0.2">
      <c r="A1" s="26" t="s">
        <v>6</v>
      </c>
    </row>
    <row r="2" spans="1:10" s="66" customFormat="1" ht="12" customHeight="1" x14ac:dyDescent="0.2">
      <c r="A2" s="28" t="s">
        <v>10</v>
      </c>
    </row>
    <row r="3" spans="1:10" s="66" customFormat="1" ht="12" customHeight="1" x14ac:dyDescent="0.2">
      <c r="A3" s="28" t="s">
        <v>7</v>
      </c>
    </row>
    <row r="4" spans="1:10" s="31" customFormat="1" ht="15" customHeight="1" x14ac:dyDescent="0.2">
      <c r="A4" s="30" t="s">
        <v>19</v>
      </c>
      <c r="B4" s="30"/>
      <c r="C4" s="30"/>
      <c r="D4" s="30"/>
      <c r="E4" s="30"/>
      <c r="F4" s="30"/>
      <c r="G4" s="30"/>
      <c r="H4" s="30"/>
      <c r="I4" s="30"/>
      <c r="J4" s="30"/>
    </row>
    <row r="5" spans="1:10" s="131" customFormat="1" ht="15" customHeight="1" x14ac:dyDescent="0.2"/>
    <row r="6" spans="1:10" s="131" customFormat="1" ht="15" customHeight="1" x14ac:dyDescent="0.2">
      <c r="A6" s="289"/>
      <c r="B6" s="289"/>
      <c r="C6" s="289"/>
      <c r="D6" s="289"/>
      <c r="E6" s="289"/>
      <c r="F6" s="289"/>
      <c r="G6" s="289"/>
      <c r="H6" s="289"/>
      <c r="I6" s="289"/>
      <c r="J6" s="289"/>
    </row>
    <row r="7" spans="1:10" s="31" customFormat="1" ht="15" customHeight="1" x14ac:dyDescent="0.25">
      <c r="A7" s="62" t="s">
        <v>810</v>
      </c>
      <c r="B7" s="32"/>
      <c r="C7" s="32"/>
      <c r="D7" s="32"/>
      <c r="E7" s="32"/>
      <c r="F7" s="32"/>
      <c r="G7" s="32"/>
      <c r="H7" s="32"/>
      <c r="I7" s="32"/>
      <c r="J7" s="289"/>
    </row>
    <row r="8" spans="1:10" s="31" customFormat="1" ht="15" customHeight="1" x14ac:dyDescent="0.2">
      <c r="A8" s="63" t="s">
        <v>21</v>
      </c>
      <c r="B8" s="32"/>
      <c r="C8" s="32"/>
      <c r="D8" s="32"/>
      <c r="E8" s="32"/>
      <c r="F8" s="32"/>
      <c r="G8" s="32"/>
      <c r="H8" s="32"/>
      <c r="I8" s="32"/>
      <c r="J8" s="289"/>
    </row>
    <row r="9" spans="1:10" ht="15" customHeight="1" x14ac:dyDescent="0.2">
      <c r="A9" s="32"/>
      <c r="B9" s="32"/>
      <c r="C9" s="32"/>
      <c r="D9" s="32"/>
      <c r="E9" s="32"/>
      <c r="F9" s="32"/>
      <c r="G9" s="32"/>
      <c r="H9" s="32"/>
      <c r="I9" s="32"/>
      <c r="J9" s="32"/>
    </row>
    <row r="10" spans="1:10" s="31" customFormat="1" ht="15" customHeight="1" x14ac:dyDescent="0.2">
      <c r="A10" s="32"/>
      <c r="B10" s="297" t="s">
        <v>34</v>
      </c>
      <c r="C10" s="392">
        <v>2014</v>
      </c>
      <c r="D10" s="32"/>
      <c r="E10" s="32"/>
      <c r="F10" s="32"/>
      <c r="G10" s="32"/>
      <c r="H10" s="32"/>
      <c r="I10" s="32"/>
      <c r="J10" s="32"/>
    </row>
    <row r="11" spans="1:10" s="31" customFormat="1" ht="15" customHeight="1" x14ac:dyDescent="0.2">
      <c r="A11" s="63"/>
      <c r="B11" s="32"/>
      <c r="C11" s="32"/>
      <c r="D11" s="32"/>
      <c r="E11" s="32"/>
      <c r="F11" s="32"/>
      <c r="G11" s="32"/>
      <c r="H11" s="32"/>
      <c r="I11" s="32"/>
      <c r="J11" s="289"/>
    </row>
    <row r="12" spans="1:10" s="31" customFormat="1" ht="18" customHeight="1" x14ac:dyDescent="0.2">
      <c r="A12" s="1681" t="s">
        <v>823</v>
      </c>
      <c r="B12" s="1682"/>
      <c r="C12" s="1685" t="s">
        <v>341</v>
      </c>
      <c r="D12" s="1686"/>
      <c r="E12" s="1689" t="s">
        <v>122</v>
      </c>
      <c r="F12" s="1689"/>
      <c r="G12" s="291" t="s">
        <v>24</v>
      </c>
      <c r="H12" s="1678" t="s">
        <v>25</v>
      </c>
      <c r="I12" s="1676"/>
      <c r="J12" s="289"/>
    </row>
    <row r="13" spans="1:10" s="31" customFormat="1" ht="18" customHeight="1" x14ac:dyDescent="0.2">
      <c r="A13" s="1683"/>
      <c r="B13" s="1684"/>
      <c r="C13" s="1687" t="str">
        <f>Cntry!$D$8</f>
        <v xml:space="preserve">Chile </v>
      </c>
      <c r="D13" s="1688"/>
      <c r="E13" s="1690" t="s">
        <v>123</v>
      </c>
      <c r="F13" s="1690"/>
      <c r="G13" s="330" t="s">
        <v>52</v>
      </c>
      <c r="H13" s="1679"/>
      <c r="I13" s="1680"/>
      <c r="J13" s="289"/>
    </row>
    <row r="14" spans="1:10" s="31" customFormat="1" ht="15" customHeight="1" x14ac:dyDescent="0.2">
      <c r="A14" s="293"/>
      <c r="B14" s="332" t="s">
        <v>31</v>
      </c>
      <c r="C14" s="443">
        <f>SUM(C15,C24,C37,C44,C51,C62)</f>
        <v>9680.0560747645013</v>
      </c>
      <c r="D14" s="571"/>
      <c r="E14" s="444">
        <f>SUM(E15,E24,E37,E44,E51,E62)</f>
        <v>905.27770360549994</v>
      </c>
      <c r="F14" s="1068"/>
      <c r="G14" s="445"/>
      <c r="H14" s="518">
        <f>SUM(H15,H24,H37,H44,H51,H62)</f>
        <v>10592.46194927</v>
      </c>
      <c r="I14" s="1054"/>
      <c r="J14" s="289"/>
    </row>
    <row r="15" spans="1:10" s="31" customFormat="1" ht="15" customHeight="1" x14ac:dyDescent="0.2">
      <c r="A15" s="294">
        <v>1</v>
      </c>
      <c r="B15" s="333" t="s">
        <v>124</v>
      </c>
      <c r="C15" s="446">
        <f>SUM(C16:C22)</f>
        <v>3414.3938584750999</v>
      </c>
      <c r="D15" s="572"/>
      <c r="E15" s="447">
        <f>SUM(E16:E22)</f>
        <v>349.28037383191997</v>
      </c>
      <c r="F15" s="1069"/>
      <c r="G15" s="448"/>
      <c r="H15" s="581">
        <f>SUM(H16:H22)</f>
        <v>3763.6742323070202</v>
      </c>
      <c r="I15" s="1055"/>
      <c r="J15" s="289"/>
    </row>
    <row r="16" spans="1:10" s="31" customFormat="1" ht="15" customHeight="1" x14ac:dyDescent="0.2">
      <c r="A16" s="296" t="s">
        <v>125</v>
      </c>
      <c r="B16" s="334" t="s">
        <v>126</v>
      </c>
      <c r="C16" s="446">
        <v>313.63951935900002</v>
      </c>
      <c r="D16" s="572"/>
      <c r="E16" s="447">
        <f>35.6408544726</f>
        <v>35.640854472599997</v>
      </c>
      <c r="F16" s="1069"/>
      <c r="G16" s="448"/>
      <c r="H16" s="1021">
        <f>SUM(C16,E16)</f>
        <v>349.2803738316</v>
      </c>
      <c r="I16" s="615"/>
      <c r="J16" s="289"/>
    </row>
    <row r="17" spans="1:10" s="31" customFormat="1" ht="15" customHeight="1" x14ac:dyDescent="0.2">
      <c r="A17" s="296" t="s">
        <v>127</v>
      </c>
      <c r="B17" s="297" t="s">
        <v>128</v>
      </c>
      <c r="C17" s="449">
        <v>28.512683578099999</v>
      </c>
      <c r="D17" s="573"/>
      <c r="E17" s="430">
        <v>7.1281708945300002</v>
      </c>
      <c r="F17" s="1060"/>
      <c r="G17" s="433"/>
      <c r="H17" s="1021">
        <f t="shared" ref="H17:H22" si="0">SUM(C17,E17)</f>
        <v>35.640854472629997</v>
      </c>
      <c r="I17" s="615"/>
      <c r="J17" s="289"/>
    </row>
    <row r="18" spans="1:10" s="31" customFormat="1" ht="15" customHeight="1" x14ac:dyDescent="0.2">
      <c r="A18" s="296" t="s">
        <v>129</v>
      </c>
      <c r="B18" s="334" t="s">
        <v>130</v>
      </c>
      <c r="C18" s="449">
        <v>392.04939919899999</v>
      </c>
      <c r="D18" s="573"/>
      <c r="E18" s="430">
        <f>49.8971962617+7.12817089453</f>
        <v>57.025367156230004</v>
      </c>
      <c r="F18" s="1060"/>
      <c r="G18" s="433"/>
      <c r="H18" s="1021">
        <f t="shared" si="0"/>
        <v>449.07476635523</v>
      </c>
      <c r="I18" s="615"/>
      <c r="J18" s="289"/>
    </row>
    <row r="19" spans="1:10" s="31" customFormat="1" ht="15" customHeight="1" x14ac:dyDescent="0.2">
      <c r="A19" s="296" t="s">
        <v>131</v>
      </c>
      <c r="B19" s="334" t="s">
        <v>132</v>
      </c>
      <c r="C19" s="449">
        <v>641.53538050700001</v>
      </c>
      <c r="D19" s="573"/>
      <c r="E19" s="430">
        <f>57.0253671562+14.2563417891</f>
        <v>71.281708945299997</v>
      </c>
      <c r="F19" s="1060"/>
      <c r="G19" s="433"/>
      <c r="H19" s="1021">
        <f t="shared" si="0"/>
        <v>712.81708945230002</v>
      </c>
      <c r="I19" s="615"/>
      <c r="J19" s="289"/>
    </row>
    <row r="20" spans="1:10" s="31" customFormat="1" ht="15" customHeight="1" x14ac:dyDescent="0.2">
      <c r="A20" s="296" t="s">
        <v>133</v>
      </c>
      <c r="B20" s="334" t="s">
        <v>134</v>
      </c>
      <c r="C20" s="449">
        <v>434.81842456599998</v>
      </c>
      <c r="D20" s="573"/>
      <c r="E20" s="430">
        <v>57.025367156199998</v>
      </c>
      <c r="F20" s="1060"/>
      <c r="G20" s="433"/>
      <c r="H20" s="1021">
        <f t="shared" si="0"/>
        <v>491.84379172219997</v>
      </c>
      <c r="I20" s="615"/>
      <c r="J20" s="289"/>
    </row>
    <row r="21" spans="1:10" s="31" customFormat="1" ht="15" customHeight="1" x14ac:dyDescent="0.2">
      <c r="A21" s="296" t="s">
        <v>135</v>
      </c>
      <c r="B21" s="334" t="s">
        <v>136</v>
      </c>
      <c r="C21" s="449">
        <v>1468.4032042700001</v>
      </c>
      <c r="D21" s="573"/>
      <c r="E21" s="430">
        <f>106.922563418+ 7.12817089453</f>
        <v>114.05073431253</v>
      </c>
      <c r="F21" s="1060"/>
      <c r="G21" s="433"/>
      <c r="H21" s="1021">
        <f t="shared" si="0"/>
        <v>1582.4539385825301</v>
      </c>
      <c r="I21" s="615"/>
      <c r="J21" s="289"/>
    </row>
    <row r="22" spans="1:10" s="31" customFormat="1" ht="15" customHeight="1" x14ac:dyDescent="0.2">
      <c r="A22" s="296">
        <v>1.7</v>
      </c>
      <c r="B22" s="334" t="s">
        <v>137</v>
      </c>
      <c r="C22" s="449">
        <v>135.43524699599999</v>
      </c>
      <c r="D22" s="573"/>
      <c r="E22" s="430">
        <v>7.1281708945300002</v>
      </c>
      <c r="F22" s="1060"/>
      <c r="G22" s="433"/>
      <c r="H22" s="1021">
        <f t="shared" si="0"/>
        <v>142.56341789052999</v>
      </c>
      <c r="I22" s="615"/>
      <c r="J22" s="289"/>
    </row>
    <row r="23" spans="1:10" s="335" customFormat="1" ht="15" customHeight="1" x14ac:dyDescent="0.2">
      <c r="A23" s="298"/>
      <c r="B23" s="299" t="s">
        <v>138</v>
      </c>
      <c r="C23" s="450"/>
      <c r="D23" s="574"/>
      <c r="E23" s="451"/>
      <c r="F23" s="1070"/>
      <c r="G23" s="452"/>
      <c r="H23" s="1035"/>
      <c r="I23" s="1072"/>
      <c r="J23" s="289"/>
    </row>
    <row r="24" spans="1:10" s="31" customFormat="1" ht="15" customHeight="1" x14ac:dyDescent="0.2">
      <c r="A24" s="294">
        <v>2</v>
      </c>
      <c r="B24" s="295" t="s">
        <v>139</v>
      </c>
      <c r="C24" s="446">
        <f>SUM(C25:C35)</f>
        <v>1475.5313751667998</v>
      </c>
      <c r="D24" s="572"/>
      <c r="E24" s="447">
        <f>SUM(E25:E35)</f>
        <v>128.30707610156</v>
      </c>
      <c r="F24" s="1069"/>
      <c r="G24" s="448"/>
      <c r="H24" s="581">
        <f>SUM(H25:H35)</f>
        <v>1603.8384512683599</v>
      </c>
      <c r="I24" s="1055"/>
      <c r="J24" s="289"/>
    </row>
    <row r="25" spans="1:10" s="31" customFormat="1" ht="15" customHeight="1" x14ac:dyDescent="0.2">
      <c r="A25" s="296" t="s">
        <v>140</v>
      </c>
      <c r="B25" s="334" t="s">
        <v>141</v>
      </c>
      <c r="C25" s="449">
        <v>199.58878504699999</v>
      </c>
      <c r="D25" s="573"/>
      <c r="E25" s="430">
        <v>0</v>
      </c>
      <c r="F25" s="1060"/>
      <c r="G25" s="433"/>
      <c r="H25" s="1021">
        <f>SUM(C25,E25)</f>
        <v>199.58878504699999</v>
      </c>
      <c r="I25" s="615"/>
      <c r="J25" s="289"/>
    </row>
    <row r="26" spans="1:10" s="31" customFormat="1" ht="15" customHeight="1" x14ac:dyDescent="0.2">
      <c r="A26" s="296" t="s">
        <v>142</v>
      </c>
      <c r="B26" s="334" t="s">
        <v>143</v>
      </c>
      <c r="C26" s="449">
        <v>463.33110814399998</v>
      </c>
      <c r="D26" s="573"/>
      <c r="E26" s="430">
        <v>42.769025367200001</v>
      </c>
      <c r="F26" s="1060"/>
      <c r="G26" s="433"/>
      <c r="H26" s="1021">
        <f t="shared" ref="H26:H35" si="1">SUM(C26,E26)</f>
        <v>506.1001335112</v>
      </c>
      <c r="I26" s="615"/>
      <c r="J26" s="289"/>
    </row>
    <row r="27" spans="1:10" s="31" customFormat="1" ht="15" customHeight="1" x14ac:dyDescent="0.2">
      <c r="A27" s="296" t="s">
        <v>144</v>
      </c>
      <c r="B27" s="334" t="s">
        <v>145</v>
      </c>
      <c r="C27" s="449">
        <v>49.897196261700003</v>
      </c>
      <c r="D27" s="573"/>
      <c r="E27" s="430">
        <v>7.1281708945300002</v>
      </c>
      <c r="F27" s="1060"/>
      <c r="G27" s="433"/>
      <c r="H27" s="1021">
        <f t="shared" si="1"/>
        <v>57.025367156230004</v>
      </c>
      <c r="I27" s="615"/>
      <c r="J27" s="289"/>
    </row>
    <row r="28" spans="1:10" s="31" customFormat="1" ht="15" customHeight="1" x14ac:dyDescent="0.2">
      <c r="A28" s="296" t="s">
        <v>146</v>
      </c>
      <c r="B28" s="334" t="s">
        <v>147</v>
      </c>
      <c r="C28" s="449">
        <v>135.43524699599999</v>
      </c>
      <c r="D28" s="573"/>
      <c r="E28" s="430">
        <v>7.1281708945300002</v>
      </c>
      <c r="F28" s="1060"/>
      <c r="G28" s="433"/>
      <c r="H28" s="1021">
        <f t="shared" si="1"/>
        <v>142.56341789052999</v>
      </c>
      <c r="I28" s="615"/>
      <c r="J28" s="289"/>
    </row>
    <row r="29" spans="1:10" s="31" customFormat="1" ht="15" customHeight="1" x14ac:dyDescent="0.2">
      <c r="A29" s="296" t="s">
        <v>148</v>
      </c>
      <c r="B29" s="334" t="s">
        <v>149</v>
      </c>
      <c r="C29" s="449">
        <v>121.178905207</v>
      </c>
      <c r="D29" s="573"/>
      <c r="E29" s="430">
        <v>21.384512683600001</v>
      </c>
      <c r="F29" s="1060"/>
      <c r="G29" s="433"/>
      <c r="H29" s="1021">
        <f t="shared" si="1"/>
        <v>142.56341789059999</v>
      </c>
      <c r="I29" s="615"/>
      <c r="J29" s="289"/>
    </row>
    <row r="30" spans="1:10" s="31" customFormat="1" ht="15" customHeight="1" x14ac:dyDescent="0.2">
      <c r="A30" s="296" t="s">
        <v>150</v>
      </c>
      <c r="B30" s="334" t="s">
        <v>151</v>
      </c>
      <c r="C30" s="449">
        <v>28.512683578099999</v>
      </c>
      <c r="D30" s="573"/>
      <c r="E30" s="430">
        <v>0</v>
      </c>
      <c r="F30" s="1060"/>
      <c r="G30" s="433"/>
      <c r="H30" s="1021">
        <f t="shared" si="1"/>
        <v>28.512683578099999</v>
      </c>
      <c r="I30" s="615"/>
      <c r="J30" s="289"/>
    </row>
    <row r="31" spans="1:10" s="31" customFormat="1" ht="15" customHeight="1" x14ac:dyDescent="0.2">
      <c r="A31" s="296" t="s">
        <v>152</v>
      </c>
      <c r="B31" s="334" t="s">
        <v>153</v>
      </c>
      <c r="C31" s="449">
        <v>35.640854472599997</v>
      </c>
      <c r="D31" s="573"/>
      <c r="E31" s="430">
        <v>14.2563417891</v>
      </c>
      <c r="F31" s="1060"/>
      <c r="G31" s="433"/>
      <c r="H31" s="1021">
        <f t="shared" si="1"/>
        <v>49.897196261699996</v>
      </c>
      <c r="I31" s="615"/>
      <c r="J31" s="289"/>
    </row>
    <row r="32" spans="1:10" s="31" customFormat="1" ht="15" customHeight="1" x14ac:dyDescent="0.2">
      <c r="A32" s="296" t="s">
        <v>154</v>
      </c>
      <c r="B32" s="334" t="s">
        <v>155</v>
      </c>
      <c r="C32" s="449">
        <v>49.897196261700003</v>
      </c>
      <c r="D32" s="573"/>
      <c r="E32" s="430">
        <v>0</v>
      </c>
      <c r="F32" s="1060"/>
      <c r="G32" s="433"/>
      <c r="H32" s="1021">
        <f t="shared" si="1"/>
        <v>49.897196261700003</v>
      </c>
      <c r="I32" s="615"/>
      <c r="J32" s="289"/>
    </row>
    <row r="33" spans="1:10" s="31" customFormat="1" ht="15" customHeight="1" x14ac:dyDescent="0.2">
      <c r="A33" s="296" t="s">
        <v>156</v>
      </c>
      <c r="B33" s="334" t="s">
        <v>157</v>
      </c>
      <c r="C33" s="449">
        <v>64.153538050700007</v>
      </c>
      <c r="D33" s="573"/>
      <c r="E33" s="430">
        <v>0</v>
      </c>
      <c r="F33" s="1060"/>
      <c r="G33" s="433"/>
      <c r="H33" s="1021">
        <f t="shared" si="1"/>
        <v>64.153538050700007</v>
      </c>
      <c r="I33" s="615"/>
      <c r="J33" s="289"/>
    </row>
    <row r="34" spans="1:10" s="31" customFormat="1" ht="15" customHeight="1" x14ac:dyDescent="0.2">
      <c r="A34" s="300">
        <v>2.1</v>
      </c>
      <c r="B34" s="334" t="s">
        <v>158</v>
      </c>
      <c r="C34" s="449">
        <v>0</v>
      </c>
      <c r="D34" s="573"/>
      <c r="E34" s="430">
        <v>0</v>
      </c>
      <c r="F34" s="1060"/>
      <c r="G34" s="433"/>
      <c r="H34" s="1021">
        <f t="shared" si="1"/>
        <v>0</v>
      </c>
      <c r="I34" s="615"/>
      <c r="J34" s="289"/>
    </row>
    <row r="35" spans="1:10" s="31" customFormat="1" ht="15" customHeight="1" x14ac:dyDescent="0.2">
      <c r="A35" s="296">
        <v>2.11</v>
      </c>
      <c r="B35" s="334" t="s">
        <v>159</v>
      </c>
      <c r="C35" s="449">
        <v>327.89586114799999</v>
      </c>
      <c r="D35" s="573"/>
      <c r="E35" s="430">
        <v>35.640854472599997</v>
      </c>
      <c r="F35" s="1060"/>
      <c r="G35" s="433"/>
      <c r="H35" s="1021">
        <f t="shared" si="1"/>
        <v>363.53671562059998</v>
      </c>
      <c r="I35" s="615"/>
      <c r="J35" s="289"/>
    </row>
    <row r="36" spans="1:10" s="335" customFormat="1" ht="15" customHeight="1" x14ac:dyDescent="0.2">
      <c r="A36" s="298"/>
      <c r="B36" s="336" t="s">
        <v>160</v>
      </c>
      <c r="C36" s="450"/>
      <c r="D36" s="574"/>
      <c r="E36" s="451"/>
      <c r="F36" s="1070"/>
      <c r="G36" s="452"/>
      <c r="H36" s="1035"/>
      <c r="I36" s="1072"/>
      <c r="J36" s="289"/>
    </row>
    <row r="37" spans="1:10" s="31" customFormat="1" ht="15" customHeight="1" x14ac:dyDescent="0.2">
      <c r="A37" s="294">
        <v>3</v>
      </c>
      <c r="B37" s="333" t="s">
        <v>161</v>
      </c>
      <c r="C37" s="446">
        <f>SUM(C38:C42)</f>
        <v>905.27770360459988</v>
      </c>
      <c r="D37" s="572"/>
      <c r="E37" s="447">
        <f>SUM(E38:E42)</f>
        <v>78.409879839930014</v>
      </c>
      <c r="F37" s="1069"/>
      <c r="G37" s="448"/>
      <c r="H37" s="581">
        <f>SUM(H38:H42)</f>
        <v>990.81575434453009</v>
      </c>
      <c r="I37" s="1055"/>
      <c r="J37" s="289"/>
    </row>
    <row r="38" spans="1:10" s="31" customFormat="1" ht="15" customHeight="1" x14ac:dyDescent="0.2">
      <c r="A38" s="296" t="s">
        <v>162</v>
      </c>
      <c r="B38" s="334" t="s">
        <v>163</v>
      </c>
      <c r="C38" s="449">
        <v>135.43524699599999</v>
      </c>
      <c r="D38" s="573"/>
      <c r="E38" s="430">
        <v>14.2563417891</v>
      </c>
      <c r="F38" s="1060"/>
      <c r="G38" s="433"/>
      <c r="H38" s="1021">
        <f>SUM(C38,E38)</f>
        <v>149.69158878509998</v>
      </c>
      <c r="I38" s="615"/>
      <c r="J38" s="289"/>
    </row>
    <row r="39" spans="1:10" s="31" customFormat="1" ht="15" customHeight="1" x14ac:dyDescent="0.2">
      <c r="A39" s="296" t="s">
        <v>164</v>
      </c>
      <c r="B39" s="334" t="s">
        <v>165</v>
      </c>
      <c r="C39" s="449">
        <v>35.640854472599997</v>
      </c>
      <c r="D39" s="573"/>
      <c r="E39" s="430">
        <v>7.1281708945300002</v>
      </c>
      <c r="F39" s="1060"/>
      <c r="G39" s="433"/>
      <c r="H39" s="1021">
        <f t="shared" ref="H39:H42" si="2">SUM(C39,E39)</f>
        <v>42.769025367129998</v>
      </c>
      <c r="I39" s="615"/>
      <c r="J39" s="289"/>
    </row>
    <row r="40" spans="1:10" s="31" customFormat="1" ht="15" customHeight="1" x14ac:dyDescent="0.2">
      <c r="A40" s="296" t="s">
        <v>166</v>
      </c>
      <c r="B40" s="334" t="s">
        <v>167</v>
      </c>
      <c r="C40" s="449">
        <v>506.10013351100002</v>
      </c>
      <c r="D40" s="573"/>
      <c r="E40" s="430">
        <v>28.512683578099999</v>
      </c>
      <c r="F40" s="1060"/>
      <c r="G40" s="433">
        <v>7.1281708999999998</v>
      </c>
      <c r="H40" s="1021">
        <f>SUM(G40,E40,C40)</f>
        <v>541.74098798910006</v>
      </c>
      <c r="I40" s="615"/>
      <c r="J40" s="289"/>
    </row>
    <row r="41" spans="1:10" s="31" customFormat="1" ht="15" customHeight="1" x14ac:dyDescent="0.2">
      <c r="A41" s="296">
        <v>3.4</v>
      </c>
      <c r="B41" s="334" t="s">
        <v>168</v>
      </c>
      <c r="C41" s="449">
        <v>106.922563418</v>
      </c>
      <c r="D41" s="573"/>
      <c r="E41" s="430">
        <v>14.2563417891</v>
      </c>
      <c r="F41" s="1060"/>
      <c r="G41" s="433"/>
      <c r="H41" s="1021">
        <f t="shared" si="2"/>
        <v>121.1789052071</v>
      </c>
      <c r="I41" s="615"/>
      <c r="J41" s="289"/>
    </row>
    <row r="42" spans="1:10" s="31" customFormat="1" ht="15" customHeight="1" x14ac:dyDescent="0.2">
      <c r="A42" s="296">
        <v>3.5</v>
      </c>
      <c r="B42" s="334" t="s">
        <v>169</v>
      </c>
      <c r="C42" s="449">
        <v>121.178905207</v>
      </c>
      <c r="D42" s="573"/>
      <c r="E42" s="430">
        <v>14.2563417891</v>
      </c>
      <c r="F42" s="1060"/>
      <c r="G42" s="433"/>
      <c r="H42" s="1021">
        <f t="shared" si="2"/>
        <v>135.43524699610001</v>
      </c>
      <c r="I42" s="615"/>
      <c r="J42" s="289"/>
    </row>
    <row r="43" spans="1:10" s="335" customFormat="1" ht="15" customHeight="1" x14ac:dyDescent="0.2">
      <c r="A43" s="298"/>
      <c r="B43" s="336" t="s">
        <v>170</v>
      </c>
      <c r="C43" s="450"/>
      <c r="D43" s="574"/>
      <c r="E43" s="451"/>
      <c r="F43" s="1070"/>
      <c r="G43" s="452"/>
      <c r="H43" s="1035"/>
      <c r="I43" s="1072"/>
      <c r="J43" s="289"/>
    </row>
    <row r="44" spans="1:10" s="31" customFormat="1" ht="15" customHeight="1" x14ac:dyDescent="0.2">
      <c r="A44" s="294">
        <v>4</v>
      </c>
      <c r="B44" s="333" t="s">
        <v>171</v>
      </c>
      <c r="C44" s="446">
        <f>SUM(C45:C49)</f>
        <v>627.27903871839999</v>
      </c>
      <c r="D44" s="572"/>
      <c r="E44" s="447">
        <f>SUM(E45:E49)</f>
        <v>35.640854472729998</v>
      </c>
      <c r="F44" s="1069"/>
      <c r="G44" s="448"/>
      <c r="H44" s="581">
        <f>SUM(H45:H49)</f>
        <v>662.91989319112997</v>
      </c>
      <c r="I44" s="1055"/>
      <c r="J44" s="289"/>
    </row>
    <row r="45" spans="1:10" s="31" customFormat="1" ht="15" customHeight="1" x14ac:dyDescent="0.2">
      <c r="A45" s="296" t="s">
        <v>172</v>
      </c>
      <c r="B45" s="334" t="s">
        <v>173</v>
      </c>
      <c r="C45" s="449">
        <v>228.101468625</v>
      </c>
      <c r="D45" s="573"/>
      <c r="E45" s="430">
        <v>0</v>
      </c>
      <c r="F45" s="1060"/>
      <c r="G45" s="433"/>
      <c r="H45" s="1021">
        <f>SUM(C45,E45)</f>
        <v>228.101468625</v>
      </c>
      <c r="I45" s="615"/>
      <c r="J45" s="289"/>
    </row>
    <row r="46" spans="1:10" s="31" customFormat="1" ht="15" customHeight="1" x14ac:dyDescent="0.2">
      <c r="A46" s="296" t="s">
        <v>174</v>
      </c>
      <c r="B46" s="334" t="s">
        <v>175</v>
      </c>
      <c r="C46" s="449">
        <v>28.512683578099999</v>
      </c>
      <c r="D46" s="573"/>
      <c r="E46" s="430">
        <v>7.1281708945300002</v>
      </c>
      <c r="F46" s="1060"/>
      <c r="G46" s="433"/>
      <c r="H46" s="1021">
        <f t="shared" ref="H46:H49" si="3">SUM(C46,E46)</f>
        <v>35.640854472629997</v>
      </c>
      <c r="I46" s="615"/>
      <c r="J46" s="289"/>
    </row>
    <row r="47" spans="1:10" s="31" customFormat="1" ht="15" customHeight="1" x14ac:dyDescent="0.2">
      <c r="A47" s="296">
        <v>4.3</v>
      </c>
      <c r="B47" s="334" t="s">
        <v>176</v>
      </c>
      <c r="C47" s="449">
        <v>71.281708945299997</v>
      </c>
      <c r="D47" s="573"/>
      <c r="E47" s="430">
        <v>14.2563417891</v>
      </c>
      <c r="F47" s="1060"/>
      <c r="G47" s="433"/>
      <c r="H47" s="1021">
        <f t="shared" si="3"/>
        <v>85.538050734400002</v>
      </c>
      <c r="I47" s="615"/>
      <c r="J47" s="289"/>
    </row>
    <row r="48" spans="1:10" s="31" customFormat="1" ht="15" customHeight="1" x14ac:dyDescent="0.2">
      <c r="A48" s="296">
        <v>4.4000000000000004</v>
      </c>
      <c r="B48" s="334" t="s">
        <v>177</v>
      </c>
      <c r="C48" s="449">
        <v>178.204272363</v>
      </c>
      <c r="D48" s="573"/>
      <c r="E48" s="430">
        <v>14.2563417891</v>
      </c>
      <c r="F48" s="1060"/>
      <c r="G48" s="433"/>
      <c r="H48" s="1021">
        <f t="shared" si="3"/>
        <v>192.46061415209999</v>
      </c>
      <c r="I48" s="615"/>
      <c r="J48" s="289"/>
    </row>
    <row r="49" spans="1:10" s="31" customFormat="1" ht="15" customHeight="1" x14ac:dyDescent="0.2">
      <c r="A49" s="296">
        <v>4.5</v>
      </c>
      <c r="B49" s="334" t="s">
        <v>178</v>
      </c>
      <c r="C49" s="449">
        <v>121.178905207</v>
      </c>
      <c r="D49" s="573"/>
      <c r="E49" s="430">
        <v>0</v>
      </c>
      <c r="F49" s="1060"/>
      <c r="G49" s="433"/>
      <c r="H49" s="1021">
        <f t="shared" si="3"/>
        <v>121.178905207</v>
      </c>
      <c r="I49" s="615"/>
      <c r="J49" s="289"/>
    </row>
    <row r="50" spans="1:10" s="335" customFormat="1" ht="15" customHeight="1" x14ac:dyDescent="0.2">
      <c r="A50" s="298"/>
      <c r="B50" s="336" t="s">
        <v>179</v>
      </c>
      <c r="C50" s="450"/>
      <c r="D50" s="574"/>
      <c r="E50" s="451"/>
      <c r="F50" s="1070"/>
      <c r="G50" s="452"/>
      <c r="H50" s="1035"/>
      <c r="I50" s="1072"/>
      <c r="J50" s="289"/>
    </row>
    <row r="51" spans="1:10" s="31" customFormat="1" ht="15" customHeight="1" x14ac:dyDescent="0.2">
      <c r="A51" s="294">
        <v>5</v>
      </c>
      <c r="B51" s="333" t="s">
        <v>180</v>
      </c>
      <c r="C51" s="446">
        <f>SUM(C52:C60)</f>
        <v>2252.5020026707998</v>
      </c>
      <c r="D51" s="572"/>
      <c r="E51" s="447">
        <f>SUM(E52:E60)</f>
        <v>228.10146862492999</v>
      </c>
      <c r="F51" s="1069"/>
      <c r="G51" s="448"/>
      <c r="H51" s="581">
        <f>SUM(H52:H60)</f>
        <v>2480.6034712957303</v>
      </c>
      <c r="I51" s="1055"/>
      <c r="J51" s="289"/>
    </row>
    <row r="52" spans="1:10" s="31" customFormat="1" ht="15" customHeight="1" x14ac:dyDescent="0.2">
      <c r="A52" s="296" t="s">
        <v>181</v>
      </c>
      <c r="B52" s="334" t="s">
        <v>182</v>
      </c>
      <c r="C52" s="449">
        <v>277.99866488700002</v>
      </c>
      <c r="D52" s="573"/>
      <c r="E52" s="430">
        <v>35.640854472599997</v>
      </c>
      <c r="F52" s="1060"/>
      <c r="G52" s="433"/>
      <c r="H52" s="1021">
        <f>SUM(C52,E52)</f>
        <v>313.6395193596</v>
      </c>
      <c r="I52" s="615"/>
      <c r="J52" s="289"/>
    </row>
    <row r="53" spans="1:10" s="31" customFormat="1" ht="15" customHeight="1" x14ac:dyDescent="0.2">
      <c r="A53" s="296" t="s">
        <v>183</v>
      </c>
      <c r="B53" s="334" t="s">
        <v>184</v>
      </c>
      <c r="C53" s="449">
        <v>427.69025367199998</v>
      </c>
      <c r="D53" s="573"/>
      <c r="E53" s="430">
        <v>78.409879839799999</v>
      </c>
      <c r="F53" s="1060"/>
      <c r="G53" s="433"/>
      <c r="H53" s="1021">
        <f t="shared" ref="H53:H60" si="4">SUM(C53,E53)</f>
        <v>506.10013351179998</v>
      </c>
      <c r="I53" s="615"/>
      <c r="J53" s="289"/>
    </row>
    <row r="54" spans="1:10" s="31" customFormat="1" ht="15" customHeight="1" x14ac:dyDescent="0.2">
      <c r="A54" s="296" t="s">
        <v>185</v>
      </c>
      <c r="B54" s="334" t="s">
        <v>186</v>
      </c>
      <c r="C54" s="449">
        <v>327.89586114799999</v>
      </c>
      <c r="D54" s="573"/>
      <c r="E54" s="430">
        <v>57.025367156199998</v>
      </c>
      <c r="F54" s="1060"/>
      <c r="G54" s="433"/>
      <c r="H54" s="1021">
        <f t="shared" si="4"/>
        <v>384.92122830419999</v>
      </c>
      <c r="I54" s="615"/>
      <c r="J54" s="289"/>
    </row>
    <row r="55" spans="1:10" s="31" customFormat="1" ht="15" customHeight="1" x14ac:dyDescent="0.2">
      <c r="A55" s="296" t="s">
        <v>187</v>
      </c>
      <c r="B55" s="334" t="s">
        <v>188</v>
      </c>
      <c r="C55" s="449">
        <v>242.357810414</v>
      </c>
      <c r="D55" s="573"/>
      <c r="E55" s="430">
        <v>0</v>
      </c>
      <c r="F55" s="1060"/>
      <c r="G55" s="433"/>
      <c r="H55" s="1021">
        <f t="shared" si="4"/>
        <v>242.357810414</v>
      </c>
      <c r="I55" s="615"/>
      <c r="J55" s="289"/>
    </row>
    <row r="56" spans="1:10" s="31" customFormat="1" ht="15" customHeight="1" x14ac:dyDescent="0.2">
      <c r="A56" s="296" t="s">
        <v>189</v>
      </c>
      <c r="B56" s="334" t="s">
        <v>190</v>
      </c>
      <c r="C56" s="449">
        <v>320.767690254</v>
      </c>
      <c r="D56" s="573"/>
      <c r="E56" s="430">
        <v>14.2563417891</v>
      </c>
      <c r="F56" s="1060"/>
      <c r="G56" s="433"/>
      <c r="H56" s="1021">
        <f t="shared" si="4"/>
        <v>335.02403204310002</v>
      </c>
      <c r="I56" s="615"/>
      <c r="J56" s="289"/>
    </row>
    <row r="57" spans="1:10" s="31" customFormat="1" ht="15" customHeight="1" x14ac:dyDescent="0.2">
      <c r="A57" s="296">
        <v>5.6</v>
      </c>
      <c r="B57" s="334" t="s">
        <v>191</v>
      </c>
      <c r="C57" s="449">
        <v>114.050734312</v>
      </c>
      <c r="D57" s="573"/>
      <c r="E57" s="430">
        <v>21.384512683600001</v>
      </c>
      <c r="F57" s="1060"/>
      <c r="G57" s="433"/>
      <c r="H57" s="1021">
        <f t="shared" si="4"/>
        <v>135.43524699560001</v>
      </c>
      <c r="I57" s="615"/>
      <c r="J57" s="289"/>
    </row>
    <row r="58" spans="1:10" s="31" customFormat="1" ht="15" customHeight="1" x14ac:dyDescent="0.2">
      <c r="A58" s="296">
        <v>5.7</v>
      </c>
      <c r="B58" s="334" t="s">
        <v>192</v>
      </c>
      <c r="C58" s="449">
        <v>92.666221628800002</v>
      </c>
      <c r="D58" s="573"/>
      <c r="E58" s="430">
        <v>7.1281708945300002</v>
      </c>
      <c r="F58" s="1060"/>
      <c r="G58" s="433"/>
      <c r="H58" s="1021">
        <f>SUM(C58,E58)</f>
        <v>99.794392523330004</v>
      </c>
      <c r="I58" s="615"/>
      <c r="J58" s="289"/>
    </row>
    <row r="59" spans="1:10" s="31" customFormat="1" ht="15" customHeight="1" x14ac:dyDescent="0.2">
      <c r="A59" s="296">
        <v>5.8</v>
      </c>
      <c r="B59" s="334" t="s">
        <v>193</v>
      </c>
      <c r="C59" s="449">
        <v>106.922563418</v>
      </c>
      <c r="D59" s="573"/>
      <c r="E59" s="430">
        <v>0</v>
      </c>
      <c r="F59" s="1060"/>
      <c r="G59" s="433"/>
      <c r="H59" s="1021">
        <f t="shared" si="4"/>
        <v>106.922563418</v>
      </c>
      <c r="I59" s="615"/>
      <c r="J59" s="289"/>
    </row>
    <row r="60" spans="1:10" s="31" customFormat="1" ht="15" customHeight="1" x14ac:dyDescent="0.2">
      <c r="A60" s="296">
        <v>5.9</v>
      </c>
      <c r="B60" s="334" t="s">
        <v>194</v>
      </c>
      <c r="C60" s="449">
        <v>342.15220293700003</v>
      </c>
      <c r="D60" s="573"/>
      <c r="E60" s="430">
        <v>14.2563417891</v>
      </c>
      <c r="F60" s="1060"/>
      <c r="G60" s="433"/>
      <c r="H60" s="1021">
        <f t="shared" si="4"/>
        <v>356.40854472610005</v>
      </c>
      <c r="I60" s="615"/>
      <c r="J60" s="289"/>
    </row>
    <row r="61" spans="1:10" s="335" customFormat="1" ht="15" customHeight="1" x14ac:dyDescent="0.2">
      <c r="A61" s="298"/>
      <c r="B61" s="336" t="s">
        <v>195</v>
      </c>
      <c r="C61" s="450"/>
      <c r="D61" s="574"/>
      <c r="E61" s="451"/>
      <c r="F61" s="1070"/>
      <c r="G61" s="452"/>
      <c r="H61" s="1035"/>
      <c r="I61" s="1072"/>
      <c r="J61" s="289"/>
    </row>
    <row r="62" spans="1:10" s="31" customFormat="1" ht="15" customHeight="1" x14ac:dyDescent="0.2">
      <c r="A62" s="294">
        <v>6</v>
      </c>
      <c r="B62" s="333" t="s">
        <v>196</v>
      </c>
      <c r="C62" s="446">
        <f>SUM(C63:C67)</f>
        <v>1005.0720961288</v>
      </c>
      <c r="D62" s="572"/>
      <c r="E62" s="447">
        <f>SUM(E63:E67)</f>
        <v>85.538050734429987</v>
      </c>
      <c r="F62" s="1069"/>
      <c r="G62" s="448"/>
      <c r="H62" s="581">
        <f>SUM(H63:H67)</f>
        <v>1090.6101468632301</v>
      </c>
      <c r="I62" s="1055"/>
      <c r="J62" s="289"/>
    </row>
    <row r="63" spans="1:10" s="31" customFormat="1" ht="15" customHeight="1" x14ac:dyDescent="0.2">
      <c r="A63" s="296" t="s">
        <v>197</v>
      </c>
      <c r="B63" s="334" t="s">
        <v>198</v>
      </c>
      <c r="C63" s="449">
        <v>171.07610146900001</v>
      </c>
      <c r="D63" s="573"/>
      <c r="E63" s="430">
        <v>14.2563417891</v>
      </c>
      <c r="F63" s="1060"/>
      <c r="G63" s="433"/>
      <c r="H63" s="1021">
        <f>SUM(C63,E63)</f>
        <v>185.3324432581</v>
      </c>
      <c r="I63" s="615"/>
      <c r="J63" s="289"/>
    </row>
    <row r="64" spans="1:10" s="31" customFormat="1" ht="15" customHeight="1" x14ac:dyDescent="0.2">
      <c r="A64" s="296" t="s">
        <v>199</v>
      </c>
      <c r="B64" s="334" t="s">
        <v>200</v>
      </c>
      <c r="C64" s="449">
        <v>242.357810414</v>
      </c>
      <c r="D64" s="573"/>
      <c r="E64" s="430">
        <v>21.384512683600001</v>
      </c>
      <c r="F64" s="1060"/>
      <c r="G64" s="433"/>
      <c r="H64" s="1021">
        <f t="shared" ref="H64:H67" si="5">SUM(C64,E64)</f>
        <v>263.74232309759998</v>
      </c>
      <c r="I64" s="615"/>
      <c r="J64" s="289"/>
    </row>
    <row r="65" spans="1:10" s="31" customFormat="1" ht="15" customHeight="1" x14ac:dyDescent="0.2">
      <c r="A65" s="296" t="s">
        <v>201</v>
      </c>
      <c r="B65" s="334" t="s">
        <v>202</v>
      </c>
      <c r="C65" s="449">
        <v>171.07610146900001</v>
      </c>
      <c r="D65" s="573"/>
      <c r="E65" s="430">
        <v>21.384512683600001</v>
      </c>
      <c r="F65" s="1060"/>
      <c r="G65" s="433"/>
      <c r="H65" s="1021">
        <f t="shared" si="5"/>
        <v>192.46061415260002</v>
      </c>
      <c r="I65" s="615"/>
      <c r="J65" s="289"/>
    </row>
    <row r="66" spans="1:10" s="31" customFormat="1" ht="15" customHeight="1" x14ac:dyDescent="0.2">
      <c r="A66" s="296" t="s">
        <v>203</v>
      </c>
      <c r="B66" s="334" t="s">
        <v>204</v>
      </c>
      <c r="C66" s="449">
        <v>78.409879839799999</v>
      </c>
      <c r="D66" s="573"/>
      <c r="E66" s="430">
        <v>7.1281708945300002</v>
      </c>
      <c r="F66" s="1060"/>
      <c r="G66" s="433"/>
      <c r="H66" s="1021">
        <f t="shared" si="5"/>
        <v>85.53805073433</v>
      </c>
      <c r="I66" s="615"/>
      <c r="J66" s="289"/>
    </row>
    <row r="67" spans="1:10" s="31" customFormat="1" ht="15" customHeight="1" x14ac:dyDescent="0.2">
      <c r="A67" s="296" t="s">
        <v>205</v>
      </c>
      <c r="B67" s="334" t="s">
        <v>206</v>
      </c>
      <c r="C67" s="453">
        <v>342.15220293700003</v>
      </c>
      <c r="D67" s="575"/>
      <c r="E67" s="435">
        <v>21.384512683600001</v>
      </c>
      <c r="F67" s="1061"/>
      <c r="G67" s="438"/>
      <c r="H67" s="1021">
        <f t="shared" si="5"/>
        <v>363.53671562060003</v>
      </c>
      <c r="I67" s="615"/>
      <c r="J67" s="289"/>
    </row>
    <row r="68" spans="1:10" s="335" customFormat="1" ht="15" customHeight="1" x14ac:dyDescent="0.2">
      <c r="A68" s="298"/>
      <c r="B68" s="336" t="s">
        <v>207</v>
      </c>
      <c r="C68" s="450"/>
      <c r="D68" s="574"/>
      <c r="E68" s="451"/>
      <c r="F68" s="1070"/>
      <c r="G68" s="452"/>
      <c r="H68" s="1035"/>
      <c r="I68" s="1072"/>
      <c r="J68" s="289"/>
    </row>
    <row r="69" spans="1:10" s="31" customFormat="1" ht="15" customHeight="1" x14ac:dyDescent="0.2">
      <c r="A69" s="301"/>
      <c r="B69" s="337" t="s">
        <v>208</v>
      </c>
      <c r="C69" s="454"/>
      <c r="D69" s="576"/>
      <c r="E69" s="455"/>
      <c r="F69" s="1071"/>
      <c r="G69" s="456"/>
      <c r="H69" s="1073"/>
      <c r="I69" s="1074"/>
      <c r="J69" s="289"/>
    </row>
    <row r="70" spans="1:10" s="31" customFormat="1" ht="15" customHeight="1" x14ac:dyDescent="0.2">
      <c r="A70" s="32"/>
      <c r="B70" s="302"/>
      <c r="C70" s="32"/>
      <c r="D70" s="32"/>
      <c r="E70" s="32"/>
      <c r="F70" s="32"/>
      <c r="G70" s="32"/>
      <c r="H70" s="32"/>
      <c r="I70" s="32"/>
      <c r="J70" s="289"/>
    </row>
    <row r="71" spans="1:10" s="31" customFormat="1" ht="15" customHeight="1" x14ac:dyDescent="0.2">
      <c r="A71" s="32"/>
      <c r="B71" s="32"/>
      <c r="C71" s="32"/>
      <c r="D71" s="32"/>
      <c r="E71" s="32"/>
      <c r="F71" s="32"/>
      <c r="G71" s="32"/>
      <c r="H71" s="32"/>
      <c r="I71" s="32"/>
      <c r="J71" s="289"/>
    </row>
    <row r="72" spans="1:10" s="31" customFormat="1" ht="15" customHeight="1" x14ac:dyDescent="0.2">
      <c r="A72" s="32"/>
      <c r="B72" s="32"/>
      <c r="C72" s="32"/>
      <c r="D72" s="32"/>
      <c r="E72" s="32"/>
      <c r="F72" s="32"/>
      <c r="G72" s="32"/>
      <c r="H72" s="32"/>
      <c r="I72" s="32"/>
      <c r="J72" s="289"/>
    </row>
    <row r="73" spans="1:10" s="31" customFormat="1" ht="15" customHeight="1" x14ac:dyDescent="0.2">
      <c r="A73" s="55" t="s">
        <v>32</v>
      </c>
      <c r="B73" s="32"/>
      <c r="C73" s="32"/>
      <c r="D73" s="32"/>
      <c r="E73" s="32"/>
      <c r="F73" s="32"/>
      <c r="G73" s="32"/>
      <c r="H73" s="32"/>
      <c r="I73" s="32"/>
      <c r="J73" s="289"/>
    </row>
    <row r="74" spans="1:10" s="31" customFormat="1" ht="15" customHeight="1" x14ac:dyDescent="0.2">
      <c r="A74" s="32"/>
      <c r="B74" s="56"/>
      <c r="C74" s="57"/>
      <c r="D74" s="57"/>
      <c r="E74" s="57"/>
      <c r="F74" s="57"/>
      <c r="G74" s="57"/>
      <c r="H74" s="57"/>
      <c r="I74" s="57"/>
      <c r="J74" s="289"/>
    </row>
    <row r="75" spans="1:10" s="31" customFormat="1" ht="15" customHeight="1" x14ac:dyDescent="0.2">
      <c r="A75" s="32"/>
      <c r="B75" s="58"/>
      <c r="C75" s="59"/>
      <c r="D75" s="59"/>
      <c r="E75" s="59"/>
      <c r="F75" s="59"/>
      <c r="G75" s="59"/>
      <c r="H75" s="59"/>
      <c r="I75" s="59"/>
      <c r="J75" s="289"/>
    </row>
    <row r="76" spans="1:10" s="31" customFormat="1" ht="15" customHeight="1" x14ac:dyDescent="0.2">
      <c r="A76" s="32"/>
      <c r="B76" s="557"/>
      <c r="C76" s="389"/>
      <c r="D76" s="389"/>
      <c r="E76" s="389"/>
      <c r="F76" s="389"/>
      <c r="G76" s="389"/>
      <c r="H76" s="389"/>
      <c r="I76" s="389"/>
      <c r="J76" s="289"/>
    </row>
    <row r="77" spans="1:10" s="31" customFormat="1" ht="15" customHeight="1" x14ac:dyDescent="0.2">
      <c r="A77" s="32"/>
      <c r="B77" s="58"/>
      <c r="C77" s="59"/>
      <c r="D77" s="59"/>
      <c r="E77" s="59"/>
      <c r="F77" s="59"/>
      <c r="G77" s="59"/>
      <c r="H77" s="59"/>
      <c r="I77" s="59"/>
      <c r="J77" s="289"/>
    </row>
    <row r="78" spans="1:10" ht="15" customHeight="1" x14ac:dyDescent="0.2">
      <c r="A78" s="558"/>
      <c r="B78" s="555"/>
      <c r="C78" s="556"/>
      <c r="D78" s="556"/>
      <c r="E78" s="556"/>
      <c r="F78" s="556"/>
      <c r="G78" s="556"/>
      <c r="H78" s="556"/>
      <c r="I78" s="556"/>
      <c r="J78" s="289"/>
    </row>
    <row r="79" spans="1:10" ht="15" customHeight="1" x14ac:dyDescent="0.2">
      <c r="A79" s="55" t="s">
        <v>33</v>
      </c>
      <c r="B79" s="32"/>
      <c r="C79" s="32"/>
      <c r="D79" s="32"/>
      <c r="E79" s="32"/>
      <c r="F79" s="32"/>
      <c r="G79" s="32"/>
      <c r="H79" s="32"/>
      <c r="I79" s="32"/>
      <c r="J79" s="289"/>
    </row>
    <row r="80" spans="1:10" ht="15" customHeight="1" x14ac:dyDescent="0.2">
      <c r="A80" s="32"/>
      <c r="B80" s="56"/>
      <c r="C80" s="57"/>
      <c r="D80" s="57"/>
      <c r="E80" s="57"/>
      <c r="F80" s="57"/>
      <c r="G80" s="57"/>
      <c r="H80" s="57"/>
      <c r="I80" s="57"/>
      <c r="J80" s="289"/>
    </row>
    <row r="81" spans="1:10" ht="15" customHeight="1" x14ac:dyDescent="0.2">
      <c r="A81" s="55"/>
      <c r="B81" s="58"/>
      <c r="C81" s="59"/>
      <c r="D81" s="59"/>
      <c r="E81" s="59"/>
      <c r="F81" s="59"/>
      <c r="G81" s="59"/>
      <c r="H81" s="59"/>
      <c r="I81" s="59"/>
      <c r="J81" s="289"/>
    </row>
    <row r="82" spans="1:10" ht="15" customHeight="1" x14ac:dyDescent="0.2">
      <c r="A82" s="32"/>
      <c r="B82" s="58"/>
      <c r="C82" s="59"/>
      <c r="D82" s="59"/>
      <c r="E82" s="59"/>
      <c r="F82" s="59"/>
      <c r="G82" s="59"/>
      <c r="H82" s="59"/>
      <c r="I82" s="389"/>
      <c r="J82" s="289"/>
    </row>
    <row r="83" spans="1:10" ht="15" customHeight="1" x14ac:dyDescent="0.2">
      <c r="A83" s="32"/>
      <c r="B83" s="58"/>
      <c r="C83" s="59"/>
      <c r="D83" s="59"/>
      <c r="E83" s="59"/>
      <c r="F83" s="59"/>
      <c r="G83" s="59"/>
      <c r="H83" s="59"/>
      <c r="I83" s="59"/>
      <c r="J83" s="289"/>
    </row>
    <row r="84" spans="1:10" ht="15" customHeight="1" x14ac:dyDescent="0.2">
      <c r="A84" s="32"/>
      <c r="B84" s="32"/>
      <c r="C84" s="32"/>
      <c r="D84" s="32"/>
      <c r="E84" s="32"/>
      <c r="F84" s="32"/>
      <c r="G84" s="32"/>
      <c r="H84" s="32"/>
      <c r="I84" s="32"/>
      <c r="J84" s="289"/>
    </row>
    <row r="85" spans="1:10" ht="12.75" x14ac:dyDescent="0.2">
      <c r="A85" s="55" t="s">
        <v>656</v>
      </c>
      <c r="B85" s="32"/>
      <c r="C85" s="57"/>
      <c r="D85" s="32"/>
      <c r="E85" s="32"/>
      <c r="F85" s="32"/>
      <c r="G85" s="32"/>
      <c r="H85" s="32"/>
      <c r="I85" s="32"/>
      <c r="J85" s="289"/>
    </row>
    <row r="86" spans="1:10" ht="12.75" x14ac:dyDescent="0.2">
      <c r="A86" s="32"/>
      <c r="B86" s="32"/>
      <c r="C86" s="59"/>
      <c r="D86" s="32"/>
      <c r="E86" s="32"/>
      <c r="F86" s="32"/>
      <c r="G86" s="32"/>
      <c r="H86" s="32"/>
      <c r="I86" s="32"/>
      <c r="J86" s="289"/>
    </row>
    <row r="87" spans="1:10" ht="12.75" x14ac:dyDescent="0.2">
      <c r="A87" s="32"/>
      <c r="B87" s="32"/>
      <c r="C87" s="59"/>
      <c r="D87" s="32"/>
      <c r="E87" s="32"/>
      <c r="F87" s="32"/>
      <c r="G87" s="32"/>
      <c r="H87" s="32"/>
      <c r="I87" s="32"/>
      <c r="J87" s="289"/>
    </row>
    <row r="88" spans="1:10" ht="12.75" x14ac:dyDescent="0.2">
      <c r="A88" s="32"/>
      <c r="B88" s="32"/>
      <c r="C88" s="59"/>
      <c r="D88" s="32"/>
      <c r="E88" s="32"/>
      <c r="F88" s="32"/>
      <c r="G88" s="32"/>
      <c r="H88" s="32"/>
      <c r="I88" s="32"/>
      <c r="J88" s="289"/>
    </row>
    <row r="89" spans="1:10" ht="12.75" x14ac:dyDescent="0.2">
      <c r="A89" s="32"/>
      <c r="B89" s="32"/>
      <c r="C89" s="32"/>
      <c r="D89" s="32"/>
      <c r="E89" s="32"/>
      <c r="F89" s="32"/>
      <c r="G89" s="32"/>
      <c r="H89" s="32"/>
      <c r="I89" s="32"/>
      <c r="J89" s="289"/>
    </row>
    <row r="90" spans="1:10" ht="12.75" x14ac:dyDescent="0.2">
      <c r="A90" s="32"/>
      <c r="B90" s="32"/>
      <c r="C90" s="32"/>
      <c r="D90" s="32"/>
      <c r="E90" s="32"/>
      <c r="F90" s="32"/>
      <c r="G90" s="32"/>
      <c r="H90" s="32"/>
      <c r="I90" s="32"/>
      <c r="J90" s="289"/>
    </row>
  </sheetData>
  <sheetProtection password="CD9E" sheet="1" objects="1" scenarios="1" selectLockedCells="1"/>
  <mergeCells count="7">
    <mergeCell ref="H12:I12"/>
    <mergeCell ref="H13:I13"/>
    <mergeCell ref="A12:B13"/>
    <mergeCell ref="C12:D12"/>
    <mergeCell ref="C13:D13"/>
    <mergeCell ref="E12:F12"/>
    <mergeCell ref="E13:F13"/>
  </mergeCells>
  <dataValidations count="1">
    <dataValidation type="list" allowBlank="1" showInputMessage="1" showErrorMessage="1" sqref="C85:C88">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35433070866141736" right="0.35433070866141736" top="0.98425196850393704" bottom="0.98425196850393704" header="0.51181102362204722" footer="0.51181102362204722"/>
  <pageSetup paperSize="9" scale="42" orientation="portrait" r:id="rId1"/>
  <headerFooter alignWithMargins="0">
    <oddHeader>&amp;LCDH&amp;C &amp;F&amp;R&amp;A</oddHead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99"/>
    <pageSetUpPr fitToPage="1"/>
  </sheetPr>
  <dimension ref="A1:P101"/>
  <sheetViews>
    <sheetView showGridLines="0" topLeftCell="A19" zoomScale="90" zoomScaleNormal="90" workbookViewId="0">
      <selection activeCell="B87" sqref="B87"/>
    </sheetView>
  </sheetViews>
  <sheetFormatPr baseColWidth="10" defaultColWidth="9.140625" defaultRowHeight="15" customHeight="1" x14ac:dyDescent="0.2"/>
  <cols>
    <col min="1" max="1" width="45" style="31" customWidth="1"/>
    <col min="2" max="2" width="12.7109375" style="31" customWidth="1"/>
    <col min="3" max="3" width="6.7109375" style="31" customWidth="1"/>
    <col min="4" max="4" width="12.7109375" style="31" customWidth="1"/>
    <col min="5" max="5" width="6.7109375" style="31" customWidth="1"/>
    <col min="6" max="6" width="9.7109375" style="31" customWidth="1"/>
    <col min="7" max="7" width="12.7109375" style="31" customWidth="1"/>
    <col min="8" max="8" width="6.7109375" style="31" customWidth="1"/>
    <col min="9" max="16384" width="9.140625" style="31"/>
  </cols>
  <sheetData>
    <row r="1" spans="1:9" s="66" customFormat="1" ht="12" customHeight="1" x14ac:dyDescent="0.2">
      <c r="A1" s="26" t="s">
        <v>6</v>
      </c>
    </row>
    <row r="2" spans="1:9" s="66" customFormat="1" ht="12" customHeight="1" x14ac:dyDescent="0.2">
      <c r="A2" s="28" t="s">
        <v>10</v>
      </c>
    </row>
    <row r="3" spans="1:9" s="66" customFormat="1" ht="12" customHeight="1" x14ac:dyDescent="0.2">
      <c r="A3" s="28" t="s">
        <v>7</v>
      </c>
    </row>
    <row r="4" spans="1:9" ht="15" customHeight="1" x14ac:dyDescent="0.2">
      <c r="A4" s="30" t="s">
        <v>19</v>
      </c>
      <c r="B4" s="30"/>
      <c r="C4" s="30"/>
      <c r="D4" s="30"/>
      <c r="E4" s="30"/>
      <c r="F4" s="30"/>
      <c r="G4" s="30"/>
      <c r="H4" s="30"/>
      <c r="I4" s="30"/>
    </row>
    <row r="5" spans="1:9" s="131" customFormat="1" ht="15" customHeight="1" x14ac:dyDescent="0.2"/>
    <row r="6" spans="1:9" s="131" customFormat="1" ht="15" customHeight="1" x14ac:dyDescent="0.2">
      <c r="A6" s="289"/>
      <c r="B6" s="289"/>
      <c r="C6" s="289"/>
      <c r="D6" s="289"/>
      <c r="E6" s="289"/>
      <c r="F6" s="289"/>
      <c r="G6" s="289"/>
      <c r="H6" s="289"/>
      <c r="I6" s="289"/>
    </row>
    <row r="7" spans="1:9" ht="15" customHeight="1" x14ac:dyDescent="0.25">
      <c r="A7" s="62" t="s">
        <v>210</v>
      </c>
      <c r="B7" s="32"/>
      <c r="C7" s="32"/>
      <c r="D7" s="32"/>
      <c r="E7" s="32"/>
      <c r="F7" s="32"/>
      <c r="G7" s="32"/>
      <c r="H7" s="32"/>
      <c r="I7" s="289"/>
    </row>
    <row r="8" spans="1:9" ht="15" customHeight="1" x14ac:dyDescent="0.2">
      <c r="A8" s="63" t="s">
        <v>21</v>
      </c>
      <c r="B8" s="32"/>
      <c r="C8" s="32"/>
      <c r="D8" s="32"/>
      <c r="E8" s="32"/>
      <c r="F8" s="32"/>
      <c r="G8" s="32"/>
      <c r="H8" s="32"/>
      <c r="I8" s="289"/>
    </row>
    <row r="9" spans="1:9" ht="15" customHeight="1" x14ac:dyDescent="0.2">
      <c r="A9" s="63"/>
      <c r="B9" s="32"/>
      <c r="C9" s="32"/>
      <c r="D9" s="32"/>
      <c r="E9" s="32"/>
      <c r="F9" s="32"/>
      <c r="G9" s="32"/>
      <c r="H9" s="32"/>
      <c r="I9" s="289"/>
    </row>
    <row r="10" spans="1:9" ht="15" customHeight="1" x14ac:dyDescent="0.2">
      <c r="A10" s="297" t="s">
        <v>34</v>
      </c>
      <c r="B10" s="392">
        <v>2014</v>
      </c>
      <c r="C10" s="32"/>
      <c r="D10" s="32"/>
      <c r="E10" s="32"/>
      <c r="F10" s="32"/>
      <c r="G10" s="32"/>
      <c r="H10" s="32"/>
      <c r="I10" s="289"/>
    </row>
    <row r="11" spans="1:9" ht="15" customHeight="1" x14ac:dyDescent="0.2">
      <c r="A11" s="32"/>
      <c r="B11" s="32"/>
      <c r="C11" s="32"/>
      <c r="D11" s="32"/>
      <c r="E11" s="32"/>
      <c r="F11" s="32"/>
      <c r="G11" s="32"/>
      <c r="H11" s="32"/>
      <c r="I11" s="289"/>
    </row>
    <row r="12" spans="1:9" ht="15" customHeight="1" x14ac:dyDescent="0.2">
      <c r="A12" s="1017"/>
      <c r="B12" s="1651" t="s">
        <v>22</v>
      </c>
      <c r="C12" s="1652"/>
      <c r="D12" s="1652" t="s">
        <v>23</v>
      </c>
      <c r="E12" s="1652"/>
      <c r="F12" s="38" t="s">
        <v>24</v>
      </c>
      <c r="G12" s="1653" t="s">
        <v>25</v>
      </c>
      <c r="H12" s="1676"/>
      <c r="I12" s="289"/>
    </row>
    <row r="13" spans="1:9" ht="15" customHeight="1" x14ac:dyDescent="0.25">
      <c r="A13" s="314" t="s">
        <v>31</v>
      </c>
      <c r="B13" s="457">
        <f>SUM(B14:B15)</f>
        <v>6892.9412550080997</v>
      </c>
      <c r="C13" s="520"/>
      <c r="D13" s="458">
        <f>SUM(D14:D15)</f>
        <v>3699.5206942559998</v>
      </c>
      <c r="E13" s="458"/>
      <c r="F13" s="459"/>
      <c r="G13" s="1076">
        <f>SUM(B13:D13)</f>
        <v>10592.4619492641</v>
      </c>
      <c r="H13" s="658"/>
      <c r="I13" s="289"/>
    </row>
    <row r="14" spans="1:9" ht="15" customHeight="1" x14ac:dyDescent="0.2">
      <c r="A14" s="315" t="str">
        <f>"Born in "&amp;Cntry!$D$8</f>
        <v xml:space="preserve">Born in Chile </v>
      </c>
      <c r="B14" s="460">
        <v>6115.9706274999999</v>
      </c>
      <c r="C14" s="663"/>
      <c r="D14" s="461">
        <v>3122.1388517999999</v>
      </c>
      <c r="E14" s="461"/>
      <c r="F14" s="462"/>
      <c r="G14" s="1077">
        <f>SUM(B14,D14)</f>
        <v>9238.1094792999993</v>
      </c>
      <c r="H14" s="657"/>
      <c r="I14" s="289"/>
    </row>
    <row r="15" spans="1:9" ht="15" customHeight="1" x14ac:dyDescent="0.2">
      <c r="A15" s="315" t="s">
        <v>47</v>
      </c>
      <c r="B15" s="43">
        <f>SUM(B16:B19)</f>
        <v>776.97062750809994</v>
      </c>
      <c r="C15" s="1019"/>
      <c r="D15" s="44">
        <f>SUM(D16:D18)</f>
        <v>577.38184245599996</v>
      </c>
      <c r="E15" s="44"/>
      <c r="F15" s="45"/>
      <c r="G15" s="1077">
        <f t="shared" ref="G15:G19" si="0">SUM(B15,D15)</f>
        <v>1354.3524699640998</v>
      </c>
      <c r="H15" s="615"/>
      <c r="I15" s="289"/>
    </row>
    <row r="16" spans="1:9" ht="15" customHeight="1" x14ac:dyDescent="0.2">
      <c r="A16" s="316" t="str">
        <f>"- Permanent residents in "&amp;Cntry!$D$8</f>
        <v xml:space="preserve">- Permanent residents in Chile </v>
      </c>
      <c r="B16" s="43">
        <v>491.84379172199999</v>
      </c>
      <c r="C16" s="1019"/>
      <c r="D16" s="44">
        <v>384.92122830400001</v>
      </c>
      <c r="E16" s="44"/>
      <c r="F16" s="45"/>
      <c r="G16" s="1077">
        <f t="shared" si="0"/>
        <v>876.765020026</v>
      </c>
      <c r="H16" s="615"/>
      <c r="I16" s="289"/>
    </row>
    <row r="17" spans="1:9" ht="15" customHeight="1" x14ac:dyDescent="0.2">
      <c r="A17" s="316" t="str">
        <f>"- Non-permanent residents in "&amp;Cntry!$D$8</f>
        <v xml:space="preserve">- Non-permanent residents in Chile </v>
      </c>
      <c r="B17" s="43">
        <v>28.512683578099999</v>
      </c>
      <c r="C17" s="1019"/>
      <c r="D17" s="44">
        <v>0</v>
      </c>
      <c r="E17" s="44"/>
      <c r="F17" s="45"/>
      <c r="G17" s="1077">
        <f t="shared" si="0"/>
        <v>28.512683578099999</v>
      </c>
      <c r="H17" s="615"/>
      <c r="I17" s="289"/>
    </row>
    <row r="18" spans="1:9" ht="15" customHeight="1" x14ac:dyDescent="0.2">
      <c r="A18" s="317" t="s">
        <v>211</v>
      </c>
      <c r="B18" s="43">
        <v>249.48598130799999</v>
      </c>
      <c r="C18" s="1019"/>
      <c r="D18" s="44">
        <v>192.46061415200001</v>
      </c>
      <c r="E18" s="44"/>
      <c r="F18" s="45"/>
      <c r="G18" s="1077">
        <f t="shared" si="0"/>
        <v>441.94659546000003</v>
      </c>
      <c r="H18" s="615"/>
      <c r="I18" s="289"/>
    </row>
    <row r="19" spans="1:9" ht="15" customHeight="1" x14ac:dyDescent="0.2">
      <c r="A19" s="318" t="s">
        <v>212</v>
      </c>
      <c r="B19" s="463">
        <v>7.1281708999999998</v>
      </c>
      <c r="C19" s="1052"/>
      <c r="D19" s="464">
        <v>0</v>
      </c>
      <c r="E19" s="464"/>
      <c r="F19" s="465"/>
      <c r="G19" s="1053">
        <f t="shared" si="0"/>
        <v>7.1281708999999998</v>
      </c>
      <c r="H19" s="1046"/>
      <c r="I19" s="289"/>
    </row>
    <row r="20" spans="1:9" ht="15" customHeight="1" x14ac:dyDescent="0.2">
      <c r="A20" s="559" t="s">
        <v>213</v>
      </c>
      <c r="B20" s="622"/>
      <c r="C20" s="624"/>
      <c r="D20" s="623"/>
      <c r="E20" s="623"/>
      <c r="F20" s="624"/>
      <c r="G20" s="1078"/>
      <c r="H20" s="1084"/>
      <c r="I20" s="289"/>
    </row>
    <row r="21" spans="1:9" ht="15" customHeight="1" x14ac:dyDescent="0.2">
      <c r="A21" s="569" t="s">
        <v>677</v>
      </c>
      <c r="B21" s="625"/>
      <c r="C21" s="627"/>
      <c r="D21" s="626"/>
      <c r="E21" s="626"/>
      <c r="F21" s="627"/>
      <c r="G21" s="1079"/>
      <c r="H21" s="1085"/>
      <c r="I21" s="289"/>
    </row>
    <row r="22" spans="1:9" ht="15" customHeight="1" x14ac:dyDescent="0.2">
      <c r="A22" s="560" t="s">
        <v>64</v>
      </c>
      <c r="B22" s="561"/>
      <c r="C22" s="563"/>
      <c r="D22" s="562"/>
      <c r="E22" s="562"/>
      <c r="F22" s="563"/>
      <c r="G22" s="1080"/>
      <c r="H22" s="1086"/>
      <c r="I22" s="289"/>
    </row>
    <row r="23" spans="1:9" ht="15" customHeight="1" x14ac:dyDescent="0.2">
      <c r="A23" s="560" t="s">
        <v>65</v>
      </c>
      <c r="B23" s="561"/>
      <c r="C23" s="563"/>
      <c r="D23" s="562"/>
      <c r="E23" s="562"/>
      <c r="F23" s="563"/>
      <c r="G23" s="1080"/>
      <c r="H23" s="1086"/>
      <c r="I23" s="289"/>
    </row>
    <row r="24" spans="1:9" ht="15" customHeight="1" x14ac:dyDescent="0.2">
      <c r="A24" s="560" t="s">
        <v>66</v>
      </c>
      <c r="B24" s="561"/>
      <c r="C24" s="563"/>
      <c r="D24" s="562"/>
      <c r="E24" s="562"/>
      <c r="F24" s="563"/>
      <c r="G24" s="1080"/>
      <c r="H24" s="1086"/>
      <c r="I24" s="289"/>
    </row>
    <row r="25" spans="1:9" ht="15" customHeight="1" x14ac:dyDescent="0.2">
      <c r="A25" s="560" t="s">
        <v>67</v>
      </c>
      <c r="B25" s="561"/>
      <c r="C25" s="563"/>
      <c r="D25" s="562"/>
      <c r="E25" s="562"/>
      <c r="F25" s="563"/>
      <c r="G25" s="1080"/>
      <c r="H25" s="1086"/>
      <c r="I25" s="289"/>
    </row>
    <row r="26" spans="1:9" ht="15" customHeight="1" x14ac:dyDescent="0.2">
      <c r="A26" s="560" t="s">
        <v>68</v>
      </c>
      <c r="B26" s="561"/>
      <c r="C26" s="563"/>
      <c r="D26" s="562"/>
      <c r="E26" s="562"/>
      <c r="F26" s="563"/>
      <c r="G26" s="1080"/>
      <c r="H26" s="1086"/>
      <c r="I26" s="289"/>
    </row>
    <row r="27" spans="1:9" ht="15" customHeight="1" x14ac:dyDescent="0.2">
      <c r="A27" s="564" t="s">
        <v>660</v>
      </c>
      <c r="B27" s="561"/>
      <c r="C27" s="563"/>
      <c r="D27" s="562"/>
      <c r="E27" s="562"/>
      <c r="F27" s="563"/>
      <c r="G27" s="1080"/>
      <c r="H27" s="1086"/>
      <c r="I27" s="289"/>
    </row>
    <row r="28" spans="1:9" ht="15" customHeight="1" x14ac:dyDescent="0.2">
      <c r="A28" s="564" t="s">
        <v>69</v>
      </c>
      <c r="B28" s="561"/>
      <c r="C28" s="563"/>
      <c r="D28" s="562"/>
      <c r="E28" s="562"/>
      <c r="F28" s="563"/>
      <c r="G28" s="1080"/>
      <c r="H28" s="1086"/>
      <c r="I28" s="289"/>
    </row>
    <row r="29" spans="1:9" ht="15" customHeight="1" x14ac:dyDescent="0.2">
      <c r="A29" s="560" t="s">
        <v>70</v>
      </c>
      <c r="B29" s="561"/>
      <c r="C29" s="563"/>
      <c r="D29" s="562"/>
      <c r="E29" s="562"/>
      <c r="F29" s="563"/>
      <c r="G29" s="1080"/>
      <c r="H29" s="1086"/>
      <c r="I29" s="289"/>
    </row>
    <row r="30" spans="1:9" ht="15" customHeight="1" x14ac:dyDescent="0.2">
      <c r="A30" s="560" t="s">
        <v>71</v>
      </c>
      <c r="B30" s="561"/>
      <c r="C30" s="563"/>
      <c r="D30" s="562"/>
      <c r="E30" s="562"/>
      <c r="F30" s="563"/>
      <c r="G30" s="1080"/>
      <c r="H30" s="1086"/>
      <c r="I30" s="289"/>
    </row>
    <row r="31" spans="1:9" ht="15" customHeight="1" x14ac:dyDescent="0.2">
      <c r="A31" s="565" t="s">
        <v>72</v>
      </c>
      <c r="B31" s="566"/>
      <c r="C31" s="568"/>
      <c r="D31" s="567"/>
      <c r="E31" s="567"/>
      <c r="F31" s="568"/>
      <c r="G31" s="1081"/>
      <c r="H31" s="1087"/>
      <c r="I31" s="289"/>
    </row>
    <row r="32" spans="1:9" ht="15" customHeight="1" x14ac:dyDescent="0.2">
      <c r="A32" s="320" t="s">
        <v>214</v>
      </c>
      <c r="B32" s="460"/>
      <c r="C32" s="663"/>
      <c r="D32" s="461"/>
      <c r="E32" s="461"/>
      <c r="F32" s="462"/>
      <c r="G32" s="1077"/>
      <c r="H32" s="657"/>
      <c r="I32" s="289"/>
    </row>
    <row r="33" spans="1:9" ht="15" customHeight="1" x14ac:dyDescent="0.2">
      <c r="A33" s="319" t="s">
        <v>74</v>
      </c>
      <c r="B33" s="43">
        <v>128.30707610100001</v>
      </c>
      <c r="C33" s="1019"/>
      <c r="D33" s="44">
        <v>106.922563418</v>
      </c>
      <c r="E33" s="44"/>
      <c r="F33" s="45"/>
      <c r="G33" s="1021"/>
      <c r="H33" s="615"/>
      <c r="I33" s="289"/>
    </row>
    <row r="34" spans="1:9" ht="15" customHeight="1" x14ac:dyDescent="0.2">
      <c r="A34" s="319" t="s">
        <v>75</v>
      </c>
      <c r="B34" s="43">
        <v>7.1281708945300002</v>
      </c>
      <c r="C34" s="1019"/>
      <c r="D34" s="44">
        <v>0</v>
      </c>
      <c r="E34" s="44"/>
      <c r="F34" s="45"/>
      <c r="G34" s="1021"/>
      <c r="H34" s="615"/>
      <c r="I34" s="289"/>
    </row>
    <row r="35" spans="1:9" ht="15" customHeight="1" x14ac:dyDescent="0.2">
      <c r="A35" s="319" t="s">
        <v>76</v>
      </c>
      <c r="B35" s="43">
        <v>0</v>
      </c>
      <c r="C35" s="1019"/>
      <c r="D35" s="44">
        <v>7.1281708945300002</v>
      </c>
      <c r="E35" s="44"/>
      <c r="F35" s="45"/>
      <c r="G35" s="1021"/>
      <c r="H35" s="615"/>
      <c r="I35" s="289"/>
    </row>
    <row r="36" spans="1:9" ht="15" customHeight="1" x14ac:dyDescent="0.2">
      <c r="A36" s="319" t="s">
        <v>77</v>
      </c>
      <c r="B36" s="43">
        <v>7.1281708945300002</v>
      </c>
      <c r="C36" s="1019"/>
      <c r="D36" s="44">
        <v>0</v>
      </c>
      <c r="E36" s="44"/>
      <c r="F36" s="45"/>
      <c r="G36" s="1021"/>
      <c r="H36" s="615"/>
      <c r="I36" s="289"/>
    </row>
    <row r="37" spans="1:9" ht="15" customHeight="1" x14ac:dyDescent="0.2">
      <c r="A37" s="319" t="s">
        <v>78</v>
      </c>
      <c r="B37" s="43">
        <v>7.1281708945300002</v>
      </c>
      <c r="C37" s="1019"/>
      <c r="D37" s="44">
        <v>0</v>
      </c>
      <c r="E37" s="44"/>
      <c r="F37" s="45"/>
      <c r="G37" s="1021"/>
      <c r="H37" s="615"/>
      <c r="I37" s="289"/>
    </row>
    <row r="38" spans="1:9" ht="15" customHeight="1" x14ac:dyDescent="0.2">
      <c r="A38" s="319" t="s">
        <v>79</v>
      </c>
      <c r="B38" s="43">
        <v>0</v>
      </c>
      <c r="C38" s="1019"/>
      <c r="D38" s="44">
        <v>7.1281708945300002</v>
      </c>
      <c r="E38" s="44"/>
      <c r="F38" s="45"/>
      <c r="G38" s="1021"/>
      <c r="H38" s="615"/>
      <c r="I38" s="289"/>
    </row>
    <row r="39" spans="1:9" ht="15" customHeight="1" x14ac:dyDescent="0.2">
      <c r="A39" s="319" t="s">
        <v>80</v>
      </c>
      <c r="B39" s="43">
        <v>0</v>
      </c>
      <c r="C39" s="1019"/>
      <c r="D39" s="44">
        <v>0</v>
      </c>
      <c r="E39" s="44"/>
      <c r="F39" s="45"/>
      <c r="G39" s="1021"/>
      <c r="H39" s="615"/>
      <c r="I39" s="289"/>
    </row>
    <row r="40" spans="1:9" ht="15" customHeight="1" x14ac:dyDescent="0.2">
      <c r="A40" s="319" t="s">
        <v>81</v>
      </c>
      <c r="B40" s="43">
        <v>0</v>
      </c>
      <c r="C40" s="1019"/>
      <c r="D40" s="44">
        <v>0</v>
      </c>
      <c r="E40" s="44"/>
      <c r="F40" s="45"/>
      <c r="G40" s="1021"/>
      <c r="H40" s="615"/>
      <c r="I40" s="289"/>
    </row>
    <row r="41" spans="1:9" ht="15" customHeight="1" x14ac:dyDescent="0.2">
      <c r="A41" s="319" t="s">
        <v>82</v>
      </c>
      <c r="B41" s="43">
        <v>0</v>
      </c>
      <c r="C41" s="1019"/>
      <c r="D41" s="44">
        <v>0</v>
      </c>
      <c r="E41" s="44"/>
      <c r="F41" s="45"/>
      <c r="G41" s="1021"/>
      <c r="H41" s="615"/>
      <c r="I41" s="289"/>
    </row>
    <row r="42" spans="1:9" ht="15" customHeight="1" x14ac:dyDescent="0.2">
      <c r="A42" s="319" t="s">
        <v>83</v>
      </c>
      <c r="B42" s="43">
        <v>0</v>
      </c>
      <c r="C42" s="1019"/>
      <c r="D42" s="44">
        <v>0</v>
      </c>
      <c r="E42" s="44"/>
      <c r="F42" s="45"/>
      <c r="G42" s="1021"/>
      <c r="H42" s="615"/>
      <c r="I42" s="289"/>
    </row>
    <row r="43" spans="1:9" ht="15" customHeight="1" x14ac:dyDescent="0.2">
      <c r="A43" s="319" t="s">
        <v>84</v>
      </c>
      <c r="B43" s="43">
        <v>0</v>
      </c>
      <c r="C43" s="1019"/>
      <c r="D43" s="44">
        <v>0</v>
      </c>
      <c r="E43" s="44"/>
      <c r="F43" s="45"/>
      <c r="G43" s="1021"/>
      <c r="H43" s="615"/>
      <c r="I43" s="289"/>
    </row>
    <row r="44" spans="1:9" ht="15" customHeight="1" x14ac:dyDescent="0.2">
      <c r="A44" s="319" t="s">
        <v>85</v>
      </c>
      <c r="B44" s="43">
        <v>0</v>
      </c>
      <c r="C44" s="1019"/>
      <c r="D44" s="44">
        <v>0</v>
      </c>
      <c r="E44" s="44"/>
      <c r="F44" s="45"/>
      <c r="G44" s="1021"/>
      <c r="H44" s="615"/>
      <c r="I44" s="289"/>
    </row>
    <row r="45" spans="1:9" ht="15" customHeight="1" x14ac:dyDescent="0.2">
      <c r="A45" s="319" t="s">
        <v>86</v>
      </c>
      <c r="B45" s="43">
        <v>0</v>
      </c>
      <c r="C45" s="1019"/>
      <c r="D45" s="44">
        <v>0</v>
      </c>
      <c r="E45" s="44"/>
      <c r="F45" s="45"/>
      <c r="G45" s="1021"/>
      <c r="H45" s="615"/>
      <c r="I45" s="289"/>
    </row>
    <row r="46" spans="1:9" ht="15" customHeight="1" x14ac:dyDescent="0.2">
      <c r="A46" s="319" t="s">
        <v>87</v>
      </c>
      <c r="B46" s="43">
        <v>0</v>
      </c>
      <c r="C46" s="1019"/>
      <c r="D46" s="44">
        <v>0</v>
      </c>
      <c r="E46" s="44"/>
      <c r="F46" s="45"/>
      <c r="G46" s="1021"/>
      <c r="H46" s="615"/>
      <c r="I46" s="289"/>
    </row>
    <row r="47" spans="1:9" ht="15" customHeight="1" x14ac:dyDescent="0.2">
      <c r="A47" s="319" t="s">
        <v>88</v>
      </c>
      <c r="B47" s="43">
        <v>35.640854472599997</v>
      </c>
      <c r="C47" s="1019"/>
      <c r="D47" s="44">
        <v>21.384512683600001</v>
      </c>
      <c r="E47" s="44"/>
      <c r="F47" s="45"/>
      <c r="G47" s="1021"/>
      <c r="H47" s="615"/>
      <c r="I47" s="289"/>
    </row>
    <row r="48" spans="1:9" ht="15" customHeight="1" x14ac:dyDescent="0.2">
      <c r="A48" s="319" t="s">
        <v>89</v>
      </c>
      <c r="B48" s="43">
        <v>49.897196261700003</v>
      </c>
      <c r="C48" s="1019"/>
      <c r="D48" s="44">
        <v>28.512683578099999</v>
      </c>
      <c r="E48" s="44"/>
      <c r="F48" s="45"/>
      <c r="G48" s="1021"/>
      <c r="H48" s="615"/>
      <c r="I48" s="289"/>
    </row>
    <row r="49" spans="1:9" ht="15" customHeight="1" x14ac:dyDescent="0.2">
      <c r="A49" s="319" t="s">
        <v>90</v>
      </c>
      <c r="B49" s="43">
        <v>0</v>
      </c>
      <c r="C49" s="1019"/>
      <c r="D49" s="44">
        <v>7.1281708945300002</v>
      </c>
      <c r="E49" s="44"/>
      <c r="F49" s="45"/>
      <c r="G49" s="1021"/>
      <c r="H49" s="615"/>
      <c r="I49" s="289"/>
    </row>
    <row r="50" spans="1:9" ht="15" customHeight="1" x14ac:dyDescent="0.2">
      <c r="A50" s="319" t="s">
        <v>91</v>
      </c>
      <c r="B50" s="43">
        <v>0</v>
      </c>
      <c r="C50" s="1019"/>
      <c r="D50" s="44">
        <v>0</v>
      </c>
      <c r="E50" s="44"/>
      <c r="F50" s="45"/>
      <c r="G50" s="1021"/>
      <c r="H50" s="615"/>
      <c r="I50" s="289"/>
    </row>
    <row r="51" spans="1:9" ht="15" customHeight="1" x14ac:dyDescent="0.2">
      <c r="A51" s="319" t="s">
        <v>92</v>
      </c>
      <c r="B51" s="43">
        <v>0</v>
      </c>
      <c r="C51" s="1019"/>
      <c r="D51" s="44">
        <v>0</v>
      </c>
      <c r="E51" s="44"/>
      <c r="F51" s="45"/>
      <c r="G51" s="1021"/>
      <c r="H51" s="615"/>
      <c r="I51" s="289"/>
    </row>
    <row r="52" spans="1:9" ht="15" customHeight="1" x14ac:dyDescent="0.2">
      <c r="A52" s="319" t="s">
        <v>93</v>
      </c>
      <c r="B52" s="43">
        <v>0</v>
      </c>
      <c r="C52" s="1019"/>
      <c r="D52" s="44">
        <v>0</v>
      </c>
      <c r="E52" s="44"/>
      <c r="F52" s="45"/>
      <c r="G52" s="1021"/>
      <c r="H52" s="615"/>
      <c r="I52" s="289"/>
    </row>
    <row r="53" spans="1:9" ht="15" customHeight="1" x14ac:dyDescent="0.2">
      <c r="A53" s="319" t="s">
        <v>94</v>
      </c>
      <c r="B53" s="43">
        <v>0</v>
      </c>
      <c r="C53" s="1019"/>
      <c r="D53" s="44">
        <v>0</v>
      </c>
      <c r="E53" s="44"/>
      <c r="F53" s="45"/>
      <c r="G53" s="1021"/>
      <c r="H53" s="615"/>
      <c r="I53" s="289"/>
    </row>
    <row r="54" spans="1:9" ht="15" customHeight="1" x14ac:dyDescent="0.2">
      <c r="A54" s="319" t="s">
        <v>95</v>
      </c>
      <c r="B54" s="43">
        <v>28.512683578099999</v>
      </c>
      <c r="C54" s="1019"/>
      <c r="D54" s="44">
        <v>7.1281708945300002</v>
      </c>
      <c r="E54" s="44"/>
      <c r="F54" s="45"/>
      <c r="G54" s="1021"/>
      <c r="H54" s="615"/>
      <c r="I54" s="289"/>
    </row>
    <row r="55" spans="1:9" ht="15" customHeight="1" x14ac:dyDescent="0.2">
      <c r="A55" s="319" t="s">
        <v>96</v>
      </c>
      <c r="B55" s="43">
        <v>7.1281708945300002</v>
      </c>
      <c r="C55" s="1019"/>
      <c r="D55" s="44">
        <v>0</v>
      </c>
      <c r="E55" s="44"/>
      <c r="F55" s="45"/>
      <c r="G55" s="1021"/>
      <c r="H55" s="615"/>
      <c r="I55" s="289"/>
    </row>
    <row r="56" spans="1:9" ht="15" customHeight="1" x14ac:dyDescent="0.2">
      <c r="A56" s="319" t="s">
        <v>97</v>
      </c>
      <c r="B56" s="43">
        <v>0</v>
      </c>
      <c r="C56" s="1019"/>
      <c r="D56" s="44">
        <v>0</v>
      </c>
      <c r="E56" s="44"/>
      <c r="F56" s="45"/>
      <c r="G56" s="1021"/>
      <c r="H56" s="615"/>
      <c r="I56" s="289"/>
    </row>
    <row r="57" spans="1:9" ht="15" customHeight="1" x14ac:dyDescent="0.2">
      <c r="A57" s="319" t="s">
        <v>98</v>
      </c>
      <c r="B57" s="43">
        <v>0</v>
      </c>
      <c r="C57" s="1019"/>
      <c r="D57" s="44">
        <v>0</v>
      </c>
      <c r="E57" s="44"/>
      <c r="F57" s="45"/>
      <c r="G57" s="1021"/>
      <c r="H57" s="615"/>
      <c r="I57" s="289"/>
    </row>
    <row r="58" spans="1:9" ht="15" customHeight="1" x14ac:dyDescent="0.2">
      <c r="A58" s="319" t="s">
        <v>99</v>
      </c>
      <c r="B58" s="43">
        <v>0</v>
      </c>
      <c r="C58" s="1019"/>
      <c r="D58" s="44">
        <v>0</v>
      </c>
      <c r="E58" s="44"/>
      <c r="F58" s="45"/>
      <c r="G58" s="1021"/>
      <c r="H58" s="615"/>
      <c r="I58" s="289"/>
    </row>
    <row r="59" spans="1:9" ht="15" customHeight="1" x14ac:dyDescent="0.2">
      <c r="A59" s="319" t="s">
        <v>100</v>
      </c>
      <c r="B59" s="43">
        <v>0</v>
      </c>
      <c r="C59" s="1019"/>
      <c r="D59" s="44">
        <v>0</v>
      </c>
      <c r="E59" s="44"/>
      <c r="F59" s="45"/>
      <c r="G59" s="1021"/>
      <c r="H59" s="615"/>
      <c r="I59" s="289"/>
    </row>
    <row r="60" spans="1:9" ht="15" customHeight="1" x14ac:dyDescent="0.2">
      <c r="A60" s="319" t="s">
        <v>101</v>
      </c>
      <c r="B60" s="43">
        <v>0</v>
      </c>
      <c r="C60" s="1019"/>
      <c r="D60" s="44">
        <v>0</v>
      </c>
      <c r="E60" s="44"/>
      <c r="F60" s="45"/>
      <c r="G60" s="1021"/>
      <c r="H60" s="615"/>
      <c r="I60" s="289"/>
    </row>
    <row r="61" spans="1:9" ht="15" customHeight="1" x14ac:dyDescent="0.2">
      <c r="A61" s="319" t="s">
        <v>102</v>
      </c>
      <c r="B61" s="43">
        <v>0</v>
      </c>
      <c r="C61" s="1019"/>
      <c r="D61" s="44">
        <v>0</v>
      </c>
      <c r="E61" s="44"/>
      <c r="F61" s="45"/>
      <c r="G61" s="1021"/>
      <c r="H61" s="615"/>
      <c r="I61" s="289"/>
    </row>
    <row r="62" spans="1:9" ht="15" customHeight="1" x14ac:dyDescent="0.2">
      <c r="A62" s="319" t="s">
        <v>103</v>
      </c>
      <c r="B62" s="43">
        <v>28.512683578099999</v>
      </c>
      <c r="C62" s="1019"/>
      <c r="D62" s="44">
        <v>7.1281708945300002</v>
      </c>
      <c r="E62" s="44"/>
      <c r="F62" s="45"/>
      <c r="G62" s="1021"/>
      <c r="H62" s="615"/>
      <c r="I62" s="289"/>
    </row>
    <row r="63" spans="1:9" ht="15" customHeight="1" x14ac:dyDescent="0.2">
      <c r="A63" s="319" t="s">
        <v>104</v>
      </c>
      <c r="B63" s="43">
        <v>0</v>
      </c>
      <c r="C63" s="1019"/>
      <c r="D63" s="44">
        <v>0</v>
      </c>
      <c r="E63" s="44"/>
      <c r="F63" s="45"/>
      <c r="G63" s="1021"/>
      <c r="H63" s="615"/>
      <c r="I63" s="289"/>
    </row>
    <row r="64" spans="1:9" ht="15" customHeight="1" x14ac:dyDescent="0.2">
      <c r="A64" s="319" t="s">
        <v>215</v>
      </c>
      <c r="B64" s="43">
        <v>7.1281708945300002</v>
      </c>
      <c r="C64" s="1019"/>
      <c r="D64" s="44">
        <v>7.1281708945300002</v>
      </c>
      <c r="E64" s="44"/>
      <c r="F64" s="45"/>
      <c r="G64" s="1021"/>
      <c r="H64" s="615"/>
      <c r="I64" s="289"/>
    </row>
    <row r="65" spans="1:9" ht="15" customHeight="1" x14ac:dyDescent="0.2">
      <c r="A65" s="319" t="s">
        <v>105</v>
      </c>
      <c r="B65" s="43">
        <v>0</v>
      </c>
      <c r="C65" s="1019"/>
      <c r="D65" s="44">
        <v>0</v>
      </c>
      <c r="E65" s="44"/>
      <c r="F65" s="45"/>
      <c r="G65" s="1021"/>
      <c r="H65" s="615"/>
      <c r="I65" s="289"/>
    </row>
    <row r="66" spans="1:9" ht="15" customHeight="1" x14ac:dyDescent="0.2">
      <c r="A66" s="319" t="s">
        <v>106</v>
      </c>
      <c r="B66" s="43">
        <v>7.1281708945300002</v>
      </c>
      <c r="C66" s="1019"/>
      <c r="D66" s="44">
        <v>0</v>
      </c>
      <c r="E66" s="44"/>
      <c r="F66" s="45"/>
      <c r="G66" s="1021"/>
      <c r="H66" s="615"/>
      <c r="I66" s="289"/>
    </row>
    <row r="67" spans="1:9" ht="15" customHeight="1" x14ac:dyDescent="0.2">
      <c r="A67" s="319" t="s">
        <v>107</v>
      </c>
      <c r="B67" s="43">
        <v>0</v>
      </c>
      <c r="C67" s="1019"/>
      <c r="D67" s="44">
        <v>0</v>
      </c>
      <c r="E67" s="44"/>
      <c r="F67" s="45"/>
      <c r="G67" s="1021"/>
      <c r="H67" s="615"/>
      <c r="I67" s="289"/>
    </row>
    <row r="68" spans="1:9" ht="15" customHeight="1" x14ac:dyDescent="0.2">
      <c r="A68" s="319" t="s">
        <v>108</v>
      </c>
      <c r="B68" s="43">
        <v>7.1281708945300002</v>
      </c>
      <c r="C68" s="1019"/>
      <c r="D68" s="44">
        <v>7.1281708945300002</v>
      </c>
      <c r="E68" s="44"/>
      <c r="F68" s="45"/>
      <c r="G68" s="1021"/>
      <c r="H68" s="615"/>
      <c r="I68" s="289"/>
    </row>
    <row r="69" spans="1:9" ht="15" customHeight="1" x14ac:dyDescent="0.2">
      <c r="A69" s="319" t="s">
        <v>13</v>
      </c>
      <c r="B69" s="43">
        <v>0</v>
      </c>
      <c r="C69" s="1019"/>
      <c r="D69" s="44">
        <v>14.2563417891</v>
      </c>
      <c r="E69" s="44"/>
      <c r="F69" s="45"/>
      <c r="G69" s="1021"/>
      <c r="H69" s="615"/>
      <c r="I69" s="289"/>
    </row>
    <row r="70" spans="1:9" ht="15" customHeight="1" x14ac:dyDescent="0.2">
      <c r="A70" s="319" t="s">
        <v>216</v>
      </c>
      <c r="B70" s="43">
        <v>0</v>
      </c>
      <c r="C70" s="1019"/>
      <c r="D70" s="44">
        <v>0</v>
      </c>
      <c r="E70" s="44"/>
      <c r="F70" s="45"/>
      <c r="G70" s="1021"/>
      <c r="H70" s="615"/>
      <c r="I70" s="289"/>
    </row>
    <row r="71" spans="1:9" ht="15" customHeight="1" x14ac:dyDescent="0.2">
      <c r="A71" s="319" t="s">
        <v>109</v>
      </c>
      <c r="B71" s="43">
        <v>0</v>
      </c>
      <c r="C71" s="1019"/>
      <c r="D71" s="44">
        <v>0</v>
      </c>
      <c r="E71" s="44"/>
      <c r="F71" s="45"/>
      <c r="G71" s="1021"/>
      <c r="H71" s="615"/>
      <c r="I71" s="289"/>
    </row>
    <row r="72" spans="1:9" ht="15" customHeight="1" x14ac:dyDescent="0.2">
      <c r="A72" s="319" t="s">
        <v>110</v>
      </c>
      <c r="B72" s="43">
        <v>42.769025367200001</v>
      </c>
      <c r="C72" s="1019"/>
      <c r="D72" s="44">
        <v>28.512683578099999</v>
      </c>
      <c r="E72" s="44"/>
      <c r="F72" s="45"/>
      <c r="G72" s="1021"/>
      <c r="H72" s="615"/>
      <c r="I72" s="289"/>
    </row>
    <row r="73" spans="1:9" ht="15" customHeight="1" x14ac:dyDescent="0.2">
      <c r="A73" s="319" t="s">
        <v>111</v>
      </c>
      <c r="B73" s="43">
        <v>0</v>
      </c>
      <c r="C73" s="1019"/>
      <c r="D73" s="44">
        <v>0</v>
      </c>
      <c r="E73" s="44"/>
      <c r="F73" s="45"/>
      <c r="G73" s="1021"/>
      <c r="H73" s="615"/>
      <c r="I73" s="289"/>
    </row>
    <row r="74" spans="1:9" ht="15" customHeight="1" x14ac:dyDescent="0.2">
      <c r="A74" s="319" t="s">
        <v>112</v>
      </c>
      <c r="B74" s="43">
        <v>0</v>
      </c>
      <c r="C74" s="1019"/>
      <c r="D74" s="44">
        <v>14.2563417891</v>
      </c>
      <c r="E74" s="44"/>
      <c r="F74" s="45"/>
      <c r="G74" s="1021"/>
      <c r="H74" s="615"/>
      <c r="I74" s="289"/>
    </row>
    <row r="75" spans="1:9" ht="15" customHeight="1" x14ac:dyDescent="0.2">
      <c r="A75" s="319" t="s">
        <v>113</v>
      </c>
      <c r="B75" s="43">
        <v>0</v>
      </c>
      <c r="C75" s="1019"/>
      <c r="D75" s="44">
        <v>0</v>
      </c>
      <c r="E75" s="44"/>
      <c r="F75" s="45"/>
      <c r="G75" s="1021"/>
      <c r="H75" s="615"/>
      <c r="I75" s="289"/>
    </row>
    <row r="76" spans="1:9" ht="15" customHeight="1" x14ac:dyDescent="0.2">
      <c r="A76" s="319" t="s">
        <v>114</v>
      </c>
      <c r="B76" s="43">
        <v>0</v>
      </c>
      <c r="C76" s="1019"/>
      <c r="D76" s="44">
        <v>0</v>
      </c>
      <c r="E76" s="44"/>
      <c r="F76" s="45"/>
      <c r="G76" s="1021"/>
      <c r="H76" s="615"/>
      <c r="I76" s="289"/>
    </row>
    <row r="77" spans="1:9" ht="15" customHeight="1" x14ac:dyDescent="0.2">
      <c r="A77" s="319" t="s">
        <v>115</v>
      </c>
      <c r="B77" s="43">
        <v>0</v>
      </c>
      <c r="C77" s="1019"/>
      <c r="D77" s="44">
        <v>0</v>
      </c>
      <c r="E77" s="44"/>
      <c r="F77" s="45"/>
      <c r="G77" s="1021"/>
      <c r="H77" s="615"/>
      <c r="I77" s="289"/>
    </row>
    <row r="78" spans="1:9" ht="15" customHeight="1" x14ac:dyDescent="0.2">
      <c r="A78" s="319" t="s">
        <v>116</v>
      </c>
      <c r="B78" s="43">
        <v>7.1281708945300002</v>
      </c>
      <c r="C78" s="1019"/>
      <c r="D78" s="44">
        <f>7.12817089453+7.12817089453</f>
        <v>14.25634178906</v>
      </c>
      <c r="E78" s="44"/>
      <c r="F78" s="45"/>
      <c r="G78" s="1021"/>
      <c r="H78" s="615"/>
      <c r="I78" s="289"/>
    </row>
    <row r="79" spans="1:9" ht="15" customHeight="1" x14ac:dyDescent="0.2">
      <c r="A79" s="319" t="s">
        <v>117</v>
      </c>
      <c r="B79" s="466">
        <v>28.512683578099999</v>
      </c>
      <c r="C79" s="1075"/>
      <c r="D79" s="467">
        <v>71.281708945299997</v>
      </c>
      <c r="E79" s="467"/>
      <c r="F79" s="468"/>
      <c r="G79" s="1082"/>
      <c r="H79" s="1088"/>
      <c r="I79" s="289"/>
    </row>
    <row r="80" spans="1:9" ht="15" customHeight="1" x14ac:dyDescent="0.2">
      <c r="A80" s="321" t="s">
        <v>212</v>
      </c>
      <c r="B80" s="469">
        <v>7.1281708999999998</v>
      </c>
      <c r="C80" s="471"/>
      <c r="D80" s="470"/>
      <c r="E80" s="470"/>
      <c r="F80" s="471"/>
      <c r="G80" s="1083"/>
      <c r="H80" s="1089"/>
      <c r="I80" s="289"/>
    </row>
    <row r="81" spans="1:9" s="281" customFormat="1" ht="15" customHeight="1" x14ac:dyDescent="0.2">
      <c r="A81" s="322"/>
      <c r="B81" s="323"/>
      <c r="C81" s="323"/>
      <c r="D81" s="323"/>
      <c r="E81" s="323"/>
      <c r="F81" s="323"/>
      <c r="G81" s="324"/>
      <c r="H81" s="324"/>
      <c r="I81" s="289"/>
    </row>
    <row r="82" spans="1:9" s="281" customFormat="1" ht="15" customHeight="1" x14ac:dyDescent="0.2">
      <c r="A82" s="325" t="s">
        <v>118</v>
      </c>
      <c r="B82" s="323"/>
      <c r="C82" s="323"/>
      <c r="D82" s="323"/>
      <c r="E82" s="323"/>
      <c r="F82" s="323"/>
      <c r="G82" s="324"/>
      <c r="H82" s="324"/>
      <c r="I82" s="289"/>
    </row>
    <row r="83" spans="1:9" s="144" customFormat="1" ht="15" customHeight="1" x14ac:dyDescent="0.2">
      <c r="A83" s="326" t="s">
        <v>119</v>
      </c>
      <c r="B83" s="322"/>
      <c r="C83" s="322"/>
      <c r="D83" s="322"/>
      <c r="E83" s="322"/>
      <c r="F83" s="322"/>
      <c r="G83" s="322"/>
      <c r="H83" s="322"/>
      <c r="I83" s="289"/>
    </row>
    <row r="84" spans="1:9" s="144" customFormat="1" ht="15" customHeight="1" x14ac:dyDescent="0.2">
      <c r="A84" s="327" t="s">
        <v>120</v>
      </c>
      <c r="B84" s="328"/>
      <c r="C84" s="328"/>
      <c r="D84" s="328"/>
      <c r="E84" s="328"/>
      <c r="F84" s="328"/>
      <c r="G84" s="328"/>
      <c r="H84" s="328"/>
      <c r="I84" s="289"/>
    </row>
    <row r="85" spans="1:9" s="144" customFormat="1" ht="15" customHeight="1" x14ac:dyDescent="0.2">
      <c r="A85" s="329" t="s">
        <v>121</v>
      </c>
      <c r="B85" s="322"/>
      <c r="C85" s="322"/>
      <c r="D85" s="322"/>
      <c r="E85" s="322"/>
      <c r="F85" s="322"/>
      <c r="G85" s="322"/>
      <c r="H85" s="322"/>
      <c r="I85" s="289"/>
    </row>
    <row r="86" spans="1:9" s="144" customFormat="1" ht="15" customHeight="1" x14ac:dyDescent="0.2">
      <c r="A86" s="289"/>
      <c r="B86" s="322"/>
      <c r="C86" s="322"/>
      <c r="D86" s="322"/>
      <c r="E86" s="322"/>
      <c r="F86" s="322"/>
      <c r="G86" s="322"/>
      <c r="H86" s="322"/>
      <c r="I86" s="289"/>
    </row>
    <row r="87" spans="1:9" ht="12.75" x14ac:dyDescent="0.2">
      <c r="A87" s="55" t="s">
        <v>32</v>
      </c>
      <c r="B87" s="56" t="s">
        <v>1050</v>
      </c>
      <c r="C87" s="56"/>
      <c r="D87" s="57"/>
      <c r="E87" s="57"/>
      <c r="F87" s="57"/>
      <c r="G87" s="57"/>
      <c r="H87" s="57"/>
      <c r="I87" s="289"/>
    </row>
    <row r="88" spans="1:9" ht="12.75" x14ac:dyDescent="0.2">
      <c r="A88" s="32"/>
      <c r="B88" s="58"/>
      <c r="C88" s="58"/>
      <c r="D88" s="59"/>
      <c r="E88" s="59"/>
      <c r="F88" s="59"/>
      <c r="G88" s="59"/>
      <c r="H88" s="59"/>
      <c r="I88" s="289"/>
    </row>
    <row r="89" spans="1:9" ht="12.75" x14ac:dyDescent="0.2">
      <c r="A89" s="32"/>
      <c r="B89" s="58"/>
      <c r="C89" s="58"/>
      <c r="D89" s="59"/>
      <c r="E89" s="59"/>
      <c r="F89" s="59"/>
      <c r="G89" s="59"/>
      <c r="H89" s="59"/>
      <c r="I89" s="289"/>
    </row>
    <row r="90" spans="1:9" ht="12.75" x14ac:dyDescent="0.2">
      <c r="A90" s="32"/>
      <c r="B90" s="58"/>
      <c r="C90" s="58"/>
      <c r="D90" s="59"/>
      <c r="E90" s="59"/>
      <c r="F90" s="59"/>
      <c r="G90" s="59"/>
      <c r="H90" s="59"/>
      <c r="I90" s="289"/>
    </row>
    <row r="91" spans="1:9" ht="12.75" x14ac:dyDescent="0.2">
      <c r="A91" s="32"/>
      <c r="B91" s="32"/>
      <c r="C91" s="32"/>
      <c r="D91" s="32"/>
      <c r="E91" s="32"/>
      <c r="F91" s="32"/>
      <c r="G91" s="32"/>
      <c r="H91" s="32"/>
      <c r="I91" s="289"/>
    </row>
    <row r="92" spans="1:9" ht="12.75" x14ac:dyDescent="0.2">
      <c r="A92" s="55" t="s">
        <v>33</v>
      </c>
      <c r="B92" s="56"/>
      <c r="C92" s="56"/>
      <c r="D92" s="57"/>
      <c r="E92" s="57"/>
      <c r="F92" s="57"/>
      <c r="G92" s="57"/>
      <c r="H92" s="57"/>
      <c r="I92" s="289"/>
    </row>
    <row r="93" spans="1:9" ht="12.75" x14ac:dyDescent="0.2">
      <c r="A93" s="32"/>
      <c r="B93" s="58"/>
      <c r="C93" s="58"/>
      <c r="D93" s="59"/>
      <c r="E93" s="59"/>
      <c r="F93" s="59"/>
      <c r="G93" s="59"/>
      <c r="H93" s="59"/>
      <c r="I93" s="289"/>
    </row>
    <row r="94" spans="1:9" ht="12.75" x14ac:dyDescent="0.2">
      <c r="A94" s="32"/>
      <c r="B94" s="58"/>
      <c r="C94" s="58"/>
      <c r="D94" s="59"/>
      <c r="E94" s="59"/>
      <c r="F94" s="59"/>
      <c r="G94" s="59"/>
      <c r="H94" s="59"/>
      <c r="I94" s="289"/>
    </row>
    <row r="95" spans="1:9" ht="12.75" x14ac:dyDescent="0.2">
      <c r="A95" s="32"/>
      <c r="B95" s="58"/>
      <c r="C95" s="58"/>
      <c r="D95" s="59"/>
      <c r="E95" s="59"/>
      <c r="F95" s="59"/>
      <c r="G95" s="59"/>
      <c r="H95" s="59"/>
      <c r="I95" s="289"/>
    </row>
    <row r="96" spans="1:9" ht="12.75" x14ac:dyDescent="0.2">
      <c r="A96" s="32"/>
      <c r="B96" s="32"/>
      <c r="C96" s="32"/>
      <c r="D96" s="32"/>
      <c r="E96" s="32"/>
      <c r="F96" s="32"/>
      <c r="G96" s="32"/>
      <c r="H96" s="32"/>
      <c r="I96" s="289"/>
    </row>
    <row r="97" spans="1:16" ht="12.75" x14ac:dyDescent="0.2">
      <c r="A97" s="55" t="s">
        <v>661</v>
      </c>
      <c r="B97" s="548"/>
      <c r="C97" s="32"/>
      <c r="D97" s="32"/>
      <c r="E97" s="32"/>
      <c r="F97" s="32"/>
      <c r="G97" s="32"/>
      <c r="H97" s="32"/>
      <c r="I97" s="289"/>
      <c r="J97"/>
      <c r="K97"/>
      <c r="L97"/>
      <c r="M97"/>
      <c r="N97"/>
      <c r="O97"/>
      <c r="P97"/>
    </row>
    <row r="98" spans="1:16" ht="12.75" x14ac:dyDescent="0.2">
      <c r="A98" s="32" t="s">
        <v>662</v>
      </c>
      <c r="B98" s="549"/>
      <c r="C98" s="32"/>
      <c r="D98" s="32"/>
      <c r="E98" s="32"/>
      <c r="F98" s="32"/>
      <c r="G98" s="32"/>
      <c r="H98" s="32"/>
      <c r="I98" s="289"/>
      <c r="J98"/>
      <c r="K98"/>
      <c r="L98"/>
      <c r="M98"/>
      <c r="N98"/>
      <c r="O98"/>
      <c r="P98"/>
    </row>
    <row r="99" spans="1:16" ht="12.75" x14ac:dyDescent="0.2">
      <c r="A99" s="32"/>
      <c r="B99" s="549"/>
      <c r="C99" s="32"/>
      <c r="D99" s="32"/>
      <c r="E99" s="32"/>
      <c r="F99" s="32"/>
      <c r="G99" s="32"/>
      <c r="H99" s="32"/>
      <c r="I99" s="289"/>
      <c r="J99"/>
      <c r="K99"/>
      <c r="L99"/>
      <c r="M99"/>
      <c r="N99"/>
      <c r="O99"/>
      <c r="P99"/>
    </row>
    <row r="100" spans="1:16" ht="12.75" x14ac:dyDescent="0.2">
      <c r="A100" s="32"/>
      <c r="B100" s="549"/>
      <c r="C100" s="32"/>
      <c r="D100" s="32"/>
      <c r="E100" s="32"/>
      <c r="F100" s="32"/>
      <c r="G100" s="32"/>
      <c r="H100" s="32"/>
      <c r="I100" s="289"/>
      <c r="J100"/>
      <c r="K100"/>
      <c r="L100"/>
      <c r="M100"/>
      <c r="N100"/>
      <c r="O100"/>
      <c r="P100"/>
    </row>
    <row r="101" spans="1:16" ht="12.75" x14ac:dyDescent="0.2">
      <c r="A101" s="32"/>
      <c r="B101" s="32"/>
      <c r="C101" s="32"/>
      <c r="D101" s="32"/>
      <c r="E101" s="32"/>
      <c r="F101" s="32"/>
      <c r="G101" s="32"/>
      <c r="H101" s="32"/>
      <c r="I101" s="289"/>
      <c r="J101"/>
      <c r="K101"/>
      <c r="L101"/>
      <c r="M101"/>
      <c r="N101"/>
      <c r="O101"/>
      <c r="P101"/>
    </row>
  </sheetData>
  <sheetProtection password="CD9E" sheet="1" objects="1" scenarios="1" selectLockedCells="1"/>
  <mergeCells count="3">
    <mergeCell ref="B12:C12"/>
    <mergeCell ref="D12:E12"/>
    <mergeCell ref="G12:H12"/>
  </mergeCells>
  <dataValidations count="1">
    <dataValidation type="list" allowBlank="1" showInputMessage="1" showErrorMessage="1" sqref="B97:B100">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35433070866141736" right="0.35433070866141736" top="0.98425196850393704" bottom="0.98425196850393704" header="0.51181102362204722" footer="0.51181102362204722"/>
  <pageSetup paperSize="9" scale="47" orientation="portrait" r:id="rId1"/>
  <headerFooter alignWithMargins="0">
    <oddHeader>&amp;LCDH&amp;C &amp;F&amp;R&amp;A</oddHeader>
    <oddFooter>Page &amp;P of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FF99"/>
  </sheetPr>
  <dimension ref="A1:N41"/>
  <sheetViews>
    <sheetView showGridLines="0" zoomScale="90" zoomScaleNormal="90" workbookViewId="0">
      <selection activeCell="B24" sqref="B24"/>
    </sheetView>
  </sheetViews>
  <sheetFormatPr baseColWidth="10" defaultColWidth="9.140625" defaultRowHeight="15" customHeight="1" x14ac:dyDescent="0.2"/>
  <cols>
    <col min="1" max="1" width="21.42578125" style="31" customWidth="1"/>
    <col min="2" max="2" width="12.7109375" style="31" customWidth="1"/>
    <col min="3" max="3" width="6.7109375" style="31" customWidth="1"/>
    <col min="4" max="4" width="12.7109375" style="31" customWidth="1"/>
    <col min="5" max="5" width="6.7109375" style="31" customWidth="1"/>
    <col min="6" max="6" width="12.7109375" style="31" customWidth="1"/>
    <col min="7" max="7" width="6.7109375" style="31" customWidth="1"/>
    <col min="8" max="8" width="9.42578125" style="31" customWidth="1"/>
    <col min="9" max="9" width="12.7109375" style="31" customWidth="1"/>
    <col min="10" max="10" width="6.7109375" style="31" customWidth="1"/>
    <col min="11" max="11" width="10.5703125" style="31" customWidth="1"/>
    <col min="12" max="12" width="12.7109375" style="31" customWidth="1"/>
    <col min="13" max="13" width="6.7109375" style="31" customWidth="1"/>
    <col min="14" max="16384" width="9.140625" style="31"/>
  </cols>
  <sheetData>
    <row r="1" spans="1:14" s="66" customFormat="1" ht="12" customHeight="1" x14ac:dyDescent="0.2">
      <c r="A1" s="26" t="s">
        <v>6</v>
      </c>
    </row>
    <row r="2" spans="1:14" s="66" customFormat="1" ht="12" customHeight="1" x14ac:dyDescent="0.2">
      <c r="A2" s="28" t="s">
        <v>10</v>
      </c>
    </row>
    <row r="3" spans="1:14" s="66" customFormat="1" ht="12" customHeight="1" x14ac:dyDescent="0.2">
      <c r="A3" s="28" t="s">
        <v>7</v>
      </c>
    </row>
    <row r="4" spans="1:14" ht="15" customHeight="1" x14ac:dyDescent="0.2">
      <c r="A4" s="30" t="s">
        <v>19</v>
      </c>
      <c r="B4" s="30"/>
      <c r="C4" s="30"/>
      <c r="D4" s="30"/>
      <c r="E4" s="30"/>
      <c r="F4" s="30"/>
      <c r="G4" s="30"/>
      <c r="H4" s="30"/>
      <c r="I4" s="30"/>
      <c r="J4" s="30"/>
      <c r="K4" s="30"/>
      <c r="L4" s="30"/>
      <c r="M4" s="30"/>
      <c r="N4" s="30"/>
    </row>
    <row r="5" spans="1:14" s="131" customFormat="1" ht="15" customHeight="1" x14ac:dyDescent="0.2"/>
    <row r="6" spans="1:14" s="131" customFormat="1" ht="15" customHeight="1" x14ac:dyDescent="0.2">
      <c r="A6" s="289"/>
      <c r="B6" s="289"/>
      <c r="C6" s="289"/>
      <c r="D6" s="289"/>
      <c r="E6" s="289"/>
      <c r="F6" s="289"/>
      <c r="G6" s="289"/>
      <c r="H6" s="289"/>
      <c r="I6" s="289"/>
      <c r="J6" s="289"/>
      <c r="K6" s="289"/>
      <c r="L6" s="289"/>
      <c r="M6" s="289"/>
      <c r="N6" s="289"/>
    </row>
    <row r="7" spans="1:14" ht="15" customHeight="1" x14ac:dyDescent="0.25">
      <c r="A7" s="62" t="s">
        <v>811</v>
      </c>
      <c r="B7" s="32"/>
      <c r="C7" s="32"/>
      <c r="D7" s="32"/>
      <c r="E7" s="32"/>
      <c r="F7" s="32"/>
      <c r="G7" s="32"/>
      <c r="H7" s="32"/>
      <c r="I7" s="32"/>
      <c r="J7" s="32"/>
      <c r="K7" s="32"/>
      <c r="L7" s="32"/>
      <c r="M7" s="32"/>
      <c r="N7" s="289"/>
    </row>
    <row r="8" spans="1:14" ht="15" customHeight="1" x14ac:dyDescent="0.2">
      <c r="A8" s="63" t="s">
        <v>21</v>
      </c>
      <c r="B8" s="32"/>
      <c r="C8" s="32"/>
      <c r="D8" s="32"/>
      <c r="E8" s="32"/>
      <c r="F8" s="32"/>
      <c r="G8" s="32"/>
      <c r="H8" s="32"/>
      <c r="I8" s="32"/>
      <c r="J8" s="32"/>
      <c r="K8" s="32"/>
      <c r="L8" s="32"/>
      <c r="M8" s="32"/>
      <c r="N8" s="289"/>
    </row>
    <row r="9" spans="1:14" customFormat="1" ht="15" customHeight="1" x14ac:dyDescent="0.2">
      <c r="A9" s="32"/>
      <c r="B9" s="32"/>
      <c r="C9" s="32"/>
      <c r="D9" s="32"/>
      <c r="E9" s="32"/>
      <c r="F9" s="32"/>
      <c r="G9" s="32"/>
      <c r="H9" s="32"/>
      <c r="I9" s="32"/>
      <c r="J9" s="32"/>
      <c r="K9" s="32"/>
      <c r="L9" s="32"/>
      <c r="M9" s="32"/>
      <c r="N9" s="32"/>
    </row>
    <row r="10" spans="1:14" ht="15" customHeight="1" x14ac:dyDescent="0.2">
      <c r="A10" s="297" t="s">
        <v>34</v>
      </c>
      <c r="B10" s="392">
        <v>2014</v>
      </c>
      <c r="C10" s="32"/>
      <c r="D10" s="32"/>
      <c r="E10" s="32"/>
      <c r="F10" s="32"/>
      <c r="G10" s="32"/>
      <c r="H10" s="32"/>
      <c r="I10" s="32"/>
      <c r="J10" s="32"/>
      <c r="K10" s="32"/>
      <c r="L10" s="32"/>
      <c r="M10" s="32"/>
      <c r="N10" s="32"/>
    </row>
    <row r="11" spans="1:14" ht="15" customHeight="1" x14ac:dyDescent="0.2">
      <c r="A11" s="63"/>
      <c r="B11" s="32"/>
      <c r="C11" s="32"/>
      <c r="D11" s="32"/>
      <c r="E11" s="32"/>
      <c r="F11" s="32"/>
      <c r="G11" s="32"/>
      <c r="H11" s="32"/>
      <c r="I11" s="32"/>
      <c r="J11" s="32"/>
      <c r="K11" s="32"/>
      <c r="L11" s="32"/>
      <c r="M11" s="32"/>
      <c r="N11" s="289"/>
    </row>
    <row r="12" spans="1:14" ht="15" customHeight="1" x14ac:dyDescent="0.2">
      <c r="A12" s="1691"/>
      <c r="B12" s="1670"/>
      <c r="C12" s="1671"/>
      <c r="D12" s="304" t="s">
        <v>217</v>
      </c>
      <c r="E12" s="304"/>
      <c r="F12" s="304"/>
      <c r="G12" s="304"/>
      <c r="H12" s="304"/>
      <c r="I12" s="305"/>
      <c r="J12" s="305"/>
      <c r="K12" s="306" t="s">
        <v>24</v>
      </c>
      <c r="L12" s="303"/>
      <c r="M12" s="307"/>
      <c r="N12" s="289"/>
    </row>
    <row r="13" spans="1:14" ht="15" customHeight="1" x14ac:dyDescent="0.2">
      <c r="A13" s="1677"/>
      <c r="B13" s="1672" t="s">
        <v>218</v>
      </c>
      <c r="C13" s="1673"/>
      <c r="D13" s="308" t="s">
        <v>35</v>
      </c>
      <c r="E13" s="308"/>
      <c r="F13" s="308"/>
      <c r="G13" s="308"/>
      <c r="H13" s="308"/>
      <c r="I13" s="1045"/>
      <c r="J13" s="1045"/>
      <c r="K13" s="309" t="s">
        <v>576</v>
      </c>
      <c r="L13" s="1667" t="s">
        <v>25</v>
      </c>
      <c r="M13" s="1668"/>
      <c r="N13" s="289"/>
    </row>
    <row r="14" spans="1:14" ht="36.75" customHeight="1" x14ac:dyDescent="0.2">
      <c r="A14" s="310"/>
      <c r="B14" s="1674" t="str">
        <f>Cntry!$D$8</f>
        <v xml:space="preserve">Chile </v>
      </c>
      <c r="C14" s="1675"/>
      <c r="D14" s="1669" t="s">
        <v>43</v>
      </c>
      <c r="E14" s="1669"/>
      <c r="F14" s="1669" t="s">
        <v>44</v>
      </c>
      <c r="G14" s="1669"/>
      <c r="H14" s="311" t="s">
        <v>45</v>
      </c>
      <c r="I14" s="1665" t="s">
        <v>42</v>
      </c>
      <c r="J14" s="1666"/>
      <c r="K14" s="312" t="s">
        <v>575</v>
      </c>
      <c r="L14" s="1048"/>
      <c r="M14" s="313"/>
      <c r="N14" s="289"/>
    </row>
    <row r="15" spans="1:14" ht="15" customHeight="1" x14ac:dyDescent="0.2">
      <c r="A15" s="40" t="s">
        <v>26</v>
      </c>
      <c r="B15" s="407">
        <v>1967.3751668899999</v>
      </c>
      <c r="C15" s="657"/>
      <c r="D15" s="408">
        <v>106.922563418</v>
      </c>
      <c r="E15" s="1041"/>
      <c r="F15" s="409">
        <v>21.384512683600001</v>
      </c>
      <c r="G15" s="1043"/>
      <c r="H15" s="410">
        <v>92.666221628800002</v>
      </c>
      <c r="I15" s="411">
        <f>SUM(D15,F15,H15)</f>
        <v>220.97329773039999</v>
      </c>
      <c r="J15" s="410"/>
      <c r="K15" s="411"/>
      <c r="L15" s="1049">
        <f>SUM(B15,I15)</f>
        <v>2188.3484646204001</v>
      </c>
      <c r="M15" s="1064"/>
      <c r="N15" s="289"/>
    </row>
    <row r="16" spans="1:14" ht="15" customHeight="1" x14ac:dyDescent="0.2">
      <c r="A16" s="40" t="s">
        <v>27</v>
      </c>
      <c r="B16" s="428">
        <v>3507.0600801099999</v>
      </c>
      <c r="C16" s="1060"/>
      <c r="D16" s="449">
        <v>427.69025367199998</v>
      </c>
      <c r="E16" s="573"/>
      <c r="F16" s="430">
        <v>7.1281708945300002</v>
      </c>
      <c r="G16" s="1060"/>
      <c r="H16" s="431">
        <v>171.07610146900001</v>
      </c>
      <c r="I16" s="432">
        <f t="shared" ref="I16:I19" si="0">SUM(D16,F16,H16)</f>
        <v>605.89452603553002</v>
      </c>
      <c r="J16" s="431"/>
      <c r="K16" s="432"/>
      <c r="L16" s="1049">
        <f t="shared" ref="L16:L19" si="1">SUM(B16,I16)</f>
        <v>4112.9546061455303</v>
      </c>
      <c r="M16" s="1065"/>
      <c r="N16" s="289"/>
    </row>
    <row r="17" spans="1:14" ht="15" customHeight="1" x14ac:dyDescent="0.2">
      <c r="A17" s="40" t="s">
        <v>28</v>
      </c>
      <c r="B17" s="428">
        <v>1810.5554072100001</v>
      </c>
      <c r="C17" s="1060"/>
      <c r="D17" s="449">
        <v>235.22963951899999</v>
      </c>
      <c r="E17" s="573"/>
      <c r="F17" s="430">
        <v>0</v>
      </c>
      <c r="G17" s="1060"/>
      <c r="H17" s="431">
        <v>78.409879839799999</v>
      </c>
      <c r="I17" s="432">
        <f t="shared" si="0"/>
        <v>313.63951935879999</v>
      </c>
      <c r="J17" s="431"/>
      <c r="K17" s="432"/>
      <c r="L17" s="1049">
        <f t="shared" si="1"/>
        <v>2124.1949265687999</v>
      </c>
      <c r="M17" s="1065"/>
      <c r="N17" s="289"/>
    </row>
    <row r="18" spans="1:14" ht="15" customHeight="1" x14ac:dyDescent="0.2">
      <c r="A18" s="40" t="s">
        <v>29</v>
      </c>
      <c r="B18" s="428">
        <v>1589.5821094800001</v>
      </c>
      <c r="C18" s="1060"/>
      <c r="D18" s="449">
        <v>99.794392523400006</v>
      </c>
      <c r="E18" s="573"/>
      <c r="F18" s="430">
        <v>0</v>
      </c>
      <c r="G18" s="1060"/>
      <c r="H18" s="431">
        <v>71.281708945299997</v>
      </c>
      <c r="I18" s="432">
        <f t="shared" si="0"/>
        <v>171.07610146870002</v>
      </c>
      <c r="J18" s="431"/>
      <c r="K18" s="432"/>
      <c r="L18" s="1049">
        <f t="shared" si="1"/>
        <v>1760.6582109487001</v>
      </c>
      <c r="M18" s="1065"/>
      <c r="N18" s="289"/>
    </row>
    <row r="19" spans="1:14" ht="15" customHeight="1" x14ac:dyDescent="0.2">
      <c r="A19" s="40" t="s">
        <v>577</v>
      </c>
      <c r="B19" s="428">
        <v>363.53671562099998</v>
      </c>
      <c r="C19" s="1060"/>
      <c r="D19" s="449">
        <v>7.1281708945300002</v>
      </c>
      <c r="E19" s="573"/>
      <c r="F19" s="430">
        <v>0</v>
      </c>
      <c r="G19" s="1060"/>
      <c r="H19" s="431">
        <v>28.512683578099999</v>
      </c>
      <c r="I19" s="432">
        <f t="shared" si="0"/>
        <v>35.640854472629997</v>
      </c>
      <c r="J19" s="431"/>
      <c r="K19" s="432"/>
      <c r="L19" s="1049">
        <f t="shared" si="1"/>
        <v>399.17757009362998</v>
      </c>
      <c r="M19" s="1065"/>
      <c r="N19" s="289"/>
    </row>
    <row r="20" spans="1:14" ht="15" customHeight="1" x14ac:dyDescent="0.2">
      <c r="A20" s="46" t="s">
        <v>24</v>
      </c>
      <c r="B20" s="434"/>
      <c r="C20" s="1061"/>
      <c r="D20" s="453"/>
      <c r="E20" s="575"/>
      <c r="F20" s="435"/>
      <c r="G20" s="1061"/>
      <c r="H20" s="436"/>
      <c r="I20" s="437"/>
      <c r="J20" s="436"/>
      <c r="K20" s="437">
        <v>7.1281708999999998</v>
      </c>
      <c r="L20" s="1057">
        <f>K20</f>
        <v>7.1281708999999998</v>
      </c>
      <c r="M20" s="1066"/>
      <c r="N20" s="289"/>
    </row>
    <row r="21" spans="1:14" ht="15" customHeight="1" x14ac:dyDescent="0.2">
      <c r="A21" s="50" t="s">
        <v>31</v>
      </c>
      <c r="B21" s="439">
        <f>SUM(B15:B20)</f>
        <v>9238.1094793109987</v>
      </c>
      <c r="C21" s="1062"/>
      <c r="D21" s="1063">
        <f>SUM(D15:D19)</f>
        <v>876.76502002692996</v>
      </c>
      <c r="E21" s="1059"/>
      <c r="F21" s="440">
        <f>SUM(F15:F19)</f>
        <v>28.512683578130002</v>
      </c>
      <c r="G21" s="1062"/>
      <c r="H21" s="441">
        <f>SUM(H15:H20)</f>
        <v>441.94659546100002</v>
      </c>
      <c r="I21" s="442">
        <f>SUM(I15:I19)</f>
        <v>1347.22429906606</v>
      </c>
      <c r="J21" s="441"/>
      <c r="K21" s="442"/>
      <c r="L21" s="1058">
        <f>SUM(L15:L20)</f>
        <v>10592.461949277062</v>
      </c>
      <c r="M21" s="1067"/>
      <c r="N21" s="289"/>
    </row>
    <row r="22" spans="1:14" ht="15" customHeight="1" x14ac:dyDescent="0.2">
      <c r="A22" s="54" t="s">
        <v>578</v>
      </c>
      <c r="B22" s="32"/>
      <c r="C22" s="32"/>
      <c r="D22" s="32"/>
      <c r="E22" s="32"/>
      <c r="F22" s="32"/>
      <c r="G22" s="32"/>
      <c r="H22" s="32"/>
      <c r="I22" s="32"/>
      <c r="J22" s="32"/>
      <c r="K22" s="32"/>
      <c r="L22" s="32"/>
      <c r="M22" s="32"/>
      <c r="N22" s="289"/>
    </row>
    <row r="23" spans="1:14" ht="15" customHeight="1" x14ac:dyDescent="0.2">
      <c r="A23" s="32"/>
      <c r="B23" s="32"/>
      <c r="C23" s="32"/>
      <c r="D23" s="32"/>
      <c r="E23" s="32"/>
      <c r="F23" s="32"/>
      <c r="G23" s="32"/>
      <c r="H23" s="32"/>
      <c r="I23" s="32"/>
      <c r="J23" s="32"/>
      <c r="K23" s="32"/>
      <c r="L23" s="32"/>
      <c r="M23" s="32"/>
      <c r="N23" s="289"/>
    </row>
    <row r="24" spans="1:14" ht="15" customHeight="1" x14ac:dyDescent="0.2">
      <c r="A24" s="55" t="s">
        <v>32</v>
      </c>
      <c r="B24" s="56" t="s">
        <v>1054</v>
      </c>
      <c r="C24" s="56"/>
      <c r="D24" s="57"/>
      <c r="E24" s="57"/>
      <c r="F24" s="57"/>
      <c r="G24" s="57"/>
      <c r="H24" s="57"/>
      <c r="I24" s="57"/>
      <c r="J24" s="57"/>
      <c r="K24" s="57"/>
      <c r="L24" s="57"/>
      <c r="M24" s="57"/>
      <c r="N24" s="289"/>
    </row>
    <row r="25" spans="1:14" ht="15" customHeight="1" x14ac:dyDescent="0.2">
      <c r="A25" s="32"/>
      <c r="B25" s="58"/>
      <c r="C25" s="58"/>
      <c r="D25" s="59"/>
      <c r="E25" s="59"/>
      <c r="F25" s="59"/>
      <c r="G25" s="59"/>
      <c r="H25" s="59"/>
      <c r="I25" s="59"/>
      <c r="J25" s="59"/>
      <c r="K25" s="59"/>
      <c r="L25" s="59"/>
      <c r="M25" s="59"/>
      <c r="N25" s="289"/>
    </row>
    <row r="26" spans="1:14" ht="15" customHeight="1" x14ac:dyDescent="0.2">
      <c r="A26" s="32"/>
      <c r="B26" s="58"/>
      <c r="C26" s="58"/>
      <c r="D26" s="59"/>
      <c r="E26" s="59"/>
      <c r="F26" s="59"/>
      <c r="G26" s="59"/>
      <c r="H26" s="59"/>
      <c r="I26" s="59"/>
      <c r="J26" s="59"/>
      <c r="K26" s="59"/>
      <c r="L26" s="59"/>
      <c r="M26" s="59"/>
      <c r="N26" s="289"/>
    </row>
    <row r="27" spans="1:14" ht="15" customHeight="1" x14ac:dyDescent="0.2">
      <c r="A27" s="32"/>
      <c r="B27" s="58"/>
      <c r="C27" s="58"/>
      <c r="D27" s="59"/>
      <c r="E27" s="59"/>
      <c r="F27" s="59"/>
      <c r="G27" s="59"/>
      <c r="H27" s="59"/>
      <c r="I27" s="59"/>
      <c r="J27" s="59"/>
      <c r="K27" s="59"/>
      <c r="L27" s="59"/>
      <c r="M27" s="59"/>
      <c r="N27" s="289"/>
    </row>
    <row r="28" spans="1:14" ht="15" customHeight="1" x14ac:dyDescent="0.2">
      <c r="A28" s="32"/>
      <c r="B28" s="32"/>
      <c r="C28" s="32"/>
      <c r="D28" s="32"/>
      <c r="E28" s="32"/>
      <c r="F28" s="32"/>
      <c r="G28" s="32"/>
      <c r="H28" s="32"/>
      <c r="I28" s="32"/>
      <c r="J28" s="32"/>
      <c r="K28" s="32"/>
      <c r="L28" s="32"/>
      <c r="M28" s="32"/>
      <c r="N28" s="289"/>
    </row>
    <row r="29" spans="1:14" ht="15" customHeight="1" x14ac:dyDescent="0.2">
      <c r="A29" s="55" t="s">
        <v>33</v>
      </c>
      <c r="B29" s="56"/>
      <c r="C29" s="56"/>
      <c r="D29" s="57"/>
      <c r="E29" s="57"/>
      <c r="F29" s="57"/>
      <c r="G29" s="57"/>
      <c r="H29" s="57"/>
      <c r="I29" s="57"/>
      <c r="J29" s="57"/>
      <c r="K29" s="57"/>
      <c r="L29" s="57"/>
      <c r="M29" s="57"/>
      <c r="N29" s="289"/>
    </row>
    <row r="30" spans="1:14" ht="15" customHeight="1" x14ac:dyDescent="0.2">
      <c r="A30" s="32"/>
      <c r="B30" s="58"/>
      <c r="C30" s="58"/>
      <c r="D30" s="59"/>
      <c r="E30" s="59"/>
      <c r="F30" s="59"/>
      <c r="G30" s="59"/>
      <c r="H30" s="59"/>
      <c r="I30" s="59"/>
      <c r="J30" s="59"/>
      <c r="K30" s="59"/>
      <c r="L30" s="59"/>
      <c r="M30" s="59"/>
      <c r="N30" s="289"/>
    </row>
    <row r="31" spans="1:14" ht="15" customHeight="1" x14ac:dyDescent="0.2">
      <c r="A31" s="32"/>
      <c r="B31" s="58"/>
      <c r="C31" s="58"/>
      <c r="D31" s="59"/>
      <c r="E31" s="59"/>
      <c r="F31" s="59"/>
      <c r="G31" s="59"/>
      <c r="H31" s="59"/>
      <c r="I31" s="59"/>
      <c r="J31" s="59"/>
      <c r="K31" s="59"/>
      <c r="L31" s="59"/>
      <c r="M31" s="59"/>
      <c r="N31" s="289"/>
    </row>
    <row r="32" spans="1:14" ht="15" customHeight="1" x14ac:dyDescent="0.2">
      <c r="A32" s="32"/>
      <c r="B32" s="58"/>
      <c r="C32" s="58"/>
      <c r="D32" s="59"/>
      <c r="E32" s="59"/>
      <c r="F32" s="59"/>
      <c r="G32" s="59"/>
      <c r="H32" s="59"/>
      <c r="I32" s="59"/>
      <c r="J32" s="59"/>
      <c r="K32" s="59"/>
      <c r="L32" s="59"/>
      <c r="M32" s="59"/>
      <c r="N32" s="289"/>
    </row>
    <row r="33" spans="1:14" ht="15" customHeight="1" x14ac:dyDescent="0.2">
      <c r="A33" s="32"/>
      <c r="B33" s="32"/>
      <c r="C33" s="32"/>
      <c r="D33" s="32"/>
      <c r="E33" s="32"/>
      <c r="F33" s="32"/>
      <c r="G33" s="32"/>
      <c r="H33" s="32"/>
      <c r="I33" s="32"/>
      <c r="J33" s="32"/>
      <c r="K33" s="32"/>
      <c r="L33" s="32"/>
      <c r="M33" s="32"/>
      <c r="N33" s="289"/>
    </row>
    <row r="34" spans="1:14" ht="12.75" x14ac:dyDescent="0.2">
      <c r="A34" s="55" t="s">
        <v>656</v>
      </c>
      <c r="B34" s="32"/>
      <c r="C34" s="32"/>
      <c r="D34" s="32"/>
      <c r="E34" s="32"/>
      <c r="F34" s="32"/>
      <c r="G34" s="32"/>
      <c r="H34" s="32"/>
      <c r="I34" s="32"/>
      <c r="J34" s="32"/>
      <c r="K34" s="32"/>
      <c r="L34" s="32"/>
      <c r="M34" s="32"/>
      <c r="N34" s="289"/>
    </row>
    <row r="35" spans="1:14" ht="12.75" x14ac:dyDescent="0.2">
      <c r="A35" s="32"/>
      <c r="B35" s="32"/>
      <c r="C35" s="32"/>
      <c r="D35" s="32"/>
      <c r="E35" s="32"/>
      <c r="F35" s="32"/>
      <c r="G35" s="32"/>
      <c r="H35" s="32"/>
      <c r="I35" s="32"/>
      <c r="J35" s="32"/>
      <c r="K35" s="32"/>
      <c r="L35" s="32"/>
      <c r="M35" s="32"/>
      <c r="N35" s="289"/>
    </row>
    <row r="36" spans="1:14" ht="12.75" x14ac:dyDescent="0.2">
      <c r="A36" s="32"/>
      <c r="B36" s="548"/>
      <c r="C36" s="32"/>
      <c r="D36" s="32"/>
      <c r="E36" s="32"/>
      <c r="F36" s="32"/>
      <c r="G36" s="32"/>
      <c r="H36" s="32"/>
      <c r="I36" s="32"/>
      <c r="J36" s="32"/>
      <c r="K36" s="32"/>
      <c r="L36" s="32"/>
      <c r="M36" s="32"/>
      <c r="N36" s="289"/>
    </row>
    <row r="37" spans="1:14" ht="12.75" x14ac:dyDescent="0.2">
      <c r="A37" s="32"/>
      <c r="B37" s="549"/>
      <c r="C37" s="32"/>
      <c r="D37" s="32"/>
      <c r="E37" s="32"/>
      <c r="F37" s="32"/>
      <c r="G37" s="32"/>
      <c r="H37" s="32"/>
      <c r="I37" s="32"/>
      <c r="J37" s="32"/>
      <c r="K37" s="32"/>
      <c r="L37" s="32"/>
      <c r="M37" s="32"/>
      <c r="N37" s="289"/>
    </row>
    <row r="38" spans="1:14" ht="12.75" x14ac:dyDescent="0.2">
      <c r="A38" s="32"/>
      <c r="B38" s="549"/>
      <c r="C38" s="32"/>
      <c r="D38" s="32"/>
      <c r="E38" s="32"/>
      <c r="F38" s="32"/>
      <c r="G38" s="32"/>
      <c r="H38" s="32"/>
      <c r="I38" s="32"/>
      <c r="J38" s="32"/>
      <c r="K38" s="32"/>
      <c r="L38" s="32"/>
      <c r="M38" s="32"/>
      <c r="N38" s="289"/>
    </row>
    <row r="39" spans="1:14" ht="12.75" x14ac:dyDescent="0.2">
      <c r="A39" s="32"/>
      <c r="B39" s="549"/>
      <c r="C39" s="32"/>
      <c r="D39" s="32"/>
      <c r="E39" s="32"/>
      <c r="F39" s="32"/>
      <c r="G39" s="32"/>
      <c r="H39" s="32"/>
      <c r="I39" s="32"/>
      <c r="J39" s="32"/>
      <c r="K39" s="32"/>
      <c r="L39" s="32"/>
      <c r="M39" s="32"/>
      <c r="N39" s="289"/>
    </row>
    <row r="40" spans="1:14" ht="12.75" x14ac:dyDescent="0.2">
      <c r="A40" s="32"/>
      <c r="B40" s="32"/>
      <c r="C40" s="32"/>
      <c r="D40" s="32"/>
      <c r="E40" s="32"/>
      <c r="F40" s="32"/>
      <c r="G40" s="32"/>
      <c r="H40" s="32"/>
      <c r="I40" s="32"/>
      <c r="J40" s="32"/>
      <c r="K40" s="32"/>
      <c r="L40" s="32"/>
      <c r="M40" s="32"/>
      <c r="N40" s="289"/>
    </row>
    <row r="41" spans="1:14" ht="15" customHeight="1" x14ac:dyDescent="0.2">
      <c r="A41" s="32"/>
      <c r="B41" s="32"/>
      <c r="C41" s="32"/>
      <c r="D41" s="32"/>
      <c r="E41" s="32"/>
      <c r="F41" s="32"/>
      <c r="G41" s="32"/>
      <c r="H41" s="32"/>
      <c r="I41" s="32"/>
      <c r="J41" s="32"/>
      <c r="K41" s="32"/>
      <c r="L41" s="32"/>
      <c r="M41" s="32"/>
      <c r="N41" s="289"/>
    </row>
  </sheetData>
  <sheetProtection password="CD9E" sheet="1" objects="1" scenarios="1" selectLockedCells="1"/>
  <mergeCells count="8">
    <mergeCell ref="A12:A13"/>
    <mergeCell ref="B13:C13"/>
    <mergeCell ref="B14:C14"/>
    <mergeCell ref="B12:C12"/>
    <mergeCell ref="L13:M13"/>
    <mergeCell ref="D14:E14"/>
    <mergeCell ref="F14:G14"/>
    <mergeCell ref="I14:J14"/>
  </mergeCells>
  <dataValidations count="1">
    <dataValidation type="list" allowBlank="1" showInputMessage="1" showErrorMessage="1" sqref="B36:B39">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35433070866141736" right="0.35433070866141736" top="0.98425196850393704" bottom="0.98425196850393704" header="0.51181102362204722" footer="0.51181102362204722"/>
  <pageSetup paperSize="9" scale="55" orientation="landscape" r:id="rId1"/>
  <headerFooter alignWithMargins="0">
    <oddHeader>&amp;LCDH&amp;C &amp;F&amp;R&amp;A</oddHead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FF99"/>
    <pageSetUpPr fitToPage="1"/>
  </sheetPr>
  <dimension ref="A1:Q93"/>
  <sheetViews>
    <sheetView showGridLines="0" topLeftCell="A13" zoomScale="80" zoomScaleNormal="80" workbookViewId="0">
      <selection activeCell="E20" sqref="E20"/>
    </sheetView>
  </sheetViews>
  <sheetFormatPr baseColWidth="10" defaultColWidth="9.140625" defaultRowHeight="15" customHeight="1" x14ac:dyDescent="0.2"/>
  <cols>
    <col min="1" max="1" width="5.5703125" style="31" customWidth="1"/>
    <col min="2" max="2" width="75.7109375" style="31" customWidth="1"/>
    <col min="3" max="3" width="12.7109375" style="31" customWidth="1"/>
    <col min="4" max="4" width="6.7109375" style="31" customWidth="1"/>
    <col min="5" max="5" width="12.7109375" style="31" customWidth="1"/>
    <col min="6" max="6" width="6.7109375" style="31" customWidth="1"/>
    <col min="7" max="7" width="11.5703125" style="31" customWidth="1"/>
    <col min="8" max="8" width="12.7109375" style="31" customWidth="1"/>
    <col min="9" max="9" width="6.7109375" style="31" customWidth="1"/>
    <col min="10" max="16384" width="9.140625" style="31"/>
  </cols>
  <sheetData>
    <row r="1" spans="1:10" s="66" customFormat="1" ht="12" customHeight="1" x14ac:dyDescent="0.2">
      <c r="A1" s="26" t="s">
        <v>6</v>
      </c>
    </row>
    <row r="2" spans="1:10" s="66" customFormat="1" ht="12" customHeight="1" x14ac:dyDescent="0.2">
      <c r="A2" s="28" t="s">
        <v>10</v>
      </c>
    </row>
    <row r="3" spans="1:10" s="66" customFormat="1" ht="12" customHeight="1" x14ac:dyDescent="0.2">
      <c r="A3" s="28" t="s">
        <v>7</v>
      </c>
    </row>
    <row r="4" spans="1:10" ht="15" customHeight="1" x14ac:dyDescent="0.2">
      <c r="A4" s="30" t="s">
        <v>19</v>
      </c>
      <c r="B4" s="30"/>
      <c r="C4" s="30"/>
      <c r="D4" s="30"/>
      <c r="E4" s="30"/>
      <c r="F4" s="30"/>
      <c r="G4" s="30"/>
      <c r="H4" s="30"/>
      <c r="I4" s="30"/>
      <c r="J4" s="30"/>
    </row>
    <row r="5" spans="1:10" s="131" customFormat="1" ht="15" customHeight="1" x14ac:dyDescent="0.2"/>
    <row r="6" spans="1:10" s="131" customFormat="1" ht="15" customHeight="1" x14ac:dyDescent="0.2">
      <c r="A6" s="289"/>
      <c r="B6" s="289"/>
      <c r="C6" s="289"/>
      <c r="D6" s="289"/>
      <c r="E6" s="289"/>
      <c r="F6" s="289"/>
      <c r="G6" s="289"/>
      <c r="H6" s="289"/>
      <c r="I6" s="289"/>
      <c r="J6" s="289"/>
    </row>
    <row r="7" spans="1:10" ht="15" customHeight="1" x14ac:dyDescent="0.25">
      <c r="A7" s="62" t="s">
        <v>220</v>
      </c>
      <c r="B7" s="32"/>
      <c r="C7" s="32"/>
      <c r="D7" s="32"/>
      <c r="E7" s="32"/>
      <c r="F7" s="32"/>
      <c r="G7" s="32"/>
      <c r="H7" s="32"/>
      <c r="I7" s="32"/>
      <c r="J7" s="289"/>
    </row>
    <row r="8" spans="1:10" ht="15" customHeight="1" x14ac:dyDescent="0.2">
      <c r="A8" s="63" t="s">
        <v>21</v>
      </c>
      <c r="B8" s="32"/>
      <c r="C8" s="32"/>
      <c r="D8" s="32"/>
      <c r="E8" s="32"/>
      <c r="F8" s="32"/>
      <c r="G8" s="32"/>
      <c r="H8" s="32"/>
      <c r="I8" s="32"/>
      <c r="J8" s="289"/>
    </row>
    <row r="9" spans="1:10" customFormat="1" ht="15" customHeight="1" x14ac:dyDescent="0.2">
      <c r="A9" s="32"/>
      <c r="B9" s="32"/>
      <c r="C9" s="32"/>
      <c r="D9" s="32"/>
      <c r="E9" s="32"/>
      <c r="F9" s="32"/>
      <c r="G9" s="32"/>
      <c r="H9" s="32"/>
      <c r="I9" s="32"/>
      <c r="J9" s="32"/>
    </row>
    <row r="10" spans="1:10" ht="15" customHeight="1" x14ac:dyDescent="0.2">
      <c r="A10" s="32"/>
      <c r="B10" s="297" t="s">
        <v>34</v>
      </c>
      <c r="C10" s="392">
        <v>2014</v>
      </c>
      <c r="D10" s="32"/>
      <c r="E10" s="32"/>
      <c r="F10" s="32"/>
      <c r="G10" s="32"/>
      <c r="H10" s="32"/>
      <c r="I10" s="32"/>
      <c r="J10" s="32"/>
    </row>
    <row r="11" spans="1:10" ht="15" customHeight="1" x14ac:dyDescent="0.2">
      <c r="A11" s="35"/>
      <c r="B11" s="35"/>
      <c r="C11" s="32"/>
      <c r="D11" s="32"/>
      <c r="E11" s="32"/>
      <c r="F11" s="32"/>
      <c r="G11" s="32"/>
      <c r="H11" s="32"/>
      <c r="I11" s="32"/>
      <c r="J11" s="289"/>
    </row>
    <row r="12" spans="1:10" ht="15" customHeight="1" x14ac:dyDescent="0.2">
      <c r="A12" s="1681" t="s">
        <v>823</v>
      </c>
      <c r="B12" s="1682"/>
      <c r="C12" s="1685" t="s">
        <v>218</v>
      </c>
      <c r="D12" s="1686"/>
      <c r="E12" s="1689" t="s">
        <v>122</v>
      </c>
      <c r="F12" s="1689"/>
      <c r="G12" s="291" t="s">
        <v>24</v>
      </c>
      <c r="H12" s="1678" t="s">
        <v>25</v>
      </c>
      <c r="I12" s="1676"/>
      <c r="J12" s="289"/>
    </row>
    <row r="13" spans="1:10" ht="32.25" customHeight="1" x14ac:dyDescent="0.2">
      <c r="A13" s="1683"/>
      <c r="B13" s="1684"/>
      <c r="C13" s="1687" t="str">
        <f>Cntry!$D$8</f>
        <v xml:space="preserve">Chile </v>
      </c>
      <c r="D13" s="1688"/>
      <c r="E13" s="1690" t="s">
        <v>221</v>
      </c>
      <c r="F13" s="1690"/>
      <c r="G13" s="330" t="s">
        <v>219</v>
      </c>
      <c r="H13" s="1679"/>
      <c r="I13" s="1680"/>
      <c r="J13" s="289"/>
    </row>
    <row r="14" spans="1:10" ht="15" customHeight="1" x14ac:dyDescent="0.2">
      <c r="A14" s="293"/>
      <c r="B14" s="332" t="s">
        <v>31</v>
      </c>
      <c r="C14" s="443">
        <f>SUM(C15,C24,C37,C44,C51,C62)</f>
        <v>9238.1094793061002</v>
      </c>
      <c r="D14" s="571"/>
      <c r="E14" s="444">
        <f>SUM(E15,E24,E37,E44,E51,E62)</f>
        <v>1354.3524699603799</v>
      </c>
      <c r="F14" s="1068"/>
      <c r="G14" s="445"/>
      <c r="H14" s="518">
        <f>SUM(H15,H24,H37,H44,H51,H62)</f>
        <v>10592.461949266479</v>
      </c>
      <c r="I14" s="1054"/>
      <c r="J14" s="289"/>
    </row>
    <row r="15" spans="1:10" ht="15" customHeight="1" x14ac:dyDescent="0.2">
      <c r="A15" s="294">
        <v>1</v>
      </c>
      <c r="B15" s="333" t="s">
        <v>124</v>
      </c>
      <c r="C15" s="446">
        <f>SUM(C16:C22)</f>
        <v>3293.2149532711001</v>
      </c>
      <c r="D15" s="572"/>
      <c r="E15" s="447">
        <f>SUM(E16:E22)</f>
        <v>470.45927903862997</v>
      </c>
      <c r="F15" s="1069"/>
      <c r="G15" s="448"/>
      <c r="H15" s="581">
        <f>SUM(C15,E15)</f>
        <v>3763.6742323097301</v>
      </c>
      <c r="I15" s="1055"/>
      <c r="J15" s="289"/>
    </row>
    <row r="16" spans="1:10" ht="15" customHeight="1" x14ac:dyDescent="0.2">
      <c r="A16" s="296" t="s">
        <v>125</v>
      </c>
      <c r="B16" s="334" t="s">
        <v>126</v>
      </c>
      <c r="C16" s="446">
        <v>299.38317756999999</v>
      </c>
      <c r="D16" s="572"/>
      <c r="E16" s="447">
        <v>49.897196261700003</v>
      </c>
      <c r="F16" s="1069"/>
      <c r="G16" s="448"/>
      <c r="H16" s="581">
        <f>SUM(C16,E16)</f>
        <v>349.28037383169999</v>
      </c>
      <c r="I16" s="615"/>
      <c r="J16" s="289"/>
    </row>
    <row r="17" spans="1:10" ht="15" customHeight="1" x14ac:dyDescent="0.2">
      <c r="A17" s="296" t="s">
        <v>127</v>
      </c>
      <c r="B17" s="577" t="s">
        <v>128</v>
      </c>
      <c r="C17" s="449">
        <v>28.512683578099999</v>
      </c>
      <c r="D17" s="573"/>
      <c r="E17" s="430">
        <v>7.1281708945300002</v>
      </c>
      <c r="F17" s="1060"/>
      <c r="G17" s="433"/>
      <c r="H17" s="581">
        <f t="shared" ref="H17:H22" si="0">SUM(C17,E17)</f>
        <v>35.640854472629997</v>
      </c>
      <c r="I17" s="615"/>
      <c r="J17" s="289"/>
    </row>
    <row r="18" spans="1:10" ht="15" customHeight="1" x14ac:dyDescent="0.2">
      <c r="A18" s="296" t="s">
        <v>129</v>
      </c>
      <c r="B18" s="334" t="s">
        <v>130</v>
      </c>
      <c r="C18" s="449">
        <v>363.53671562099998</v>
      </c>
      <c r="D18" s="573"/>
      <c r="E18" s="430">
        <v>85.5380507343</v>
      </c>
      <c r="F18" s="1060"/>
      <c r="G18" s="433"/>
      <c r="H18" s="581">
        <f t="shared" si="0"/>
        <v>449.07476635529997</v>
      </c>
      <c r="I18" s="615"/>
      <c r="J18" s="289"/>
    </row>
    <row r="19" spans="1:10" ht="15" customHeight="1" x14ac:dyDescent="0.2">
      <c r="A19" s="296" t="s">
        <v>131</v>
      </c>
      <c r="B19" s="334" t="s">
        <v>132</v>
      </c>
      <c r="C19" s="449">
        <v>634.40720961299996</v>
      </c>
      <c r="D19" s="573"/>
      <c r="E19" s="430">
        <v>78.409879839799999</v>
      </c>
      <c r="F19" s="1060"/>
      <c r="G19" s="433"/>
      <c r="H19" s="581">
        <f t="shared" si="0"/>
        <v>712.81708945280002</v>
      </c>
      <c r="I19" s="615"/>
      <c r="J19" s="289"/>
    </row>
    <row r="20" spans="1:10" ht="15" customHeight="1" x14ac:dyDescent="0.2">
      <c r="A20" s="296" t="s">
        <v>133</v>
      </c>
      <c r="B20" s="334" t="s">
        <v>134</v>
      </c>
      <c r="C20" s="449">
        <v>427.69025367199998</v>
      </c>
      <c r="D20" s="573"/>
      <c r="E20" s="430">
        <v>64.153538050700007</v>
      </c>
      <c r="F20" s="1060"/>
      <c r="G20" s="433"/>
      <c r="H20" s="581">
        <f t="shared" si="0"/>
        <v>491.84379172269996</v>
      </c>
      <c r="I20" s="615"/>
      <c r="J20" s="289"/>
    </row>
    <row r="21" spans="1:10" ht="15" customHeight="1" x14ac:dyDescent="0.2">
      <c r="A21" s="296" t="s">
        <v>135</v>
      </c>
      <c r="B21" s="334" t="s">
        <v>136</v>
      </c>
      <c r="C21" s="449">
        <v>1418.50600801</v>
      </c>
      <c r="D21" s="573"/>
      <c r="E21" s="430">
        <v>163.947930574</v>
      </c>
      <c r="F21" s="1060"/>
      <c r="G21" s="433"/>
      <c r="H21" s="581">
        <f t="shared" si="0"/>
        <v>1582.4539385839998</v>
      </c>
      <c r="I21" s="615"/>
      <c r="J21" s="289"/>
    </row>
    <row r="22" spans="1:10" ht="15" customHeight="1" x14ac:dyDescent="0.2">
      <c r="A22" s="296">
        <v>1.7</v>
      </c>
      <c r="B22" s="334" t="s">
        <v>137</v>
      </c>
      <c r="C22" s="449">
        <v>121.178905207</v>
      </c>
      <c r="D22" s="573"/>
      <c r="E22" s="430">
        <v>21.384512683600001</v>
      </c>
      <c r="F22" s="1060"/>
      <c r="G22" s="433"/>
      <c r="H22" s="581">
        <f t="shared" si="0"/>
        <v>142.56341789059999</v>
      </c>
      <c r="I22" s="615"/>
      <c r="J22" s="289"/>
    </row>
    <row r="23" spans="1:10" ht="15" customHeight="1" x14ac:dyDescent="0.2">
      <c r="A23" s="298"/>
      <c r="B23" s="336" t="s">
        <v>138</v>
      </c>
      <c r="C23" s="450"/>
      <c r="D23" s="574"/>
      <c r="E23" s="451"/>
      <c r="F23" s="1070"/>
      <c r="G23" s="452"/>
      <c r="H23" s="1035"/>
      <c r="I23" s="1072"/>
      <c r="J23" s="289"/>
    </row>
    <row r="24" spans="1:10" ht="15" customHeight="1" x14ac:dyDescent="0.2">
      <c r="A24" s="294">
        <v>2</v>
      </c>
      <c r="B24" s="333" t="s">
        <v>139</v>
      </c>
      <c r="C24" s="446">
        <f>SUM(C25:C35)</f>
        <v>1432.7623497988002</v>
      </c>
      <c r="D24" s="572"/>
      <c r="E24" s="447">
        <f>SUM(E25:E35)</f>
        <v>171.07610146875999</v>
      </c>
      <c r="F24" s="1069"/>
      <c r="G24" s="448"/>
      <c r="H24" s="581">
        <f>SUM(C24,E24)</f>
        <v>1603.8384512675602</v>
      </c>
      <c r="I24" s="1055"/>
      <c r="J24" s="289"/>
    </row>
    <row r="25" spans="1:10" ht="15" customHeight="1" x14ac:dyDescent="0.2">
      <c r="A25" s="296" t="s">
        <v>140</v>
      </c>
      <c r="B25" s="334" t="s">
        <v>141</v>
      </c>
      <c r="C25" s="449">
        <v>192.46061415200001</v>
      </c>
      <c r="D25" s="573"/>
      <c r="E25" s="430">
        <v>7.1281708945300002</v>
      </c>
      <c r="F25" s="1060"/>
      <c r="G25" s="433"/>
      <c r="H25" s="1021">
        <f>SUM(C25,E25)</f>
        <v>199.58878504653001</v>
      </c>
      <c r="I25" s="615"/>
      <c r="J25" s="289"/>
    </row>
    <row r="26" spans="1:10" ht="15" customHeight="1" x14ac:dyDescent="0.2">
      <c r="A26" s="296" t="s">
        <v>142</v>
      </c>
      <c r="B26" s="334" t="s">
        <v>143</v>
      </c>
      <c r="C26" s="449">
        <v>449.07476635500001</v>
      </c>
      <c r="D26" s="573"/>
      <c r="E26" s="430">
        <v>57.025367156199998</v>
      </c>
      <c r="F26" s="1060"/>
      <c r="G26" s="433"/>
      <c r="H26" s="1021">
        <f t="shared" ref="H26:H35" si="1">SUM(C26,E26)</f>
        <v>506.1001335112</v>
      </c>
      <c r="I26" s="615"/>
      <c r="J26" s="289"/>
    </row>
    <row r="27" spans="1:10" ht="15" customHeight="1" x14ac:dyDescent="0.2">
      <c r="A27" s="296" t="s">
        <v>144</v>
      </c>
      <c r="B27" s="334" t="s">
        <v>145</v>
      </c>
      <c r="C27" s="449">
        <v>49.897196261700003</v>
      </c>
      <c r="D27" s="573"/>
      <c r="E27" s="430">
        <v>7.1281708945300002</v>
      </c>
      <c r="F27" s="1060"/>
      <c r="G27" s="433"/>
      <c r="H27" s="1021">
        <f t="shared" si="1"/>
        <v>57.025367156230004</v>
      </c>
      <c r="I27" s="615"/>
      <c r="J27" s="289"/>
    </row>
    <row r="28" spans="1:10" ht="15" customHeight="1" x14ac:dyDescent="0.2">
      <c r="A28" s="296" t="s">
        <v>146</v>
      </c>
      <c r="B28" s="334" t="s">
        <v>147</v>
      </c>
      <c r="C28" s="449">
        <v>128.30707610100001</v>
      </c>
      <c r="D28" s="573"/>
      <c r="E28" s="430">
        <v>14.2563417891</v>
      </c>
      <c r="F28" s="1060"/>
      <c r="G28" s="433"/>
      <c r="H28" s="1021">
        <f t="shared" si="1"/>
        <v>142.5634178901</v>
      </c>
      <c r="I28" s="615"/>
      <c r="J28" s="289"/>
    </row>
    <row r="29" spans="1:10" ht="15" customHeight="1" x14ac:dyDescent="0.2">
      <c r="A29" s="296" t="s">
        <v>148</v>
      </c>
      <c r="B29" s="334" t="s">
        <v>149</v>
      </c>
      <c r="C29" s="449">
        <v>121.178905207</v>
      </c>
      <c r="D29" s="573"/>
      <c r="E29" s="430">
        <v>21.384512683600001</v>
      </c>
      <c r="F29" s="1060"/>
      <c r="G29" s="433"/>
      <c r="H29" s="1021">
        <f t="shared" si="1"/>
        <v>142.56341789059999</v>
      </c>
      <c r="I29" s="615"/>
      <c r="J29" s="289"/>
    </row>
    <row r="30" spans="1:10" ht="15" customHeight="1" x14ac:dyDescent="0.2">
      <c r="A30" s="296" t="s">
        <v>150</v>
      </c>
      <c r="B30" s="334" t="s">
        <v>151</v>
      </c>
      <c r="C30" s="449">
        <v>28.512683578099999</v>
      </c>
      <c r="D30" s="573"/>
      <c r="E30" s="430">
        <v>0</v>
      </c>
      <c r="F30" s="1060"/>
      <c r="G30" s="433"/>
      <c r="H30" s="1021">
        <f t="shared" si="1"/>
        <v>28.512683578099999</v>
      </c>
      <c r="I30" s="615"/>
      <c r="J30" s="289"/>
    </row>
    <row r="31" spans="1:10" ht="15" customHeight="1" x14ac:dyDescent="0.2">
      <c r="A31" s="296" t="s">
        <v>152</v>
      </c>
      <c r="B31" s="334" t="s">
        <v>153</v>
      </c>
      <c r="C31" s="449">
        <v>35.640854472599997</v>
      </c>
      <c r="D31" s="573"/>
      <c r="E31" s="430">
        <v>14.2563417891</v>
      </c>
      <c r="F31" s="1060"/>
      <c r="G31" s="433"/>
      <c r="H31" s="1021">
        <f t="shared" si="1"/>
        <v>49.897196261699996</v>
      </c>
      <c r="I31" s="615"/>
      <c r="J31" s="289"/>
    </row>
    <row r="32" spans="1:10" ht="15" customHeight="1" x14ac:dyDescent="0.2">
      <c r="A32" s="296" t="s">
        <v>154</v>
      </c>
      <c r="B32" s="334" t="s">
        <v>155</v>
      </c>
      <c r="C32" s="449">
        <v>49.897196261700003</v>
      </c>
      <c r="D32" s="573"/>
      <c r="E32" s="430">
        <v>0</v>
      </c>
      <c r="F32" s="1060"/>
      <c r="G32" s="433"/>
      <c r="H32" s="1021">
        <f t="shared" si="1"/>
        <v>49.897196261700003</v>
      </c>
      <c r="I32" s="615"/>
      <c r="J32" s="289"/>
    </row>
    <row r="33" spans="1:10" ht="15" customHeight="1" x14ac:dyDescent="0.2">
      <c r="A33" s="296" t="s">
        <v>156</v>
      </c>
      <c r="B33" s="334" t="s">
        <v>157</v>
      </c>
      <c r="C33" s="449">
        <v>64.153538050700007</v>
      </c>
      <c r="D33" s="573"/>
      <c r="E33" s="430">
        <v>0</v>
      </c>
      <c r="F33" s="1060"/>
      <c r="G33" s="433"/>
      <c r="H33" s="1021">
        <f t="shared" si="1"/>
        <v>64.153538050700007</v>
      </c>
      <c r="I33" s="615"/>
      <c r="J33" s="289"/>
    </row>
    <row r="34" spans="1:10" ht="15" customHeight="1" x14ac:dyDescent="0.2">
      <c r="A34" s="300">
        <v>2.1</v>
      </c>
      <c r="B34" s="334" t="s">
        <v>158</v>
      </c>
      <c r="C34" s="449">
        <v>0</v>
      </c>
      <c r="D34" s="573"/>
      <c r="E34" s="430">
        <v>0</v>
      </c>
      <c r="F34" s="1060"/>
      <c r="G34" s="433"/>
      <c r="H34" s="1021">
        <f t="shared" si="1"/>
        <v>0</v>
      </c>
      <c r="I34" s="615"/>
      <c r="J34" s="289"/>
    </row>
    <row r="35" spans="1:10" ht="15" customHeight="1" x14ac:dyDescent="0.2">
      <c r="A35" s="296">
        <v>2.11</v>
      </c>
      <c r="B35" s="334" t="s">
        <v>159</v>
      </c>
      <c r="C35" s="449">
        <v>313.63951935900002</v>
      </c>
      <c r="D35" s="573"/>
      <c r="E35" s="430">
        <v>49.897196261700003</v>
      </c>
      <c r="F35" s="1060"/>
      <c r="G35" s="433"/>
      <c r="H35" s="1021">
        <f t="shared" si="1"/>
        <v>363.53671562070002</v>
      </c>
      <c r="I35" s="615"/>
      <c r="J35" s="289"/>
    </row>
    <row r="36" spans="1:10" ht="15" customHeight="1" x14ac:dyDescent="0.2">
      <c r="A36" s="298"/>
      <c r="B36" s="336" t="s">
        <v>160</v>
      </c>
      <c r="C36" s="450"/>
      <c r="D36" s="574"/>
      <c r="E36" s="451"/>
      <c r="F36" s="1070"/>
      <c r="G36" s="452"/>
      <c r="H36" s="1035"/>
      <c r="I36" s="1072"/>
      <c r="J36" s="289"/>
    </row>
    <row r="37" spans="1:10" ht="15" customHeight="1" x14ac:dyDescent="0.2">
      <c r="A37" s="294">
        <v>3</v>
      </c>
      <c r="B37" s="333" t="s">
        <v>161</v>
      </c>
      <c r="C37" s="446">
        <f>SUM(C38:C42)</f>
        <v>883.89319092059998</v>
      </c>
      <c r="D37" s="572"/>
      <c r="E37" s="447">
        <f>SUM(E38:E42)</f>
        <v>106.92256341802999</v>
      </c>
      <c r="F37" s="1069"/>
      <c r="G37" s="448"/>
      <c r="H37" s="581">
        <f>SUM(C37,E37)</f>
        <v>990.81575433862997</v>
      </c>
      <c r="I37" s="1055"/>
      <c r="J37" s="289"/>
    </row>
    <row r="38" spans="1:10" ht="15" customHeight="1" x14ac:dyDescent="0.2">
      <c r="A38" s="296" t="s">
        <v>162</v>
      </c>
      <c r="B38" s="334" t="s">
        <v>163</v>
      </c>
      <c r="C38" s="449">
        <v>135.43524699599999</v>
      </c>
      <c r="D38" s="573"/>
      <c r="E38" s="430">
        <v>14.2563417891</v>
      </c>
      <c r="F38" s="1060"/>
      <c r="G38" s="433"/>
      <c r="H38" s="1021">
        <f>SUM(C38,E38)</f>
        <v>149.69158878509998</v>
      </c>
      <c r="I38" s="615"/>
      <c r="J38" s="289"/>
    </row>
    <row r="39" spans="1:10" ht="15" customHeight="1" x14ac:dyDescent="0.2">
      <c r="A39" s="296" t="s">
        <v>164</v>
      </c>
      <c r="B39" s="334" t="s">
        <v>165</v>
      </c>
      <c r="C39" s="449">
        <v>35.640854472599997</v>
      </c>
      <c r="D39" s="573"/>
      <c r="E39" s="430">
        <v>7.1281708945300002</v>
      </c>
      <c r="F39" s="1060"/>
      <c r="G39" s="433"/>
      <c r="H39" s="1021">
        <f t="shared" ref="H39:H42" si="2">SUM(C39,E39)</f>
        <v>42.769025367129998</v>
      </c>
      <c r="I39" s="615"/>
      <c r="J39" s="289"/>
    </row>
    <row r="40" spans="1:10" ht="15" customHeight="1" x14ac:dyDescent="0.2">
      <c r="A40" s="296" t="s">
        <v>166</v>
      </c>
      <c r="B40" s="334" t="s">
        <v>167</v>
      </c>
      <c r="C40" s="449">
        <v>491.84379172199999</v>
      </c>
      <c r="D40" s="573"/>
      <c r="E40" s="430">
        <v>49.897196261700003</v>
      </c>
      <c r="F40" s="1060"/>
      <c r="G40" s="433"/>
      <c r="H40" s="1021">
        <f t="shared" si="2"/>
        <v>541.74098798370005</v>
      </c>
      <c r="I40" s="615"/>
      <c r="J40" s="289"/>
    </row>
    <row r="41" spans="1:10" ht="15" customHeight="1" x14ac:dyDescent="0.2">
      <c r="A41" s="296">
        <v>3.4</v>
      </c>
      <c r="B41" s="334" t="s">
        <v>168</v>
      </c>
      <c r="C41" s="449">
        <v>106.922563418</v>
      </c>
      <c r="D41" s="573"/>
      <c r="E41" s="430">
        <v>14.2563417891</v>
      </c>
      <c r="F41" s="1060"/>
      <c r="G41" s="433"/>
      <c r="H41" s="1021">
        <f t="shared" si="2"/>
        <v>121.1789052071</v>
      </c>
      <c r="I41" s="615"/>
      <c r="J41" s="289"/>
    </row>
    <row r="42" spans="1:10" ht="15" customHeight="1" x14ac:dyDescent="0.2">
      <c r="A42" s="296">
        <v>3.5</v>
      </c>
      <c r="B42" s="334" t="s">
        <v>169</v>
      </c>
      <c r="C42" s="449">
        <v>114.050734312</v>
      </c>
      <c r="D42" s="573"/>
      <c r="E42" s="430">
        <v>21.384512683600001</v>
      </c>
      <c r="F42" s="1060"/>
      <c r="G42" s="433"/>
      <c r="H42" s="1021">
        <f t="shared" si="2"/>
        <v>135.43524699560001</v>
      </c>
      <c r="I42" s="615"/>
      <c r="J42" s="289"/>
    </row>
    <row r="43" spans="1:10" ht="15" customHeight="1" x14ac:dyDescent="0.2">
      <c r="A43" s="298"/>
      <c r="B43" s="336" t="s">
        <v>170</v>
      </c>
      <c r="C43" s="450"/>
      <c r="D43" s="574"/>
      <c r="E43" s="451"/>
      <c r="F43" s="1070"/>
      <c r="G43" s="452"/>
      <c r="H43" s="1035"/>
      <c r="I43" s="1072"/>
      <c r="J43" s="289"/>
    </row>
    <row r="44" spans="1:10" ht="15" customHeight="1" x14ac:dyDescent="0.2">
      <c r="A44" s="294">
        <v>4</v>
      </c>
      <c r="B44" s="333" t="s">
        <v>171</v>
      </c>
      <c r="C44" s="446">
        <f>SUM(C45:C49)</f>
        <v>613.02269692979996</v>
      </c>
      <c r="D44" s="572"/>
      <c r="E44" s="447">
        <f>SUM(E45:E49)</f>
        <v>49.897196261730002</v>
      </c>
      <c r="F44" s="1069"/>
      <c r="G44" s="448"/>
      <c r="H44" s="581">
        <f>SUM(H45:H49)</f>
        <v>662.91989319152992</v>
      </c>
      <c r="I44" s="1055"/>
      <c r="J44" s="289"/>
    </row>
    <row r="45" spans="1:10" ht="15" customHeight="1" x14ac:dyDescent="0.2">
      <c r="A45" s="296" t="s">
        <v>172</v>
      </c>
      <c r="B45" s="334" t="s">
        <v>173</v>
      </c>
      <c r="C45" s="449">
        <v>228.101468625</v>
      </c>
      <c r="D45" s="573"/>
      <c r="E45" s="430">
        <v>0</v>
      </c>
      <c r="F45" s="1060"/>
      <c r="G45" s="433"/>
      <c r="H45" s="1021">
        <f>SUM(C45,E45)</f>
        <v>228.101468625</v>
      </c>
      <c r="I45" s="615"/>
      <c r="J45" s="289"/>
    </row>
    <row r="46" spans="1:10" ht="15" customHeight="1" x14ac:dyDescent="0.2">
      <c r="A46" s="296" t="s">
        <v>174</v>
      </c>
      <c r="B46" s="334" t="s">
        <v>175</v>
      </c>
      <c r="C46" s="449">
        <v>28.512683578099999</v>
      </c>
      <c r="D46" s="573"/>
      <c r="E46" s="430">
        <v>7.1281708945300002</v>
      </c>
      <c r="F46" s="1060"/>
      <c r="G46" s="433"/>
      <c r="H46" s="1021">
        <f t="shared" ref="H46:H49" si="3">SUM(C46,E46)</f>
        <v>35.640854472629997</v>
      </c>
      <c r="I46" s="615"/>
      <c r="J46" s="289"/>
    </row>
    <row r="47" spans="1:10" ht="15" customHeight="1" x14ac:dyDescent="0.2">
      <c r="A47" s="296">
        <v>4.3</v>
      </c>
      <c r="B47" s="334" t="s">
        <v>176</v>
      </c>
      <c r="C47" s="449">
        <v>64.153538050700007</v>
      </c>
      <c r="D47" s="573"/>
      <c r="E47" s="430">
        <v>21.384512683600001</v>
      </c>
      <c r="F47" s="1060"/>
      <c r="G47" s="433"/>
      <c r="H47" s="1021">
        <f t="shared" si="3"/>
        <v>85.538050734300015</v>
      </c>
      <c r="I47" s="615"/>
      <c r="J47" s="289"/>
    </row>
    <row r="48" spans="1:10" ht="15" customHeight="1" x14ac:dyDescent="0.2">
      <c r="A48" s="296">
        <v>4.4000000000000004</v>
      </c>
      <c r="B48" s="334" t="s">
        <v>177</v>
      </c>
      <c r="C48" s="449">
        <v>171.07610146900001</v>
      </c>
      <c r="D48" s="573"/>
      <c r="E48" s="430">
        <v>21.384512683600001</v>
      </c>
      <c r="F48" s="1060"/>
      <c r="G48" s="433"/>
      <c r="H48" s="1021">
        <f t="shared" si="3"/>
        <v>192.46061415260002</v>
      </c>
      <c r="I48" s="615"/>
      <c r="J48" s="289"/>
    </row>
    <row r="49" spans="1:10" ht="15" customHeight="1" x14ac:dyDescent="0.2">
      <c r="A49" s="296">
        <v>4.5</v>
      </c>
      <c r="B49" s="334" t="s">
        <v>178</v>
      </c>
      <c r="C49" s="449">
        <v>121.178905207</v>
      </c>
      <c r="D49" s="573"/>
      <c r="E49" s="430">
        <v>0</v>
      </c>
      <c r="F49" s="1060"/>
      <c r="G49" s="433"/>
      <c r="H49" s="1021">
        <f t="shared" si="3"/>
        <v>121.178905207</v>
      </c>
      <c r="I49" s="615"/>
      <c r="J49" s="289"/>
    </row>
    <row r="50" spans="1:10" ht="15" customHeight="1" x14ac:dyDescent="0.2">
      <c r="A50" s="298"/>
      <c r="B50" s="336" t="s">
        <v>179</v>
      </c>
      <c r="C50" s="450"/>
      <c r="D50" s="574"/>
      <c r="E50" s="451"/>
      <c r="F50" s="1070"/>
      <c r="G50" s="452"/>
      <c r="H50" s="1035"/>
      <c r="I50" s="1072"/>
      <c r="J50" s="289"/>
    </row>
    <row r="51" spans="1:10" ht="15" customHeight="1" x14ac:dyDescent="0.2">
      <c r="A51" s="294">
        <v>5</v>
      </c>
      <c r="B51" s="333" t="s">
        <v>180</v>
      </c>
      <c r="C51" s="446">
        <f>SUM(C52:C60)</f>
        <v>2109.9385847801</v>
      </c>
      <c r="D51" s="572"/>
      <c r="E51" s="447">
        <f>SUM(E52:E60)</f>
        <v>370.66488651553004</v>
      </c>
      <c r="F51" s="1069"/>
      <c r="G51" s="448"/>
      <c r="H51" s="581">
        <f>SUM(C51,E51)</f>
        <v>2480.6034712956298</v>
      </c>
      <c r="I51" s="1055"/>
      <c r="J51" s="289"/>
    </row>
    <row r="52" spans="1:10" ht="15" customHeight="1" x14ac:dyDescent="0.2">
      <c r="A52" s="296" t="s">
        <v>181</v>
      </c>
      <c r="B52" s="334" t="s">
        <v>182</v>
      </c>
      <c r="C52" s="449">
        <v>242.357810414</v>
      </c>
      <c r="D52" s="573"/>
      <c r="E52" s="430">
        <v>71.281708945299997</v>
      </c>
      <c r="F52" s="1060"/>
      <c r="G52" s="433"/>
      <c r="H52" s="1021">
        <f>SUM(C52,E52)</f>
        <v>313.63951935929998</v>
      </c>
      <c r="I52" s="615"/>
      <c r="J52" s="289"/>
    </row>
    <row r="53" spans="1:10" ht="15" customHeight="1" x14ac:dyDescent="0.2">
      <c r="A53" s="296" t="s">
        <v>183</v>
      </c>
      <c r="B53" s="334" t="s">
        <v>184</v>
      </c>
      <c r="C53" s="449">
        <v>406.30574098800003</v>
      </c>
      <c r="D53" s="573"/>
      <c r="E53" s="430">
        <v>99.794392523400006</v>
      </c>
      <c r="F53" s="1060"/>
      <c r="G53" s="433"/>
      <c r="H53" s="1021">
        <f t="shared" ref="H53:H60" si="4">SUM(C53,E53)</f>
        <v>506.10013351140003</v>
      </c>
      <c r="I53" s="615"/>
      <c r="J53" s="289"/>
    </row>
    <row r="54" spans="1:10" ht="15" customHeight="1" x14ac:dyDescent="0.2">
      <c r="A54" s="296" t="s">
        <v>185</v>
      </c>
      <c r="B54" s="334" t="s">
        <v>186</v>
      </c>
      <c r="C54" s="449">
        <v>306.51134846500003</v>
      </c>
      <c r="D54" s="573"/>
      <c r="E54" s="430">
        <v>78.409879839799999</v>
      </c>
      <c r="F54" s="1060"/>
      <c r="G54" s="433"/>
      <c r="H54" s="1021">
        <f t="shared" si="4"/>
        <v>384.92122830480002</v>
      </c>
      <c r="I54" s="615"/>
      <c r="J54" s="289"/>
    </row>
    <row r="55" spans="1:10" ht="15" customHeight="1" x14ac:dyDescent="0.2">
      <c r="A55" s="296" t="s">
        <v>187</v>
      </c>
      <c r="B55" s="334" t="s">
        <v>188</v>
      </c>
      <c r="C55" s="449">
        <v>228.101468625</v>
      </c>
      <c r="D55" s="573"/>
      <c r="E55" s="430">
        <v>14.2563417891</v>
      </c>
      <c r="F55" s="1060"/>
      <c r="G55" s="433"/>
      <c r="H55" s="1021">
        <f t="shared" si="4"/>
        <v>242.35781041409999</v>
      </c>
      <c r="I55" s="615"/>
      <c r="J55" s="289"/>
    </row>
    <row r="56" spans="1:10" ht="15" customHeight="1" x14ac:dyDescent="0.2">
      <c r="A56" s="296" t="s">
        <v>189</v>
      </c>
      <c r="B56" s="334" t="s">
        <v>190</v>
      </c>
      <c r="C56" s="449">
        <v>299.38317756999999</v>
      </c>
      <c r="D56" s="573"/>
      <c r="E56" s="430">
        <v>35.640854472599997</v>
      </c>
      <c r="F56" s="1060"/>
      <c r="G56" s="433"/>
      <c r="H56" s="1021">
        <f t="shared" si="4"/>
        <v>335.02403204259997</v>
      </c>
      <c r="I56" s="615"/>
      <c r="J56" s="289"/>
    </row>
    <row r="57" spans="1:10" ht="15" customHeight="1" x14ac:dyDescent="0.2">
      <c r="A57" s="296">
        <v>5.6</v>
      </c>
      <c r="B57" s="334" t="s">
        <v>191</v>
      </c>
      <c r="C57" s="449">
        <v>99.794392523400006</v>
      </c>
      <c r="D57" s="573"/>
      <c r="E57" s="430">
        <v>35.640854472599997</v>
      </c>
      <c r="F57" s="1060"/>
      <c r="G57" s="433"/>
      <c r="H57" s="1021">
        <f t="shared" si="4"/>
        <v>135.43524699599999</v>
      </c>
      <c r="I57" s="615"/>
      <c r="J57" s="289"/>
    </row>
    <row r="58" spans="1:10" ht="15" customHeight="1" x14ac:dyDescent="0.2">
      <c r="A58" s="296">
        <v>5.7</v>
      </c>
      <c r="B58" s="334" t="s">
        <v>192</v>
      </c>
      <c r="C58" s="449">
        <v>85.5380507343</v>
      </c>
      <c r="D58" s="573"/>
      <c r="E58" s="430">
        <v>14.2563417891</v>
      </c>
      <c r="F58" s="1060"/>
      <c r="G58" s="433"/>
      <c r="H58" s="1021">
        <f t="shared" si="4"/>
        <v>99.794392523400006</v>
      </c>
      <c r="I58" s="615"/>
      <c r="J58" s="289"/>
    </row>
    <row r="59" spans="1:10" ht="15" customHeight="1" x14ac:dyDescent="0.2">
      <c r="A59" s="296">
        <v>5.8</v>
      </c>
      <c r="B59" s="334" t="s">
        <v>193</v>
      </c>
      <c r="C59" s="449">
        <v>99.794392523400006</v>
      </c>
      <c r="D59" s="573"/>
      <c r="E59" s="430">
        <v>7.1281708945300002</v>
      </c>
      <c r="F59" s="1060"/>
      <c r="G59" s="433"/>
      <c r="H59" s="1021">
        <f t="shared" si="4"/>
        <v>106.92256341793001</v>
      </c>
      <c r="I59" s="615"/>
      <c r="J59" s="289"/>
    </row>
    <row r="60" spans="1:10" ht="15" customHeight="1" x14ac:dyDescent="0.2">
      <c r="A60" s="296">
        <v>5.9</v>
      </c>
      <c r="B60" s="334" t="s">
        <v>194</v>
      </c>
      <c r="C60" s="449">
        <v>342.15220293700003</v>
      </c>
      <c r="D60" s="573"/>
      <c r="E60" s="430">
        <v>14.2563417891</v>
      </c>
      <c r="F60" s="1060"/>
      <c r="G60" s="433"/>
      <c r="H60" s="1021">
        <f t="shared" si="4"/>
        <v>356.40854472610005</v>
      </c>
      <c r="I60" s="615"/>
      <c r="J60" s="289"/>
    </row>
    <row r="61" spans="1:10" ht="15" customHeight="1" x14ac:dyDescent="0.2">
      <c r="A61" s="298"/>
      <c r="B61" s="336" t="s">
        <v>195</v>
      </c>
      <c r="C61" s="450"/>
      <c r="D61" s="574"/>
      <c r="E61" s="451"/>
      <c r="F61" s="1070"/>
      <c r="G61" s="452"/>
      <c r="H61" s="1035"/>
      <c r="I61" s="1072"/>
      <c r="J61" s="289"/>
    </row>
    <row r="62" spans="1:10" ht="15" customHeight="1" x14ac:dyDescent="0.2">
      <c r="A62" s="294">
        <v>6</v>
      </c>
      <c r="B62" s="333" t="s">
        <v>196</v>
      </c>
      <c r="C62" s="446">
        <f>SUM(C63:C67)</f>
        <v>905.27770360570003</v>
      </c>
      <c r="D62" s="572"/>
      <c r="E62" s="447">
        <f>SUM(E63:E67)</f>
        <v>185.33244325769999</v>
      </c>
      <c r="F62" s="1069"/>
      <c r="G62" s="448"/>
      <c r="H62" s="581">
        <f>SUM(H63:H67)</f>
        <v>1090.6101468633999</v>
      </c>
      <c r="I62" s="1055"/>
      <c r="J62" s="289"/>
    </row>
    <row r="63" spans="1:10" ht="15" customHeight="1" x14ac:dyDescent="0.2">
      <c r="A63" s="296" t="s">
        <v>197</v>
      </c>
      <c r="B63" s="334" t="s">
        <v>198</v>
      </c>
      <c r="C63" s="449">
        <v>142.563417891</v>
      </c>
      <c r="D63" s="573"/>
      <c r="E63" s="430">
        <v>42.769025367200001</v>
      </c>
      <c r="F63" s="1060"/>
      <c r="G63" s="433"/>
      <c r="H63" s="1021">
        <f>SUM(C63,E63)</f>
        <v>185.33244325819999</v>
      </c>
      <c r="I63" s="615"/>
      <c r="J63" s="289"/>
    </row>
    <row r="64" spans="1:10" ht="15" customHeight="1" x14ac:dyDescent="0.2">
      <c r="A64" s="296" t="s">
        <v>199</v>
      </c>
      <c r="B64" s="334" t="s">
        <v>200</v>
      </c>
      <c r="C64" s="449">
        <v>242.357810414</v>
      </c>
      <c r="D64" s="573"/>
      <c r="E64" s="430">
        <v>21.384512683600001</v>
      </c>
      <c r="F64" s="1060"/>
      <c r="G64" s="433"/>
      <c r="H64" s="1021">
        <f t="shared" ref="H64:H67" si="5">SUM(C64,E64)</f>
        <v>263.74232309759998</v>
      </c>
      <c r="I64" s="615"/>
      <c r="J64" s="289"/>
    </row>
    <row r="65" spans="1:10" ht="15" customHeight="1" x14ac:dyDescent="0.2">
      <c r="A65" s="296" t="s">
        <v>201</v>
      </c>
      <c r="B65" s="334" t="s">
        <v>202</v>
      </c>
      <c r="C65" s="449">
        <v>163.947930574</v>
      </c>
      <c r="D65" s="573"/>
      <c r="E65" s="430">
        <v>28.512683578099999</v>
      </c>
      <c r="F65" s="1060"/>
      <c r="G65" s="433"/>
      <c r="H65" s="1021">
        <f t="shared" si="5"/>
        <v>192.46061415209999</v>
      </c>
      <c r="I65" s="615"/>
      <c r="J65" s="289"/>
    </row>
    <row r="66" spans="1:10" ht="15" customHeight="1" x14ac:dyDescent="0.2">
      <c r="A66" s="296" t="s">
        <v>203</v>
      </c>
      <c r="B66" s="334" t="s">
        <v>204</v>
      </c>
      <c r="C66" s="449">
        <v>49.897196261700003</v>
      </c>
      <c r="D66" s="573"/>
      <c r="E66" s="430">
        <v>35.640854472599997</v>
      </c>
      <c r="F66" s="1060"/>
      <c r="G66" s="433"/>
      <c r="H66" s="1021">
        <f t="shared" si="5"/>
        <v>85.5380507343</v>
      </c>
      <c r="I66" s="615"/>
      <c r="J66" s="289"/>
    </row>
    <row r="67" spans="1:10" ht="15" customHeight="1" x14ac:dyDescent="0.2">
      <c r="A67" s="296" t="s">
        <v>205</v>
      </c>
      <c r="B67" s="334" t="s">
        <v>206</v>
      </c>
      <c r="C67" s="453">
        <v>306.51134846500003</v>
      </c>
      <c r="D67" s="575"/>
      <c r="E67" s="435">
        <v>57.025367156199998</v>
      </c>
      <c r="F67" s="1061"/>
      <c r="G67" s="438"/>
      <c r="H67" s="1021">
        <f t="shared" si="5"/>
        <v>363.53671562120002</v>
      </c>
      <c r="I67" s="615"/>
      <c r="J67" s="289"/>
    </row>
    <row r="68" spans="1:10" ht="15" customHeight="1" x14ac:dyDescent="0.2">
      <c r="A68" s="298"/>
      <c r="B68" s="336" t="s">
        <v>207</v>
      </c>
      <c r="C68" s="450"/>
      <c r="D68" s="574"/>
      <c r="E68" s="451"/>
      <c r="F68" s="1070"/>
      <c r="G68" s="452"/>
      <c r="H68" s="1035"/>
      <c r="I68" s="1072"/>
      <c r="J68" s="289"/>
    </row>
    <row r="69" spans="1:10" ht="15" customHeight="1" x14ac:dyDescent="0.2">
      <c r="A69" s="301"/>
      <c r="B69" s="337" t="s">
        <v>208</v>
      </c>
      <c r="C69" s="454"/>
      <c r="D69" s="576"/>
      <c r="E69" s="455"/>
      <c r="F69" s="1071"/>
      <c r="G69" s="456"/>
      <c r="H69" s="1073"/>
      <c r="I69" s="1074"/>
      <c r="J69" s="289"/>
    </row>
    <row r="70" spans="1:10" ht="15" customHeight="1" x14ac:dyDescent="0.2">
      <c r="A70" s="32"/>
      <c r="B70" s="302"/>
      <c r="C70" s="32"/>
      <c r="D70" s="32"/>
      <c r="E70" s="32"/>
      <c r="F70" s="32"/>
      <c r="G70" s="32"/>
      <c r="H70" s="32"/>
      <c r="I70" s="32"/>
      <c r="J70" s="289"/>
    </row>
    <row r="71" spans="1:10" ht="15" customHeight="1" x14ac:dyDescent="0.2">
      <c r="A71" s="32"/>
      <c r="B71" s="32"/>
      <c r="C71" s="32"/>
      <c r="D71" s="32"/>
      <c r="E71" s="32"/>
      <c r="F71" s="32"/>
      <c r="G71" s="32"/>
      <c r="H71" s="32"/>
      <c r="I71" s="32"/>
      <c r="J71" s="289"/>
    </row>
    <row r="72" spans="1:10" ht="15" customHeight="1" x14ac:dyDescent="0.2">
      <c r="A72" s="32"/>
      <c r="B72" s="32"/>
      <c r="C72" s="32"/>
      <c r="D72" s="32"/>
      <c r="E72" s="32"/>
      <c r="F72" s="32"/>
      <c r="G72" s="32"/>
      <c r="H72" s="32"/>
      <c r="I72" s="32"/>
      <c r="J72" s="289"/>
    </row>
    <row r="73" spans="1:10" ht="15" customHeight="1" x14ac:dyDescent="0.2">
      <c r="A73" s="32"/>
      <c r="B73" s="32"/>
      <c r="C73" s="32"/>
      <c r="D73" s="32"/>
      <c r="E73" s="32"/>
      <c r="F73" s="32"/>
      <c r="G73" s="32"/>
      <c r="H73" s="32"/>
      <c r="I73" s="32"/>
      <c r="J73" s="289"/>
    </row>
    <row r="74" spans="1:10" ht="15" customHeight="1" x14ac:dyDescent="0.2">
      <c r="A74" s="55" t="s">
        <v>32</v>
      </c>
      <c r="B74" s="32"/>
      <c r="C74" s="32"/>
      <c r="D74" s="32"/>
      <c r="E74" s="32"/>
      <c r="F74" s="32"/>
      <c r="G74" s="32"/>
      <c r="H74" s="32"/>
      <c r="I74" s="32"/>
      <c r="J74" s="289"/>
    </row>
    <row r="75" spans="1:10" ht="15" customHeight="1" x14ac:dyDescent="0.2">
      <c r="A75" s="55"/>
      <c r="B75" s="56"/>
      <c r="C75" s="57"/>
      <c r="D75" s="57"/>
      <c r="E75" s="57"/>
      <c r="F75" s="57"/>
      <c r="G75" s="57"/>
      <c r="H75" s="57"/>
      <c r="I75" s="57"/>
      <c r="J75" s="289"/>
    </row>
    <row r="76" spans="1:10" ht="15" customHeight="1" x14ac:dyDescent="0.2">
      <c r="A76" s="32"/>
      <c r="B76" s="58"/>
      <c r="C76" s="59"/>
      <c r="D76" s="59"/>
      <c r="E76" s="59"/>
      <c r="F76" s="59"/>
      <c r="G76" s="59"/>
      <c r="H76" s="59"/>
      <c r="I76" s="59"/>
      <c r="J76" s="289"/>
    </row>
    <row r="77" spans="1:10" ht="15" customHeight="1" x14ac:dyDescent="0.2">
      <c r="A77" s="32"/>
      <c r="B77" s="58"/>
      <c r="C77" s="59"/>
      <c r="D77" s="59"/>
      <c r="E77" s="59"/>
      <c r="F77" s="59"/>
      <c r="G77" s="59"/>
      <c r="H77" s="59"/>
      <c r="I77" s="59"/>
      <c r="J77" s="289"/>
    </row>
    <row r="78" spans="1:10" ht="15" customHeight="1" x14ac:dyDescent="0.2">
      <c r="A78" s="32"/>
      <c r="B78" s="58"/>
      <c r="C78" s="59"/>
      <c r="D78" s="59"/>
      <c r="E78" s="59"/>
      <c r="F78" s="59"/>
      <c r="G78" s="59"/>
      <c r="H78" s="59"/>
      <c r="I78" s="59"/>
      <c r="J78" s="289"/>
    </row>
    <row r="79" spans="1:10" ht="15" customHeight="1" x14ac:dyDescent="0.2">
      <c r="A79" s="32"/>
      <c r="B79" s="32"/>
      <c r="C79" s="32"/>
      <c r="D79" s="32"/>
      <c r="E79" s="32"/>
      <c r="F79" s="32"/>
      <c r="G79" s="32"/>
      <c r="H79" s="32"/>
      <c r="I79" s="32"/>
      <c r="J79" s="289"/>
    </row>
    <row r="80" spans="1:10" ht="15" customHeight="1" x14ac:dyDescent="0.2">
      <c r="A80" s="55" t="s">
        <v>33</v>
      </c>
      <c r="B80" s="32"/>
      <c r="C80" s="32"/>
      <c r="D80" s="32"/>
      <c r="E80" s="32"/>
      <c r="F80" s="32"/>
      <c r="G80" s="32"/>
      <c r="H80" s="32"/>
      <c r="I80" s="32"/>
      <c r="J80" s="289"/>
    </row>
    <row r="81" spans="1:17" ht="15" customHeight="1" x14ac:dyDescent="0.2">
      <c r="A81" s="55"/>
      <c r="B81" s="56"/>
      <c r="C81" s="57"/>
      <c r="D81" s="57"/>
      <c r="E81" s="57"/>
      <c r="F81" s="57"/>
      <c r="G81" s="57"/>
      <c r="H81" s="57"/>
      <c r="I81" s="57"/>
      <c r="J81" s="289"/>
    </row>
    <row r="82" spans="1:17" ht="15" customHeight="1" x14ac:dyDescent="0.2">
      <c r="A82" s="32"/>
      <c r="B82" s="58"/>
      <c r="C82" s="59"/>
      <c r="D82" s="59"/>
      <c r="E82" s="59"/>
      <c r="F82" s="59"/>
      <c r="G82" s="59"/>
      <c r="H82" s="59"/>
      <c r="I82" s="59"/>
      <c r="J82" s="289"/>
    </row>
    <row r="83" spans="1:17" ht="15" customHeight="1" x14ac:dyDescent="0.2">
      <c r="A83" s="32"/>
      <c r="B83" s="58"/>
      <c r="C83" s="59"/>
      <c r="D83" s="59"/>
      <c r="E83" s="59"/>
      <c r="F83" s="59"/>
      <c r="G83" s="59"/>
      <c r="H83" s="59"/>
      <c r="I83" s="59"/>
      <c r="J83" s="289"/>
    </row>
    <row r="84" spans="1:17" ht="15" customHeight="1" x14ac:dyDescent="0.2">
      <c r="A84" s="32"/>
      <c r="B84" s="58"/>
      <c r="C84" s="59"/>
      <c r="D84" s="59"/>
      <c r="E84" s="59"/>
      <c r="F84" s="59"/>
      <c r="G84" s="59"/>
      <c r="H84" s="59"/>
      <c r="I84" s="59"/>
      <c r="J84" s="289"/>
    </row>
    <row r="85" spans="1:17" ht="15" customHeight="1" x14ac:dyDescent="0.2">
      <c r="A85" s="32"/>
      <c r="B85" s="32"/>
      <c r="C85" s="32"/>
      <c r="D85" s="32"/>
      <c r="E85" s="32"/>
      <c r="F85" s="32"/>
      <c r="G85" s="32"/>
      <c r="H85" s="32"/>
      <c r="I85" s="32"/>
      <c r="J85" s="289"/>
      <c r="K85"/>
      <c r="L85"/>
      <c r="M85"/>
      <c r="N85"/>
      <c r="O85"/>
      <c r="P85"/>
      <c r="Q85"/>
    </row>
    <row r="86" spans="1:17" ht="12.75" x14ac:dyDescent="0.2">
      <c r="A86" s="55" t="s">
        <v>656</v>
      </c>
      <c r="B86" s="32"/>
      <c r="C86" s="548"/>
      <c r="D86" s="32"/>
      <c r="E86" s="32"/>
      <c r="F86" s="32"/>
      <c r="G86" s="32"/>
      <c r="H86" s="32"/>
      <c r="I86" s="32"/>
      <c r="J86" s="289"/>
      <c r="K86"/>
      <c r="L86"/>
      <c r="M86"/>
      <c r="N86"/>
      <c r="O86"/>
      <c r="P86"/>
      <c r="Q86"/>
    </row>
    <row r="87" spans="1:17" ht="12.75" x14ac:dyDescent="0.2">
      <c r="A87" s="32"/>
      <c r="B87" s="32"/>
      <c r="C87" s="549"/>
      <c r="D87" s="32"/>
      <c r="E87" s="32"/>
      <c r="F87" s="32"/>
      <c r="G87" s="32"/>
      <c r="H87" s="32"/>
      <c r="I87" s="32"/>
      <c r="J87" s="289"/>
      <c r="K87"/>
      <c r="L87"/>
      <c r="M87"/>
      <c r="N87"/>
      <c r="O87"/>
      <c r="P87"/>
      <c r="Q87"/>
    </row>
    <row r="88" spans="1:17" ht="12.75" x14ac:dyDescent="0.2">
      <c r="A88" s="32"/>
      <c r="B88" s="32"/>
      <c r="C88" s="549"/>
      <c r="D88" s="32"/>
      <c r="E88" s="32"/>
      <c r="F88" s="32"/>
      <c r="G88" s="32"/>
      <c r="H88" s="32"/>
      <c r="I88" s="32"/>
      <c r="J88" s="289"/>
      <c r="K88"/>
      <c r="L88"/>
      <c r="M88"/>
      <c r="N88"/>
      <c r="O88"/>
      <c r="P88"/>
      <c r="Q88"/>
    </row>
    <row r="89" spans="1:17" ht="12.75" x14ac:dyDescent="0.2">
      <c r="A89" s="32"/>
      <c r="B89" s="32"/>
      <c r="C89" s="549"/>
      <c r="D89" s="32"/>
      <c r="E89" s="32"/>
      <c r="F89" s="32"/>
      <c r="G89" s="32"/>
      <c r="H89" s="32"/>
      <c r="I89" s="32"/>
      <c r="J89" s="289"/>
      <c r="K89"/>
      <c r="L89"/>
      <c r="M89"/>
      <c r="N89"/>
      <c r="O89"/>
      <c r="P89"/>
      <c r="Q89"/>
    </row>
    <row r="90" spans="1:17" ht="12.75" x14ac:dyDescent="0.2">
      <c r="A90" s="32"/>
      <c r="B90" s="32"/>
      <c r="C90" s="32"/>
      <c r="D90" s="32"/>
      <c r="E90" s="32"/>
      <c r="F90" s="32"/>
      <c r="G90" s="32"/>
      <c r="H90" s="32"/>
      <c r="I90" s="32"/>
      <c r="J90" s="289"/>
      <c r="K90"/>
      <c r="L90"/>
      <c r="M90"/>
      <c r="N90"/>
      <c r="O90"/>
      <c r="P90"/>
      <c r="Q90"/>
    </row>
    <row r="91" spans="1:17" ht="12.75" x14ac:dyDescent="0.2">
      <c r="A91" s="32"/>
      <c r="B91" s="32"/>
      <c r="C91" s="32"/>
      <c r="D91" s="32"/>
      <c r="E91" s="32"/>
      <c r="F91" s="32"/>
      <c r="G91" s="32"/>
      <c r="H91" s="32"/>
      <c r="I91" s="32"/>
      <c r="J91" s="289"/>
      <c r="K91"/>
      <c r="L91"/>
      <c r="M91"/>
      <c r="N91"/>
      <c r="O91"/>
      <c r="P91"/>
      <c r="Q91"/>
    </row>
    <row r="92" spans="1:17" ht="15" customHeight="1" x14ac:dyDescent="0.2">
      <c r="J92"/>
      <c r="K92"/>
      <c r="L92"/>
      <c r="M92"/>
      <c r="N92"/>
      <c r="O92"/>
      <c r="P92"/>
      <c r="Q92"/>
    </row>
    <row r="93" spans="1:17" ht="15" customHeight="1" x14ac:dyDescent="0.2">
      <c r="J93"/>
      <c r="K93"/>
      <c r="L93"/>
      <c r="M93"/>
      <c r="N93"/>
      <c r="O93"/>
      <c r="P93"/>
      <c r="Q93"/>
    </row>
  </sheetData>
  <sheetProtection password="CD9E" sheet="1" objects="1" scenarios="1" selectLockedCells="1"/>
  <mergeCells count="7">
    <mergeCell ref="A12:B13"/>
    <mergeCell ref="C12:D12"/>
    <mergeCell ref="E12:F12"/>
    <mergeCell ref="H12:I12"/>
    <mergeCell ref="C13:D13"/>
    <mergeCell ref="E13:F13"/>
    <mergeCell ref="H13:I13"/>
  </mergeCells>
  <dataValidations count="1">
    <dataValidation type="list" allowBlank="1" showInputMessage="1" showErrorMessage="1" sqref="C86:C89">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35433070866141736" right="0.35433070866141736" top="0.98425196850393704" bottom="0.98425196850393704" header="0.51181102362204722" footer="0.51181102362204722"/>
  <pageSetup paperSize="9" scale="43" orientation="portrait" r:id="rId1"/>
  <headerFooter alignWithMargins="0">
    <oddHeader>&amp;LCDH&amp;C &amp;F&amp;R&amp;A</oddHead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indexed="46"/>
    <pageSetUpPr fitToPage="1"/>
  </sheetPr>
  <dimension ref="A1:AC46"/>
  <sheetViews>
    <sheetView showGridLines="0" topLeftCell="A7" zoomScale="90" zoomScaleNormal="90" workbookViewId="0">
      <selection activeCell="F32" sqref="F32:F33"/>
    </sheetView>
  </sheetViews>
  <sheetFormatPr baseColWidth="10" defaultColWidth="9.140625" defaultRowHeight="15" customHeight="1" x14ac:dyDescent="0.2"/>
  <cols>
    <col min="1" max="1" width="67.42578125" style="31" customWidth="1"/>
    <col min="2" max="2" width="16.85546875" style="31" customWidth="1"/>
    <col min="3" max="3" width="6.7109375" style="31" customWidth="1"/>
    <col min="4" max="4" width="11" style="31" customWidth="1"/>
    <col min="5" max="5" width="6.7109375" style="31" customWidth="1"/>
    <col min="6" max="6" width="10.5703125" style="31" customWidth="1"/>
    <col min="7" max="7" width="6.7109375" style="31" customWidth="1"/>
    <col min="8" max="8" width="10.140625" style="31" customWidth="1"/>
    <col min="9" max="9" width="10.85546875" style="31" customWidth="1"/>
    <col min="10" max="10" width="6.7109375" style="31" customWidth="1"/>
    <col min="11" max="11" width="11.42578125" style="31" customWidth="1"/>
    <col min="12" max="12" width="12.42578125" style="31" customWidth="1"/>
    <col min="13" max="13" width="6.7109375" style="31" customWidth="1"/>
    <col min="14" max="16384" width="9.140625" style="31"/>
  </cols>
  <sheetData>
    <row r="1" spans="1:14" s="66" customFormat="1" ht="12" customHeight="1" x14ac:dyDescent="0.2">
      <c r="A1" s="26" t="s">
        <v>6</v>
      </c>
    </row>
    <row r="2" spans="1:14" s="66" customFormat="1" ht="12" customHeight="1" x14ac:dyDescent="0.2">
      <c r="A2" s="28" t="s">
        <v>10</v>
      </c>
    </row>
    <row r="3" spans="1:14" s="66" customFormat="1" ht="12" customHeight="1" x14ac:dyDescent="0.2">
      <c r="A3" s="28" t="s">
        <v>7</v>
      </c>
    </row>
    <row r="4" spans="1:14" ht="15" customHeight="1" x14ac:dyDescent="0.2">
      <c r="A4" s="67" t="s">
        <v>222</v>
      </c>
      <c r="B4" s="67"/>
      <c r="C4" s="67"/>
      <c r="D4" s="67"/>
      <c r="E4" s="67"/>
      <c r="F4" s="67"/>
      <c r="G4" s="67"/>
      <c r="H4" s="67"/>
      <c r="I4" s="67"/>
      <c r="J4" s="67"/>
      <c r="K4" s="67"/>
      <c r="L4" s="67"/>
      <c r="M4" s="67"/>
      <c r="N4" s="68"/>
    </row>
    <row r="5" spans="1:14" s="131" customFormat="1" ht="15" customHeight="1" x14ac:dyDescent="0.2"/>
    <row r="6" spans="1:14" s="131" customFormat="1" ht="15" customHeight="1" x14ac:dyDescent="0.2">
      <c r="A6" s="253"/>
      <c r="B6" s="253"/>
      <c r="C6" s="253"/>
      <c r="D6" s="253"/>
      <c r="E6" s="253"/>
      <c r="F6" s="253"/>
      <c r="G6" s="253"/>
      <c r="H6" s="253"/>
      <c r="I6" s="253"/>
      <c r="J6" s="253"/>
      <c r="K6" s="253"/>
      <c r="L6" s="253"/>
      <c r="M6" s="253"/>
      <c r="N6" s="253"/>
    </row>
    <row r="7" spans="1:14" ht="15" customHeight="1" x14ac:dyDescent="0.25">
      <c r="A7" s="69" t="s">
        <v>812</v>
      </c>
      <c r="B7" s="68"/>
      <c r="C7" s="68"/>
      <c r="D7" s="68"/>
      <c r="E7" s="68"/>
      <c r="F7" s="68"/>
      <c r="G7" s="68"/>
      <c r="H7" s="68"/>
      <c r="I7" s="68"/>
      <c r="J7" s="68"/>
      <c r="K7" s="68"/>
      <c r="L7" s="68"/>
      <c r="M7" s="68"/>
      <c r="N7" s="68"/>
    </row>
    <row r="8" spans="1:14" ht="15" customHeight="1" x14ac:dyDescent="0.2">
      <c r="A8" s="70" t="s">
        <v>21</v>
      </c>
      <c r="B8" s="68"/>
      <c r="C8" s="68"/>
      <c r="D8" s="68"/>
      <c r="E8" s="68"/>
      <c r="F8" s="68"/>
      <c r="G8" s="68"/>
      <c r="H8" s="68"/>
      <c r="I8" s="68"/>
      <c r="J8" s="68"/>
      <c r="K8" s="68"/>
      <c r="L8" s="68"/>
      <c r="M8" s="68"/>
      <c r="N8" s="68"/>
    </row>
    <row r="9" spans="1:14" ht="15" customHeight="1" x14ac:dyDescent="0.2">
      <c r="A9" s="254"/>
      <c r="B9" s="255" t="s">
        <v>34</v>
      </c>
      <c r="C9" s="255"/>
      <c r="D9" s="473">
        <v>2014</v>
      </c>
      <c r="E9" s="268"/>
      <c r="F9" s="268"/>
      <c r="G9" s="268"/>
      <c r="H9" s="68"/>
      <c r="I9" s="68"/>
      <c r="J9" s="68"/>
      <c r="K9" s="68"/>
      <c r="L9" s="68"/>
      <c r="M9" s="68"/>
      <c r="N9" s="68"/>
    </row>
    <row r="10" spans="1:14" ht="15" customHeight="1" x14ac:dyDescent="0.2">
      <c r="A10" s="68"/>
      <c r="B10" s="68"/>
      <c r="C10" s="68"/>
      <c r="D10" s="68"/>
      <c r="E10" s="68"/>
      <c r="F10" s="68"/>
      <c r="G10" s="68"/>
      <c r="H10" s="68"/>
      <c r="I10" s="68"/>
      <c r="J10" s="68"/>
      <c r="K10" s="68"/>
      <c r="L10" s="68"/>
      <c r="M10" s="68"/>
      <c r="N10" s="68"/>
    </row>
    <row r="11" spans="1:14" ht="15" customHeight="1" x14ac:dyDescent="0.25">
      <c r="A11" s="275"/>
      <c r="B11" s="1694"/>
      <c r="C11" s="1695"/>
      <c r="D11" s="284" t="s">
        <v>50</v>
      </c>
      <c r="E11" s="284"/>
      <c r="F11" s="284"/>
      <c r="G11" s="284"/>
      <c r="H11" s="284"/>
      <c r="I11" s="285"/>
      <c r="J11" s="285"/>
      <c r="K11" s="1459" t="s">
        <v>24</v>
      </c>
      <c r="L11" s="283"/>
      <c r="M11" s="286"/>
      <c r="N11" s="68"/>
    </row>
    <row r="12" spans="1:14" ht="15" customHeight="1" x14ac:dyDescent="0.2">
      <c r="A12" s="1692" t="s">
        <v>49</v>
      </c>
      <c r="B12" s="1701" t="s">
        <v>665</v>
      </c>
      <c r="C12" s="1702"/>
      <c r="D12" s="287" t="s">
        <v>35</v>
      </c>
      <c r="E12" s="287"/>
      <c r="F12" s="287"/>
      <c r="G12" s="287"/>
      <c r="H12" s="287"/>
      <c r="I12" s="1096"/>
      <c r="J12" s="1096"/>
      <c r="K12" s="1458" t="s">
        <v>52</v>
      </c>
      <c r="L12" s="1696" t="s">
        <v>25</v>
      </c>
      <c r="M12" s="1697"/>
      <c r="N12" s="68"/>
    </row>
    <row r="13" spans="1:14" ht="37.5" customHeight="1" x14ac:dyDescent="0.2">
      <c r="A13" s="1693"/>
      <c r="B13" s="1703" t="str">
        <f>Cntry!$D$8</f>
        <v xml:space="preserve">Chile </v>
      </c>
      <c r="C13" s="1704"/>
      <c r="D13" s="1698" t="s">
        <v>43</v>
      </c>
      <c r="E13" s="1698"/>
      <c r="F13" s="1698" t="s">
        <v>44</v>
      </c>
      <c r="G13" s="1698"/>
      <c r="H13" s="1457" t="s">
        <v>45</v>
      </c>
      <c r="I13" s="1699" t="s">
        <v>42</v>
      </c>
      <c r="J13" s="1700"/>
      <c r="K13" s="288"/>
      <c r="L13" s="1100"/>
      <c r="M13" s="1101"/>
      <c r="N13" s="68"/>
    </row>
    <row r="14" spans="1:14" ht="15" customHeight="1" x14ac:dyDescent="0.25">
      <c r="A14" s="276" t="s">
        <v>31</v>
      </c>
      <c r="B14" s="474">
        <f>SUM(B15:B17)</f>
        <v>9680.0560911899993</v>
      </c>
      <c r="C14" s="1090"/>
      <c r="D14" s="475">
        <f>SUM(D15:D17)</f>
        <v>876.76501846500014</v>
      </c>
      <c r="E14" s="1093"/>
      <c r="F14" s="476">
        <f>SUM(F15:F17)</f>
        <v>28.512683789100002</v>
      </c>
      <c r="G14" s="1097"/>
      <c r="H14" s="477"/>
      <c r="I14" s="478">
        <f>SUM(D14,F14,H14)</f>
        <v>905.27770225410018</v>
      </c>
      <c r="J14" s="478"/>
      <c r="K14" s="478">
        <v>7</v>
      </c>
      <c r="L14" s="1090">
        <f>SUM(B14,I14,K14)</f>
        <v>10592.333793444099</v>
      </c>
      <c r="M14" s="1054"/>
      <c r="N14" s="68"/>
    </row>
    <row r="15" spans="1:14" ht="15" customHeight="1" x14ac:dyDescent="0.2">
      <c r="A15" s="261" t="str">
        <f>"Doctorate degree received in "&amp;Cntry!$D$8</f>
        <v xml:space="preserve">Doctorate degree received in Chile </v>
      </c>
      <c r="B15" s="479">
        <v>4312.54339119</v>
      </c>
      <c r="C15" s="1049"/>
      <c r="D15" s="472">
        <v>306.51134846500003</v>
      </c>
      <c r="E15" s="572"/>
      <c r="F15" s="447">
        <v>14.2563417891</v>
      </c>
      <c r="G15" s="1069"/>
      <c r="H15" s="480"/>
      <c r="I15" s="481">
        <f>SUM(D15,F15)</f>
        <v>320.76769025410005</v>
      </c>
      <c r="J15" s="481"/>
      <c r="K15" s="481">
        <v>7.1281708999999998</v>
      </c>
      <c r="L15" s="1049">
        <f>SUM(K15,I15,B15)</f>
        <v>4640.4392523441002</v>
      </c>
      <c r="M15" s="1055"/>
      <c r="N15" s="68"/>
    </row>
    <row r="16" spans="1:14" ht="15" customHeight="1" x14ac:dyDescent="0.2">
      <c r="A16" s="261" t="s">
        <v>223</v>
      </c>
      <c r="B16" s="428">
        <v>5367.5127000000002</v>
      </c>
      <c r="C16" s="1056"/>
      <c r="D16" s="429">
        <v>570.25367000000006</v>
      </c>
      <c r="E16" s="573"/>
      <c r="F16" s="430">
        <v>14.256342</v>
      </c>
      <c r="G16" s="1060"/>
      <c r="H16" s="431"/>
      <c r="I16" s="432">
        <f>SUM(D16,G16)</f>
        <v>570.25367000000006</v>
      </c>
      <c r="J16" s="432"/>
      <c r="K16" s="432"/>
      <c r="L16" s="1056">
        <f>SUM(B16,I16)</f>
        <v>5937.7663700000003</v>
      </c>
      <c r="M16" s="615"/>
      <c r="N16" s="68"/>
    </row>
    <row r="17" spans="1:20" ht="15" customHeight="1" x14ac:dyDescent="0.2">
      <c r="A17" s="277" t="s">
        <v>224</v>
      </c>
      <c r="B17" s="482"/>
      <c r="C17" s="1091"/>
      <c r="D17" s="483"/>
      <c r="E17" s="1094"/>
      <c r="F17" s="484"/>
      <c r="G17" s="1098"/>
      <c r="H17" s="485"/>
      <c r="I17" s="486"/>
      <c r="J17" s="486"/>
      <c r="K17" s="486"/>
      <c r="L17" s="1091"/>
      <c r="M17" s="1046"/>
      <c r="N17" s="68"/>
    </row>
    <row r="18" spans="1:20" ht="15" customHeight="1" x14ac:dyDescent="0.2">
      <c r="A18" s="278" t="s">
        <v>795</v>
      </c>
      <c r="B18" s="642"/>
      <c r="C18" s="1092"/>
      <c r="D18" s="643"/>
      <c r="E18" s="1095"/>
      <c r="F18" s="644"/>
      <c r="G18" s="1099"/>
      <c r="H18" s="645"/>
      <c r="I18" s="646"/>
      <c r="J18" s="646"/>
      <c r="K18" s="646"/>
      <c r="L18" s="1092"/>
      <c r="M18" s="657"/>
      <c r="N18" s="68"/>
    </row>
    <row r="19" spans="1:20" ht="15" customHeight="1" x14ac:dyDescent="0.2">
      <c r="A19" s="279" t="s">
        <v>64</v>
      </c>
      <c r="B19" s="428">
        <v>3321.7276368500002</v>
      </c>
      <c r="C19" s="1056"/>
      <c r="D19" s="429">
        <v>327.89586114799999</v>
      </c>
      <c r="E19" s="573"/>
      <c r="F19" s="430">
        <v>14.2563417891</v>
      </c>
      <c r="G19" s="1060"/>
      <c r="H19" s="433"/>
      <c r="I19" s="432">
        <f>SUM(D19,F19)</f>
        <v>342.15220293710001</v>
      </c>
      <c r="J19" s="432"/>
      <c r="K19" s="432"/>
      <c r="L19" s="1056">
        <f>SUM(I19,B19)</f>
        <v>3663.8798397871001</v>
      </c>
      <c r="M19" s="615"/>
      <c r="N19" s="68"/>
    </row>
    <row r="20" spans="1:20" ht="15" customHeight="1" x14ac:dyDescent="0.2">
      <c r="A20" s="279" t="s">
        <v>65</v>
      </c>
      <c r="B20" s="428">
        <v>9209.5967957299999</v>
      </c>
      <c r="C20" s="1056"/>
      <c r="D20" s="429">
        <v>741.32977303099995</v>
      </c>
      <c r="E20" s="573"/>
      <c r="F20" s="430">
        <v>28.512683578099999</v>
      </c>
      <c r="G20" s="1060"/>
      <c r="H20" s="433"/>
      <c r="I20" s="432">
        <f>SUM(F20,D20)</f>
        <v>769.84245660909994</v>
      </c>
      <c r="J20" s="432"/>
      <c r="K20" s="432"/>
      <c r="L20" s="1056">
        <f>SUM(I20,B20)</f>
        <v>9979.4392523390998</v>
      </c>
      <c r="M20" s="615"/>
      <c r="N20" s="68"/>
    </row>
    <row r="21" spans="1:20" ht="15" customHeight="1" x14ac:dyDescent="0.2">
      <c r="A21" s="279" t="s">
        <v>66</v>
      </c>
      <c r="B21" s="428">
        <v>470.45927903900002</v>
      </c>
      <c r="C21" s="1056"/>
      <c r="D21" s="429">
        <v>149.69158878499999</v>
      </c>
      <c r="E21" s="573"/>
      <c r="F21" s="430">
        <v>28.512683578099999</v>
      </c>
      <c r="G21" s="1060"/>
      <c r="H21" s="433"/>
      <c r="I21" s="432">
        <f>SUM(D21,F21)</f>
        <v>178.20427236309999</v>
      </c>
      <c r="J21" s="432"/>
      <c r="K21" s="432"/>
      <c r="L21" s="1056">
        <f>SUM(I21,B21)</f>
        <v>648.66355140209998</v>
      </c>
      <c r="M21" s="615"/>
      <c r="N21" s="68"/>
    </row>
    <row r="22" spans="1:20" ht="15" customHeight="1" x14ac:dyDescent="0.2">
      <c r="A22" s="279" t="s">
        <v>67</v>
      </c>
      <c r="B22" s="428">
        <v>7.1281708945300002</v>
      </c>
      <c r="C22" s="1056"/>
      <c r="D22" s="429">
        <v>7.1281708945300002</v>
      </c>
      <c r="E22" s="573"/>
      <c r="F22" s="430">
        <v>0</v>
      </c>
      <c r="G22" s="1060"/>
      <c r="H22" s="433"/>
      <c r="I22" s="432">
        <f>SUM(D22,F22)</f>
        <v>7.1281708945300002</v>
      </c>
      <c r="J22" s="432"/>
      <c r="K22" s="432"/>
      <c r="L22" s="1056">
        <f>SUM(I22,B22)</f>
        <v>14.25634178906</v>
      </c>
      <c r="M22" s="615"/>
      <c r="N22" s="68"/>
    </row>
    <row r="23" spans="1:20" ht="15" customHeight="1" x14ac:dyDescent="0.2">
      <c r="A23" s="279" t="s">
        <v>68</v>
      </c>
      <c r="B23" s="428">
        <f>SUM(B24:B25)</f>
        <v>6087.4579439300005</v>
      </c>
      <c r="C23" s="1056"/>
      <c r="D23" s="429">
        <f>SUM(D24:D25)</f>
        <v>527.48464619499998</v>
      </c>
      <c r="E23" s="573"/>
      <c r="F23" s="430">
        <f>SUM(F24:F25)</f>
        <v>14.2563417891</v>
      </c>
      <c r="G23" s="1060"/>
      <c r="H23" s="433"/>
      <c r="I23" s="432">
        <f>SUM(I24:I25)</f>
        <v>541.7409879841</v>
      </c>
      <c r="J23" s="432"/>
      <c r="K23" s="432"/>
      <c r="L23" s="1056">
        <f>SUM(L24:L25)</f>
        <v>6629.1989319141012</v>
      </c>
      <c r="M23" s="615"/>
      <c r="N23" s="68"/>
    </row>
    <row r="24" spans="1:20" ht="15" customHeight="1" x14ac:dyDescent="0.2">
      <c r="A24" s="639" t="s">
        <v>225</v>
      </c>
      <c r="B24" s="428">
        <v>1511.1722296400001</v>
      </c>
      <c r="C24" s="1056"/>
      <c r="D24" s="429">
        <v>106.922563418</v>
      </c>
      <c r="E24" s="573"/>
      <c r="F24" s="430">
        <v>0</v>
      </c>
      <c r="G24" s="1060"/>
      <c r="H24" s="433"/>
      <c r="I24" s="432">
        <f>SUM(F24,D24)</f>
        <v>106.922563418</v>
      </c>
      <c r="J24" s="432"/>
      <c r="K24" s="432"/>
      <c r="L24" s="1056">
        <f>SUM(I24,B24)</f>
        <v>1618.0947930580001</v>
      </c>
      <c r="M24" s="615"/>
      <c r="N24" s="68"/>
    </row>
    <row r="25" spans="1:20" ht="15" customHeight="1" x14ac:dyDescent="0.2">
      <c r="A25" s="639" t="s">
        <v>69</v>
      </c>
      <c r="B25" s="428">
        <v>4576.2857142900002</v>
      </c>
      <c r="C25" s="1056"/>
      <c r="D25" s="429">
        <v>420.562082777</v>
      </c>
      <c r="E25" s="573"/>
      <c r="F25" s="430">
        <v>14.2563417891</v>
      </c>
      <c r="G25" s="1060"/>
      <c r="H25" s="433"/>
      <c r="I25" s="432">
        <f>SUM(F25,D25)</f>
        <v>434.81842456610002</v>
      </c>
      <c r="J25" s="432"/>
      <c r="K25" s="432"/>
      <c r="L25" s="1056">
        <f>SUM(I25,B25)</f>
        <v>5011.1041388561007</v>
      </c>
      <c r="M25" s="615"/>
      <c r="N25" s="68"/>
    </row>
    <row r="26" spans="1:20" ht="15" customHeight="1" x14ac:dyDescent="0.2">
      <c r="A26" s="279" t="s">
        <v>70</v>
      </c>
      <c r="B26" s="428">
        <v>57.025367156199998</v>
      </c>
      <c r="C26" s="1056"/>
      <c r="D26" s="429">
        <v>7.1281708945300002</v>
      </c>
      <c r="E26" s="573"/>
      <c r="F26" s="430">
        <v>0</v>
      </c>
      <c r="G26" s="1060"/>
      <c r="H26" s="433"/>
      <c r="I26" s="432">
        <f>SUM(D26,F26)</f>
        <v>7.1281708945300002</v>
      </c>
      <c r="J26" s="432"/>
      <c r="K26" s="432"/>
      <c r="L26" s="1056">
        <f>SUM(I26,B26)</f>
        <v>64.153538050729992</v>
      </c>
      <c r="M26" s="615"/>
      <c r="N26" s="68"/>
    </row>
    <row r="27" spans="1:20" ht="15" customHeight="1" x14ac:dyDescent="0.2">
      <c r="A27" s="279" t="s">
        <v>71</v>
      </c>
      <c r="B27" s="428">
        <v>3371.6248331100001</v>
      </c>
      <c r="C27" s="1056"/>
      <c r="D27" s="429">
        <v>327.89586114799999</v>
      </c>
      <c r="E27" s="573"/>
      <c r="F27" s="430">
        <v>14.2563417891</v>
      </c>
      <c r="G27" s="1060"/>
      <c r="H27" s="433"/>
      <c r="I27" s="432">
        <f>SUM(F27,D27)</f>
        <v>342.15220293710001</v>
      </c>
      <c r="J27" s="432"/>
      <c r="K27" s="432"/>
      <c r="L27" s="1056">
        <f>SUM(I27,B27)</f>
        <v>3713.7770360471</v>
      </c>
      <c r="M27" s="615"/>
      <c r="N27" s="68"/>
    </row>
    <row r="28" spans="1:20" ht="15" customHeight="1" x14ac:dyDescent="0.2">
      <c r="A28" s="640" t="s">
        <v>72</v>
      </c>
      <c r="B28" s="482">
        <v>57.025367156199998</v>
      </c>
      <c r="C28" s="1091"/>
      <c r="D28" s="483">
        <v>7.1281708945300002</v>
      </c>
      <c r="E28" s="1094"/>
      <c r="F28" s="484">
        <v>0</v>
      </c>
      <c r="G28" s="1098"/>
      <c r="H28" s="641"/>
      <c r="I28" s="486">
        <f>SUM(D28,F28)</f>
        <v>7.1281708945300002</v>
      </c>
      <c r="J28" s="486"/>
      <c r="K28" s="486"/>
      <c r="L28" s="1091">
        <f>SUM(I28,B28)</f>
        <v>64.153538050729992</v>
      </c>
      <c r="M28" s="1046"/>
      <c r="N28" s="68"/>
    </row>
    <row r="29" spans="1:20" s="144" customFormat="1" ht="15" customHeight="1" x14ac:dyDescent="0.2">
      <c r="A29" s="282" t="s">
        <v>683</v>
      </c>
      <c r="B29" s="280"/>
      <c r="C29" s="280"/>
      <c r="D29" s="280"/>
      <c r="E29" s="280"/>
      <c r="F29" s="280"/>
      <c r="G29" s="280"/>
      <c r="H29" s="280"/>
      <c r="I29" s="280"/>
      <c r="J29" s="280"/>
      <c r="K29" s="68"/>
      <c r="L29" s="68"/>
      <c r="M29" s="68"/>
      <c r="N29" s="68"/>
      <c r="O29" s="31"/>
      <c r="P29" s="31"/>
      <c r="Q29" s="31"/>
      <c r="R29" s="31"/>
      <c r="S29" s="31"/>
      <c r="T29" s="31"/>
    </row>
    <row r="30" spans="1:20" s="144" customFormat="1" ht="15" customHeight="1" x14ac:dyDescent="0.2">
      <c r="A30" s="253"/>
      <c r="B30" s="280"/>
      <c r="C30" s="280"/>
      <c r="D30" s="280"/>
      <c r="E30" s="280"/>
      <c r="F30" s="280"/>
      <c r="G30" s="280"/>
      <c r="H30" s="280"/>
      <c r="I30" s="280"/>
      <c r="J30" s="280"/>
      <c r="K30" s="68"/>
      <c r="L30" s="68"/>
      <c r="M30" s="68"/>
      <c r="N30" s="68"/>
      <c r="O30" s="31"/>
      <c r="P30" s="31"/>
      <c r="Q30" s="31"/>
      <c r="R30" s="31"/>
      <c r="S30" s="31"/>
      <c r="T30" s="31"/>
    </row>
    <row r="31" spans="1:20" ht="12.75" x14ac:dyDescent="0.2">
      <c r="A31" s="71" t="s">
        <v>32</v>
      </c>
      <c r="B31" s="56" t="s">
        <v>1051</v>
      </c>
      <c r="C31" s="56"/>
      <c r="D31" s="57"/>
      <c r="E31" s="57"/>
      <c r="F31" s="57"/>
      <c r="G31" s="57"/>
      <c r="H31" s="57"/>
      <c r="I31" s="57"/>
      <c r="J31" s="57"/>
      <c r="K31" s="57"/>
      <c r="L31" s="57"/>
      <c r="M31" s="57"/>
      <c r="N31" s="68"/>
    </row>
    <row r="32" spans="1:20" ht="12.75" x14ac:dyDescent="0.2">
      <c r="A32" s="68"/>
      <c r="B32" s="56"/>
      <c r="C32" s="58"/>
      <c r="D32" s="59"/>
      <c r="E32" s="59"/>
      <c r="F32" s="59"/>
      <c r="G32" s="59"/>
      <c r="H32" s="59"/>
      <c r="I32" s="59"/>
      <c r="J32" s="59"/>
      <c r="K32" s="59"/>
      <c r="L32" s="59"/>
      <c r="M32" s="59"/>
      <c r="N32" s="68"/>
    </row>
    <row r="33" spans="1:29" ht="12.75" x14ac:dyDescent="0.2">
      <c r="A33" s="68"/>
      <c r="B33" s="58"/>
      <c r="C33" s="58"/>
      <c r="D33" s="59"/>
      <c r="E33" s="59"/>
      <c r="F33" s="59"/>
      <c r="G33" s="59"/>
      <c r="H33" s="59"/>
      <c r="I33" s="59"/>
      <c r="J33" s="59"/>
      <c r="K33" s="59"/>
      <c r="L33" s="59"/>
      <c r="M33" s="59"/>
      <c r="N33" s="68"/>
    </row>
    <row r="34" spans="1:29" ht="12.75" x14ac:dyDescent="0.2">
      <c r="A34" s="68"/>
      <c r="B34" s="58"/>
      <c r="C34" s="58"/>
      <c r="D34" s="59"/>
      <c r="E34" s="59"/>
      <c r="F34" s="59"/>
      <c r="G34" s="59"/>
      <c r="H34" s="59"/>
      <c r="I34" s="59"/>
      <c r="J34" s="59"/>
      <c r="K34" s="59"/>
      <c r="L34" s="59"/>
      <c r="M34" s="59"/>
      <c r="N34" s="68"/>
    </row>
    <row r="35" spans="1:29" ht="12.75" x14ac:dyDescent="0.2">
      <c r="A35" s="68"/>
      <c r="B35" s="68"/>
      <c r="C35" s="68"/>
      <c r="D35" s="68"/>
      <c r="E35" s="68"/>
      <c r="F35" s="68"/>
      <c r="G35" s="68"/>
      <c r="H35" s="68"/>
      <c r="I35" s="68"/>
      <c r="J35" s="68"/>
      <c r="K35" s="68"/>
      <c r="L35" s="68"/>
      <c r="M35" s="68"/>
      <c r="N35" s="68"/>
    </row>
    <row r="36" spans="1:29" ht="12.75" x14ac:dyDescent="0.2">
      <c r="A36" s="71" t="s">
        <v>33</v>
      </c>
      <c r="B36" s="56"/>
      <c r="C36" s="56"/>
      <c r="D36" s="57"/>
      <c r="E36" s="57"/>
      <c r="F36" s="57"/>
      <c r="G36" s="57"/>
      <c r="H36" s="57"/>
      <c r="I36" s="57"/>
      <c r="J36" s="57"/>
      <c r="K36" s="57"/>
      <c r="L36" s="57"/>
      <c r="M36" s="57"/>
      <c r="N36" s="68"/>
    </row>
    <row r="37" spans="1:29" ht="12.75" x14ac:dyDescent="0.2">
      <c r="A37" s="68"/>
      <c r="B37" s="58"/>
      <c r="C37" s="58"/>
      <c r="D37" s="59"/>
      <c r="E37" s="59"/>
      <c r="F37" s="59"/>
      <c r="G37" s="59"/>
      <c r="H37" s="59"/>
      <c r="I37" s="59"/>
      <c r="J37" s="59"/>
      <c r="K37" s="59"/>
      <c r="L37" s="59"/>
      <c r="M37" s="59"/>
      <c r="N37" s="68"/>
    </row>
    <row r="38" spans="1:29" ht="12.75" x14ac:dyDescent="0.2">
      <c r="A38" s="68"/>
      <c r="B38" s="58"/>
      <c r="C38" s="58"/>
      <c r="D38" s="59"/>
      <c r="E38" s="59"/>
      <c r="F38" s="59"/>
      <c r="G38" s="59"/>
      <c r="H38" s="59"/>
      <c r="I38" s="59"/>
      <c r="J38" s="59"/>
      <c r="K38" s="59"/>
      <c r="L38" s="59"/>
      <c r="M38" s="59"/>
      <c r="N38" s="68"/>
    </row>
    <row r="39" spans="1:29" ht="12.75" x14ac:dyDescent="0.2">
      <c r="A39" s="68"/>
      <c r="B39" s="58"/>
      <c r="C39" s="58"/>
      <c r="D39" s="59"/>
      <c r="E39" s="59"/>
      <c r="F39" s="59"/>
      <c r="G39" s="59"/>
      <c r="H39" s="59"/>
      <c r="I39" s="59"/>
      <c r="J39" s="59"/>
      <c r="K39" s="59"/>
      <c r="L39" s="59"/>
      <c r="M39" s="59"/>
      <c r="N39" s="68"/>
    </row>
    <row r="40" spans="1:29" ht="12.75" x14ac:dyDescent="0.2">
      <c r="A40" s="68"/>
      <c r="B40" s="68"/>
      <c r="C40" s="68"/>
      <c r="D40" s="68"/>
      <c r="E40" s="68"/>
      <c r="F40" s="68"/>
      <c r="G40" s="68"/>
      <c r="H40" s="68"/>
      <c r="I40" s="68"/>
      <c r="J40" s="68"/>
      <c r="K40" s="68"/>
      <c r="L40" s="68"/>
      <c r="M40" s="68"/>
      <c r="N40" s="68"/>
    </row>
    <row r="41" spans="1:29" ht="12.75" x14ac:dyDescent="0.2">
      <c r="A41" s="71" t="s">
        <v>656</v>
      </c>
      <c r="B41" s="548"/>
      <c r="C41" s="68"/>
      <c r="D41" s="68"/>
      <c r="E41" s="68"/>
      <c r="F41" s="68"/>
      <c r="G41" s="68"/>
      <c r="H41" s="68"/>
      <c r="I41" s="68"/>
      <c r="J41" s="68"/>
      <c r="K41" s="68"/>
      <c r="L41" s="68"/>
      <c r="M41" s="68"/>
      <c r="N41" s="68"/>
      <c r="O41"/>
      <c r="P41"/>
      <c r="Q41"/>
      <c r="R41"/>
      <c r="S41"/>
      <c r="T41"/>
      <c r="U41"/>
      <c r="V41"/>
      <c r="W41"/>
      <c r="X41"/>
      <c r="Y41"/>
      <c r="Z41"/>
      <c r="AA41"/>
      <c r="AB41"/>
      <c r="AC41"/>
    </row>
    <row r="42" spans="1:29" ht="12.75" x14ac:dyDescent="0.2">
      <c r="A42" s="68"/>
      <c r="B42" s="549"/>
      <c r="C42" s="68"/>
      <c r="D42" s="68"/>
      <c r="E42" s="68"/>
      <c r="F42" s="68"/>
      <c r="G42" s="68"/>
      <c r="H42" s="68"/>
      <c r="I42" s="68"/>
      <c r="J42" s="68"/>
      <c r="K42" s="68"/>
      <c r="L42" s="68"/>
      <c r="M42" s="68"/>
      <c r="N42" s="68"/>
      <c r="O42"/>
      <c r="P42"/>
      <c r="Q42"/>
      <c r="R42"/>
      <c r="S42"/>
      <c r="T42"/>
      <c r="U42"/>
      <c r="V42"/>
      <c r="W42"/>
      <c r="X42"/>
      <c r="Y42"/>
      <c r="Z42"/>
      <c r="AA42"/>
      <c r="AB42"/>
      <c r="AC42"/>
    </row>
    <row r="43" spans="1:29" ht="12.75" x14ac:dyDescent="0.2">
      <c r="A43" s="68"/>
      <c r="B43" s="549"/>
      <c r="C43" s="68"/>
      <c r="D43" s="68"/>
      <c r="E43" s="68"/>
      <c r="F43" s="68"/>
      <c r="G43" s="68"/>
      <c r="H43" s="68"/>
      <c r="I43" s="68"/>
      <c r="J43" s="68"/>
      <c r="K43" s="68"/>
      <c r="L43" s="68"/>
      <c r="M43" s="68"/>
      <c r="N43" s="68"/>
      <c r="O43"/>
      <c r="P43"/>
      <c r="Q43"/>
      <c r="R43"/>
      <c r="S43"/>
      <c r="T43"/>
      <c r="U43"/>
      <c r="V43"/>
      <c r="W43"/>
      <c r="X43"/>
      <c r="Y43"/>
      <c r="Z43"/>
      <c r="AA43"/>
      <c r="AB43"/>
      <c r="AC43"/>
    </row>
    <row r="44" spans="1:29" ht="12.75" x14ac:dyDescent="0.2">
      <c r="A44" s="68"/>
      <c r="B44" s="549"/>
      <c r="C44" s="68"/>
      <c r="D44" s="68"/>
      <c r="E44" s="68"/>
      <c r="F44" s="68"/>
      <c r="G44" s="68"/>
      <c r="H44" s="68"/>
      <c r="I44" s="68"/>
      <c r="J44" s="68"/>
      <c r="K44" s="68"/>
      <c r="L44" s="68"/>
      <c r="M44" s="68"/>
      <c r="N44" s="68"/>
      <c r="O44"/>
      <c r="P44"/>
      <c r="Q44"/>
      <c r="R44"/>
      <c r="S44"/>
      <c r="T44"/>
      <c r="U44"/>
      <c r="V44"/>
      <c r="W44"/>
      <c r="X44"/>
      <c r="Y44"/>
      <c r="Z44"/>
      <c r="AA44"/>
      <c r="AB44"/>
      <c r="AC44"/>
    </row>
    <row r="45" spans="1:29" ht="12.75" x14ac:dyDescent="0.2">
      <c r="A45" s="68"/>
      <c r="B45" s="68"/>
      <c r="C45" s="68"/>
      <c r="D45" s="68"/>
      <c r="E45" s="68"/>
      <c r="F45" s="68"/>
      <c r="G45" s="68"/>
      <c r="H45" s="68"/>
      <c r="I45" s="68"/>
      <c r="J45" s="68"/>
      <c r="K45" s="68"/>
      <c r="L45" s="68"/>
      <c r="M45" s="68"/>
      <c r="N45" s="68"/>
      <c r="O45"/>
      <c r="P45"/>
      <c r="Q45"/>
      <c r="R45"/>
      <c r="S45"/>
      <c r="T45"/>
      <c r="U45"/>
      <c r="V45"/>
      <c r="W45"/>
      <c r="X45"/>
      <c r="Y45"/>
      <c r="Z45"/>
      <c r="AA45"/>
      <c r="AB45"/>
      <c r="AC45"/>
    </row>
    <row r="46" spans="1:29" ht="12.75" x14ac:dyDescent="0.2">
      <c r="A46" s="68"/>
      <c r="B46" s="68"/>
      <c r="C46" s="68"/>
      <c r="D46" s="68"/>
      <c r="E46" s="68"/>
      <c r="F46" s="68"/>
      <c r="G46" s="68"/>
      <c r="H46" s="68"/>
      <c r="I46" s="68"/>
      <c r="J46" s="68"/>
      <c r="K46" s="68"/>
      <c r="L46" s="68"/>
      <c r="M46" s="68"/>
      <c r="N46" s="68"/>
    </row>
  </sheetData>
  <sheetProtection password="CD9E" sheet="1" objects="1" scenarios="1" selectLockedCells="1"/>
  <mergeCells count="8">
    <mergeCell ref="A12:A13"/>
    <mergeCell ref="B11:C11"/>
    <mergeCell ref="L12:M12"/>
    <mergeCell ref="F13:G13"/>
    <mergeCell ref="I13:J13"/>
    <mergeCell ref="B12:C12"/>
    <mergeCell ref="B13:C13"/>
    <mergeCell ref="D13:E13"/>
  </mergeCells>
  <dataValidations disablePrompts="1" count="1">
    <dataValidation type="list" allowBlank="1" showInputMessage="1" showErrorMessage="1" sqref="B41:B44">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35433070866141736" right="0.35433070866141736" top="0.98425196850393704" bottom="0.98425196850393704" header="0.51181102362204722" footer="0.51181102362204722"/>
  <pageSetup paperSize="9" scale="48" orientation="portrait" r:id="rId1"/>
  <headerFooter alignWithMargins="0">
    <oddHeader>&amp;LCDH&amp;C &amp;F&amp;R&amp;A</oddHead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indexed="46"/>
    <pageSetUpPr fitToPage="1"/>
  </sheetPr>
  <dimension ref="A1:AC45"/>
  <sheetViews>
    <sheetView showGridLines="0" topLeftCell="A7" zoomScale="90" zoomScaleNormal="90" workbookViewId="0">
      <selection activeCell="B32" sqref="B32"/>
    </sheetView>
  </sheetViews>
  <sheetFormatPr baseColWidth="10" defaultColWidth="9.140625" defaultRowHeight="15" customHeight="1" x14ac:dyDescent="0.2"/>
  <cols>
    <col min="1" max="1" width="66.7109375" style="31" customWidth="1"/>
    <col min="2" max="2" width="12.7109375" style="31" customWidth="1"/>
    <col min="3" max="3" width="6.7109375" style="31" customWidth="1"/>
    <col min="4" max="4" width="12.7109375" style="31" customWidth="1"/>
    <col min="5" max="5" width="6.7109375" style="31" customWidth="1"/>
    <col min="6" max="6" width="12.7109375" style="31" customWidth="1"/>
    <col min="7" max="7" width="6.7109375" style="31" customWidth="1"/>
    <col min="8" max="8" width="12.5703125" style="31" customWidth="1"/>
    <col min="9" max="9" width="12.7109375" style="31" customWidth="1"/>
    <col min="10" max="10" width="6.7109375" style="31" customWidth="1"/>
    <col min="11" max="11" width="10.140625" style="31" customWidth="1"/>
    <col min="12" max="12" width="12.7109375" style="31" customWidth="1"/>
    <col min="13" max="13" width="6.7109375" style="31" customWidth="1"/>
    <col min="14" max="16384" width="9.140625" style="31"/>
  </cols>
  <sheetData>
    <row r="1" spans="1:14" s="66" customFormat="1" ht="12" customHeight="1" x14ac:dyDescent="0.2">
      <c r="A1" s="26" t="s">
        <v>6</v>
      </c>
    </row>
    <row r="2" spans="1:14" s="66" customFormat="1" ht="12" customHeight="1" x14ac:dyDescent="0.2">
      <c r="A2" s="28" t="s">
        <v>10</v>
      </c>
    </row>
    <row r="3" spans="1:14" s="66" customFormat="1" ht="12" customHeight="1" x14ac:dyDescent="0.2">
      <c r="A3" s="28" t="s">
        <v>7</v>
      </c>
    </row>
    <row r="4" spans="1:14" ht="15" customHeight="1" x14ac:dyDescent="0.2">
      <c r="A4" s="67" t="s">
        <v>222</v>
      </c>
      <c r="B4" s="67"/>
      <c r="C4" s="67"/>
      <c r="D4" s="67"/>
      <c r="E4" s="67"/>
      <c r="F4" s="67"/>
      <c r="G4" s="67"/>
      <c r="H4" s="67"/>
      <c r="I4" s="67"/>
      <c r="J4" s="67"/>
      <c r="K4" s="67"/>
      <c r="L4" s="67"/>
      <c r="M4" s="67"/>
      <c r="N4" s="68"/>
    </row>
    <row r="5" spans="1:14" s="131" customFormat="1" ht="15" customHeight="1" x14ac:dyDescent="0.2"/>
    <row r="6" spans="1:14" s="131" customFormat="1" ht="15" customHeight="1" x14ac:dyDescent="0.2">
      <c r="A6" s="253"/>
      <c r="B6" s="253"/>
      <c r="C6" s="253"/>
      <c r="D6" s="253"/>
      <c r="E6" s="253"/>
      <c r="F6" s="253"/>
      <c r="G6" s="253"/>
      <c r="H6" s="253"/>
      <c r="I6" s="253"/>
      <c r="J6" s="253"/>
      <c r="K6" s="253"/>
      <c r="L6" s="253"/>
      <c r="M6" s="253"/>
      <c r="N6" s="253"/>
    </row>
    <row r="7" spans="1:14" ht="15" customHeight="1" x14ac:dyDescent="0.25">
      <c r="A7" s="69" t="s">
        <v>813</v>
      </c>
      <c r="B7" s="68"/>
      <c r="C7" s="68"/>
      <c r="D7" s="68"/>
      <c r="E7" s="68"/>
      <c r="F7" s="68"/>
      <c r="G7" s="68"/>
      <c r="H7" s="68"/>
      <c r="I7" s="68"/>
      <c r="J7" s="68"/>
      <c r="K7" s="68"/>
      <c r="L7" s="68"/>
      <c r="M7" s="68"/>
      <c r="N7" s="68"/>
    </row>
    <row r="8" spans="1:14" ht="15" customHeight="1" x14ac:dyDescent="0.2">
      <c r="A8" s="70" t="s">
        <v>21</v>
      </c>
      <c r="B8" s="68"/>
      <c r="C8" s="68"/>
      <c r="D8" s="68"/>
      <c r="E8" s="68"/>
      <c r="F8" s="68"/>
      <c r="G8" s="68"/>
      <c r="H8" s="68"/>
      <c r="I8" s="68"/>
      <c r="J8" s="68"/>
      <c r="K8" s="68"/>
      <c r="L8" s="68"/>
      <c r="M8" s="68"/>
      <c r="N8" s="68"/>
    </row>
    <row r="9" spans="1:14" ht="15" customHeight="1" x14ac:dyDescent="0.2">
      <c r="A9" s="254"/>
      <c r="B9" s="255" t="s">
        <v>34</v>
      </c>
      <c r="C9" s="255"/>
      <c r="D9" s="473">
        <v>2014</v>
      </c>
      <c r="E9" s="268"/>
      <c r="F9" s="268"/>
      <c r="G9" s="268"/>
      <c r="H9" s="68"/>
      <c r="I9" s="68"/>
      <c r="J9" s="68"/>
      <c r="K9" s="68"/>
      <c r="L9" s="68"/>
      <c r="M9" s="68"/>
      <c r="N9" s="68"/>
    </row>
    <row r="10" spans="1:14" ht="15" customHeight="1" x14ac:dyDescent="0.2">
      <c r="A10" s="68"/>
      <c r="B10" s="68"/>
      <c r="C10" s="68"/>
      <c r="D10" s="68"/>
      <c r="E10" s="68"/>
      <c r="F10" s="68"/>
      <c r="G10" s="68"/>
      <c r="H10" s="68"/>
      <c r="I10" s="68"/>
      <c r="J10" s="68"/>
      <c r="K10" s="68"/>
      <c r="L10" s="68"/>
      <c r="M10" s="68"/>
      <c r="N10" s="68"/>
    </row>
    <row r="11" spans="1:14" ht="15" customHeight="1" x14ac:dyDescent="0.25">
      <c r="A11" s="275"/>
      <c r="B11" s="1694"/>
      <c r="C11" s="1695"/>
      <c r="D11" s="284" t="s">
        <v>47</v>
      </c>
      <c r="E11" s="284"/>
      <c r="F11" s="284"/>
      <c r="G11" s="284"/>
      <c r="H11" s="284"/>
      <c r="I11" s="285"/>
      <c r="J11" s="285"/>
      <c r="K11" s="1459" t="s">
        <v>24</v>
      </c>
      <c r="L11" s="283"/>
      <c r="M11" s="286"/>
      <c r="N11" s="68"/>
    </row>
    <row r="12" spans="1:14" ht="23.25" customHeight="1" x14ac:dyDescent="0.2">
      <c r="A12" s="1692" t="s">
        <v>49</v>
      </c>
      <c r="B12" s="1701" t="s">
        <v>218</v>
      </c>
      <c r="C12" s="1702"/>
      <c r="D12" s="287" t="s">
        <v>35</v>
      </c>
      <c r="E12" s="287"/>
      <c r="F12" s="287"/>
      <c r="G12" s="287"/>
      <c r="H12" s="287"/>
      <c r="I12" s="1096"/>
      <c r="J12" s="1096"/>
      <c r="K12" s="1458" t="s">
        <v>219</v>
      </c>
      <c r="L12" s="1696" t="s">
        <v>25</v>
      </c>
      <c r="M12" s="1697"/>
      <c r="N12" s="68"/>
    </row>
    <row r="13" spans="1:14" ht="36" customHeight="1" x14ac:dyDescent="0.2">
      <c r="A13" s="1693"/>
      <c r="B13" s="1703" t="str">
        <f>Cntry!$D$8</f>
        <v xml:space="preserve">Chile </v>
      </c>
      <c r="C13" s="1704"/>
      <c r="D13" s="1698" t="s">
        <v>43</v>
      </c>
      <c r="E13" s="1698"/>
      <c r="F13" s="1698" t="s">
        <v>44</v>
      </c>
      <c r="G13" s="1698"/>
      <c r="H13" s="1457" t="s">
        <v>45</v>
      </c>
      <c r="I13" s="1699" t="s">
        <v>42</v>
      </c>
      <c r="J13" s="1700"/>
      <c r="K13" s="288"/>
      <c r="L13" s="1100"/>
      <c r="M13" s="1101"/>
      <c r="N13" s="68"/>
    </row>
    <row r="14" spans="1:14" ht="15" customHeight="1" x14ac:dyDescent="0.25">
      <c r="A14" s="276" t="s">
        <v>31</v>
      </c>
      <c r="B14" s="474">
        <f>SUM(B15:B16)</f>
        <v>9238.1094859799996</v>
      </c>
      <c r="C14" s="1090"/>
      <c r="D14" s="475">
        <f>SUM(D15:D16)</f>
        <v>876.76501846500014</v>
      </c>
      <c r="E14" s="1093"/>
      <c r="F14" s="476">
        <f>SUM(F15:F16)</f>
        <v>28.512683578200001</v>
      </c>
      <c r="G14" s="1097"/>
      <c r="H14" s="477">
        <f>SUM(H15:H16)</f>
        <v>441.94659520690004</v>
      </c>
      <c r="I14" s="478">
        <f>SUM(I15:I16)</f>
        <v>1347.2242972501001</v>
      </c>
      <c r="J14" s="478"/>
      <c r="K14" s="478"/>
      <c r="L14" s="1090">
        <f>SUM(L15:L16)</f>
        <v>10592.4619541301</v>
      </c>
      <c r="M14" s="1054"/>
      <c r="N14" s="68"/>
    </row>
    <row r="15" spans="1:14" ht="15" customHeight="1" x14ac:dyDescent="0.2">
      <c r="A15" s="261" t="str">
        <f>"Doctorate degree received in "&amp;Cntry!$D$8</f>
        <v xml:space="preserve">Doctorate degree received in Chile </v>
      </c>
      <c r="B15" s="479">
        <v>4191.3644859799997</v>
      </c>
      <c r="C15" s="1049"/>
      <c r="D15" s="472">
        <v>306.51134846500003</v>
      </c>
      <c r="E15" s="572"/>
      <c r="F15" s="447">
        <v>14.2563417891</v>
      </c>
      <c r="G15" s="1069"/>
      <c r="H15" s="480">
        <f>35.6408544726+85.5380507343</f>
        <v>121.1789052069</v>
      </c>
      <c r="I15" s="481">
        <f>SUM(D15,F15,H15)</f>
        <v>441.94659546100002</v>
      </c>
      <c r="J15" s="481"/>
      <c r="K15" s="481">
        <v>7.1281708999999998</v>
      </c>
      <c r="L15" s="1049">
        <f>SUM(I15,B15,K15)</f>
        <v>4640.4392523409997</v>
      </c>
      <c r="M15" s="1055"/>
      <c r="N15" s="68"/>
    </row>
    <row r="16" spans="1:14" ht="15" customHeight="1" x14ac:dyDescent="0.2">
      <c r="A16" s="261" t="s">
        <v>223</v>
      </c>
      <c r="B16" s="428">
        <v>5046.7449999999999</v>
      </c>
      <c r="C16" s="1056"/>
      <c r="D16" s="429">
        <v>570.25367000000006</v>
      </c>
      <c r="E16" s="573"/>
      <c r="F16" s="430">
        <v>14.2563417891</v>
      </c>
      <c r="G16" s="1060"/>
      <c r="H16" s="431">
        <v>320.76769000000002</v>
      </c>
      <c r="I16" s="432">
        <f>SUM(D16,F16,H16)</f>
        <v>905.27770178910009</v>
      </c>
      <c r="J16" s="432"/>
      <c r="K16" s="432"/>
      <c r="L16" s="1056">
        <f>SUM(I16,B16)</f>
        <v>5952.0227017891002</v>
      </c>
      <c r="M16" s="615"/>
      <c r="N16" s="68"/>
    </row>
    <row r="17" spans="1:20" ht="15" customHeight="1" x14ac:dyDescent="0.2">
      <c r="A17" s="277" t="s">
        <v>224</v>
      </c>
      <c r="B17" s="482"/>
      <c r="C17" s="1091"/>
      <c r="D17" s="483"/>
      <c r="E17" s="1094"/>
      <c r="F17" s="484"/>
      <c r="G17" s="1098"/>
      <c r="H17" s="485"/>
      <c r="I17" s="486"/>
      <c r="J17" s="486"/>
      <c r="K17" s="486"/>
      <c r="L17" s="1091"/>
      <c r="M17" s="1046"/>
      <c r="N17" s="68"/>
    </row>
    <row r="18" spans="1:20" ht="15" customHeight="1" x14ac:dyDescent="0.2">
      <c r="A18" s="278" t="s">
        <v>795</v>
      </c>
      <c r="B18" s="642"/>
      <c r="C18" s="1092"/>
      <c r="D18" s="643"/>
      <c r="E18" s="1095"/>
      <c r="F18" s="644"/>
      <c r="G18" s="1099"/>
      <c r="H18" s="645"/>
      <c r="I18" s="646"/>
      <c r="J18" s="646"/>
      <c r="K18" s="646"/>
      <c r="L18" s="1092"/>
      <c r="M18" s="657"/>
      <c r="N18" s="68"/>
    </row>
    <row r="19" spans="1:20" ht="15" customHeight="1" x14ac:dyDescent="0.2">
      <c r="A19" s="279" t="s">
        <v>64</v>
      </c>
      <c r="B19" s="428">
        <v>3100.7543391200002</v>
      </c>
      <c r="C19" s="1056"/>
      <c r="D19" s="429">
        <v>327.89586114799999</v>
      </c>
      <c r="E19" s="573"/>
      <c r="F19" s="430">
        <v>14.2563417891</v>
      </c>
      <c r="G19" s="1060"/>
      <c r="H19" s="433">
        <f>57.0253671562+163.947930574</f>
        <v>220.97329773019999</v>
      </c>
      <c r="I19" s="432">
        <f>SUM(H19,F19,D19)</f>
        <v>563.1255006673</v>
      </c>
      <c r="J19" s="432"/>
      <c r="K19" s="432"/>
      <c r="L19" s="1056">
        <f>SUM(I19,B19)</f>
        <v>3663.8798397873002</v>
      </c>
      <c r="M19" s="615"/>
      <c r="N19" s="68"/>
    </row>
    <row r="20" spans="1:20" ht="15" customHeight="1" x14ac:dyDescent="0.2">
      <c r="A20" s="279" t="s">
        <v>65</v>
      </c>
      <c r="B20" s="428">
        <v>8789.0347129500005</v>
      </c>
      <c r="C20" s="1056"/>
      <c r="D20" s="429">
        <v>741.32977303099995</v>
      </c>
      <c r="E20" s="573"/>
      <c r="F20" s="430">
        <v>28.512683578099999</v>
      </c>
      <c r="G20" s="1060"/>
      <c r="H20" s="433">
        <f>128.307076101+292.255006676</f>
        <v>420.562082777</v>
      </c>
      <c r="I20" s="432">
        <f>SUM(H20,F20,D20)</f>
        <v>1190.4045393860999</v>
      </c>
      <c r="J20" s="432"/>
      <c r="K20" s="432"/>
      <c r="L20" s="1056">
        <f t="shared" ref="L20:L28" si="0">SUM(I20,B20)</f>
        <v>9979.4392523361003</v>
      </c>
      <c r="M20" s="615"/>
      <c r="N20" s="68"/>
    </row>
    <row r="21" spans="1:20" ht="15" customHeight="1" x14ac:dyDescent="0.2">
      <c r="A21" s="279" t="s">
        <v>66</v>
      </c>
      <c r="B21" s="428">
        <v>449.07476635500001</v>
      </c>
      <c r="C21" s="1056"/>
      <c r="D21" s="429">
        <v>135.43524699599999</v>
      </c>
      <c r="E21" s="573"/>
      <c r="F21" s="430">
        <v>0</v>
      </c>
      <c r="G21" s="1060"/>
      <c r="H21" s="433">
        <v>21.384512683600001</v>
      </c>
      <c r="I21" s="432">
        <f t="shared" ref="I21:I28" si="1">SUM(H21,F21,D21)</f>
        <v>156.8197596796</v>
      </c>
      <c r="J21" s="432"/>
      <c r="K21" s="432"/>
      <c r="L21" s="1056">
        <f t="shared" si="0"/>
        <v>605.89452603459995</v>
      </c>
      <c r="M21" s="615"/>
      <c r="N21" s="68"/>
    </row>
    <row r="22" spans="1:20" ht="15" customHeight="1" x14ac:dyDescent="0.2">
      <c r="A22" s="279" t="s">
        <v>67</v>
      </c>
      <c r="B22" s="428">
        <v>7.1281708945300002</v>
      </c>
      <c r="C22" s="1056"/>
      <c r="D22" s="429">
        <v>7.1281708945300002</v>
      </c>
      <c r="E22" s="573"/>
      <c r="F22" s="430">
        <v>0</v>
      </c>
      <c r="G22" s="1060"/>
      <c r="H22" s="433">
        <v>0</v>
      </c>
      <c r="I22" s="432">
        <f t="shared" si="1"/>
        <v>7.1281708945300002</v>
      </c>
      <c r="J22" s="432"/>
      <c r="K22" s="432"/>
      <c r="L22" s="1056">
        <f t="shared" si="0"/>
        <v>14.25634178906</v>
      </c>
      <c r="M22" s="615"/>
      <c r="N22" s="68"/>
    </row>
    <row r="23" spans="1:20" ht="15" customHeight="1" x14ac:dyDescent="0.2">
      <c r="A23" s="279" t="s">
        <v>68</v>
      </c>
      <c r="B23" s="428">
        <f>SUM(B24:B25)</f>
        <v>5873.6128170900001</v>
      </c>
      <c r="C23" s="1056"/>
      <c r="D23" s="429">
        <f>SUM(D24:D25)</f>
        <v>527.48464619499998</v>
      </c>
      <c r="E23" s="573"/>
      <c r="F23" s="430">
        <f>SUM(F24:F25)</f>
        <v>14.2563417891</v>
      </c>
      <c r="G23" s="1060"/>
      <c r="H23" s="433"/>
      <c r="I23" s="432">
        <f t="shared" si="1"/>
        <v>541.7409879841</v>
      </c>
      <c r="J23" s="432"/>
      <c r="K23" s="432"/>
      <c r="L23" s="1056">
        <f t="shared" si="0"/>
        <v>6415.3538050740999</v>
      </c>
      <c r="M23" s="615"/>
      <c r="N23" s="68"/>
    </row>
    <row r="24" spans="1:20" ht="15" customHeight="1" x14ac:dyDescent="0.2">
      <c r="A24" s="639" t="s">
        <v>225</v>
      </c>
      <c r="B24" s="428">
        <v>1432.7623498</v>
      </c>
      <c r="C24" s="1056"/>
      <c r="D24" s="429">
        <v>106.922563418</v>
      </c>
      <c r="E24" s="573"/>
      <c r="F24" s="430">
        <v>0</v>
      </c>
      <c r="G24" s="1060"/>
      <c r="H24" s="433">
        <f>35.6408544726+42.7690253672</f>
        <v>78.409879839799999</v>
      </c>
      <c r="I24" s="432">
        <f t="shared" si="1"/>
        <v>185.33244325779998</v>
      </c>
      <c r="J24" s="432"/>
      <c r="K24" s="432"/>
      <c r="L24" s="1056">
        <f t="shared" si="0"/>
        <v>1618.0947930578</v>
      </c>
      <c r="M24" s="615"/>
      <c r="N24" s="68"/>
    </row>
    <row r="25" spans="1:20" ht="15" customHeight="1" x14ac:dyDescent="0.2">
      <c r="A25" s="639" t="s">
        <v>69</v>
      </c>
      <c r="B25" s="428">
        <v>4440.8504672899999</v>
      </c>
      <c r="C25" s="1056"/>
      <c r="D25" s="429">
        <v>420.562082777</v>
      </c>
      <c r="E25" s="573"/>
      <c r="F25" s="430">
        <v>14.2563417891</v>
      </c>
      <c r="G25" s="1060"/>
      <c r="H25" s="433">
        <f>35.6408544726+99.7943925234</f>
        <v>135.43524699599999</v>
      </c>
      <c r="I25" s="432">
        <f t="shared" si="1"/>
        <v>570.25367156209995</v>
      </c>
      <c r="J25" s="432"/>
      <c r="K25" s="432"/>
      <c r="L25" s="1056">
        <f t="shared" si="0"/>
        <v>5011.1041388520998</v>
      </c>
      <c r="M25" s="615"/>
      <c r="N25" s="68"/>
    </row>
    <row r="26" spans="1:20" ht="15" customHeight="1" x14ac:dyDescent="0.2">
      <c r="A26" s="279" t="s">
        <v>70</v>
      </c>
      <c r="B26" s="428">
        <v>49.897196261700003</v>
      </c>
      <c r="C26" s="1056"/>
      <c r="D26" s="429">
        <v>7.1281708945300002</v>
      </c>
      <c r="E26" s="573"/>
      <c r="F26" s="430">
        <v>0</v>
      </c>
      <c r="G26" s="1060"/>
      <c r="H26" s="433">
        <v>7.1281708945300002</v>
      </c>
      <c r="I26" s="432">
        <f t="shared" si="1"/>
        <v>14.25634178906</v>
      </c>
      <c r="J26" s="432"/>
      <c r="K26" s="432"/>
      <c r="L26" s="1056">
        <f t="shared" si="0"/>
        <v>64.153538050760005</v>
      </c>
      <c r="M26" s="615"/>
      <c r="N26" s="68"/>
    </row>
    <row r="27" spans="1:20" ht="15" customHeight="1" x14ac:dyDescent="0.2">
      <c r="A27" s="279" t="s">
        <v>71</v>
      </c>
      <c r="B27" s="428">
        <v>3150.65153538</v>
      </c>
      <c r="C27" s="1056"/>
      <c r="D27" s="429">
        <v>327.89586114799999</v>
      </c>
      <c r="E27" s="573"/>
      <c r="F27" s="430">
        <v>14.2563417891</v>
      </c>
      <c r="G27" s="1060"/>
      <c r="H27" s="433">
        <f xml:space="preserve"> 57.0253671562+163.947930574</f>
        <v>220.97329773019999</v>
      </c>
      <c r="I27" s="432">
        <f t="shared" si="1"/>
        <v>563.1255006673</v>
      </c>
      <c r="J27" s="432"/>
      <c r="K27" s="432"/>
      <c r="L27" s="1056">
        <f t="shared" si="0"/>
        <v>3713.7770360473</v>
      </c>
      <c r="M27" s="615"/>
      <c r="N27" s="68"/>
    </row>
    <row r="28" spans="1:20" ht="15" customHeight="1" x14ac:dyDescent="0.2">
      <c r="A28" s="640" t="s">
        <v>72</v>
      </c>
      <c r="B28" s="482">
        <v>57.025367156199998</v>
      </c>
      <c r="C28" s="1091"/>
      <c r="D28" s="483">
        <v>7.1281708945300002</v>
      </c>
      <c r="E28" s="1094"/>
      <c r="F28" s="484">
        <v>0</v>
      </c>
      <c r="G28" s="1098"/>
      <c r="H28" s="641">
        <v>0</v>
      </c>
      <c r="I28" s="486">
        <f t="shared" si="1"/>
        <v>7.1281708945300002</v>
      </c>
      <c r="J28" s="486"/>
      <c r="K28" s="486"/>
      <c r="L28" s="1091">
        <f t="shared" si="0"/>
        <v>64.153538050729992</v>
      </c>
      <c r="M28" s="1046"/>
      <c r="N28" s="68"/>
    </row>
    <row r="29" spans="1:20" s="144" customFormat="1" ht="15" customHeight="1" x14ac:dyDescent="0.2">
      <c r="A29" s="282" t="s">
        <v>683</v>
      </c>
      <c r="B29" s="280"/>
      <c r="C29" s="280"/>
      <c r="D29" s="280"/>
      <c r="E29" s="280"/>
      <c r="F29" s="280"/>
      <c r="G29" s="280"/>
      <c r="H29" s="280"/>
      <c r="I29" s="280"/>
      <c r="J29" s="280"/>
      <c r="K29" s="68"/>
      <c r="L29" s="68"/>
      <c r="M29" s="68"/>
      <c r="N29" s="68"/>
      <c r="O29" s="31"/>
      <c r="P29" s="31"/>
      <c r="Q29" s="31"/>
      <c r="R29" s="31"/>
      <c r="S29" s="31"/>
      <c r="T29" s="31"/>
    </row>
    <row r="30" spans="1:20" s="144" customFormat="1" ht="15" customHeight="1" x14ac:dyDescent="0.2">
      <c r="A30" s="253"/>
      <c r="B30" s="280"/>
      <c r="C30" s="280"/>
      <c r="D30" s="280"/>
      <c r="E30" s="280"/>
      <c r="F30" s="280"/>
      <c r="G30" s="280"/>
      <c r="H30" s="280"/>
      <c r="I30" s="280"/>
      <c r="J30" s="280"/>
      <c r="K30" s="68"/>
      <c r="L30" s="68"/>
      <c r="M30" s="68"/>
      <c r="N30" s="68"/>
      <c r="O30" s="31"/>
      <c r="P30" s="31"/>
      <c r="Q30" s="31"/>
      <c r="R30" s="31"/>
      <c r="S30" s="31"/>
      <c r="T30" s="31"/>
    </row>
    <row r="31" spans="1:20" ht="15" customHeight="1" x14ac:dyDescent="0.2">
      <c r="A31" s="71" t="s">
        <v>32</v>
      </c>
      <c r="B31" s="56" t="s">
        <v>1051</v>
      </c>
      <c r="C31" s="56"/>
      <c r="D31" s="57"/>
      <c r="E31" s="57"/>
      <c r="F31" s="57"/>
      <c r="G31" s="57"/>
      <c r="H31" s="57"/>
      <c r="I31" s="57"/>
      <c r="J31" s="57"/>
      <c r="K31" s="57"/>
      <c r="L31" s="57"/>
      <c r="M31" s="57"/>
      <c r="N31" s="68"/>
    </row>
    <row r="32" spans="1:20" ht="15" customHeight="1" x14ac:dyDescent="0.2">
      <c r="A32" s="68"/>
      <c r="B32" s="56" t="s">
        <v>1054</v>
      </c>
      <c r="C32" s="58"/>
      <c r="D32" s="59"/>
      <c r="E32" s="59"/>
      <c r="F32" s="59"/>
      <c r="G32" s="59"/>
      <c r="H32" s="59"/>
      <c r="I32" s="59"/>
      <c r="J32" s="59"/>
      <c r="K32" s="59"/>
      <c r="L32" s="59"/>
      <c r="M32" s="59"/>
      <c r="N32" s="68"/>
    </row>
    <row r="33" spans="1:29" ht="15" customHeight="1" x14ac:dyDescent="0.2">
      <c r="A33" s="68"/>
      <c r="B33" s="58"/>
      <c r="C33" s="58"/>
      <c r="D33" s="59"/>
      <c r="E33" s="59"/>
      <c r="F33" s="59"/>
      <c r="G33" s="59"/>
      <c r="H33" s="59"/>
      <c r="I33" s="59"/>
      <c r="J33" s="59"/>
      <c r="K33" s="59"/>
      <c r="L33" s="59"/>
      <c r="M33" s="59"/>
      <c r="N33" s="68"/>
    </row>
    <row r="34" spans="1:29" ht="15" customHeight="1" x14ac:dyDescent="0.2">
      <c r="A34" s="68"/>
      <c r="B34" s="58"/>
      <c r="C34" s="58"/>
      <c r="D34" s="59"/>
      <c r="E34" s="59"/>
      <c r="F34" s="59"/>
      <c r="G34" s="59"/>
      <c r="H34" s="59"/>
      <c r="I34" s="59"/>
      <c r="J34" s="59"/>
      <c r="K34" s="59"/>
      <c r="L34" s="59"/>
      <c r="M34" s="59"/>
      <c r="N34" s="68"/>
    </row>
    <row r="35" spans="1:29" ht="15" customHeight="1" x14ac:dyDescent="0.2">
      <c r="A35" s="68"/>
      <c r="B35" s="68"/>
      <c r="C35" s="68"/>
      <c r="D35" s="68"/>
      <c r="E35" s="68"/>
      <c r="F35" s="68"/>
      <c r="G35" s="68"/>
      <c r="H35" s="68"/>
      <c r="I35" s="68"/>
      <c r="J35" s="68"/>
      <c r="K35" s="68"/>
      <c r="L35" s="68"/>
      <c r="M35" s="68"/>
      <c r="N35" s="68"/>
    </row>
    <row r="36" spans="1:29" ht="15" customHeight="1" x14ac:dyDescent="0.2">
      <c r="A36" s="71" t="s">
        <v>33</v>
      </c>
      <c r="B36" s="56"/>
      <c r="C36" s="56"/>
      <c r="D36" s="57"/>
      <c r="E36" s="57"/>
      <c r="F36" s="57"/>
      <c r="G36" s="57"/>
      <c r="H36" s="57"/>
      <c r="I36" s="57"/>
      <c r="J36" s="57"/>
      <c r="K36" s="57"/>
      <c r="L36" s="57"/>
      <c r="M36" s="57"/>
      <c r="N36" s="68"/>
    </row>
    <row r="37" spans="1:29" ht="15" customHeight="1" x14ac:dyDescent="0.2">
      <c r="A37" s="68"/>
      <c r="B37" s="58"/>
      <c r="C37" s="58"/>
      <c r="D37" s="59"/>
      <c r="E37" s="59"/>
      <c r="F37" s="59"/>
      <c r="G37" s="59"/>
      <c r="H37" s="59"/>
      <c r="I37" s="59"/>
      <c r="J37" s="59"/>
      <c r="K37" s="59"/>
      <c r="L37" s="59"/>
      <c r="M37" s="59"/>
      <c r="N37" s="68"/>
    </row>
    <row r="38" spans="1:29" ht="15" customHeight="1" x14ac:dyDescent="0.2">
      <c r="A38" s="68"/>
      <c r="B38" s="58"/>
      <c r="C38" s="58"/>
      <c r="D38" s="59"/>
      <c r="E38" s="59"/>
      <c r="F38" s="59"/>
      <c r="G38" s="59"/>
      <c r="H38" s="59"/>
      <c r="I38" s="59"/>
      <c r="J38" s="59"/>
      <c r="K38" s="59"/>
      <c r="L38" s="59"/>
      <c r="M38" s="59"/>
      <c r="N38" s="68"/>
    </row>
    <row r="39" spans="1:29" ht="15" customHeight="1" x14ac:dyDescent="0.2">
      <c r="A39" s="68"/>
      <c r="B39" s="58"/>
      <c r="C39" s="58"/>
      <c r="D39" s="59"/>
      <c r="E39" s="59"/>
      <c r="F39" s="59"/>
      <c r="G39" s="59"/>
      <c r="H39" s="59"/>
      <c r="I39" s="59"/>
      <c r="J39" s="59"/>
      <c r="K39" s="59"/>
      <c r="L39" s="59"/>
      <c r="M39" s="59"/>
      <c r="N39" s="68"/>
    </row>
    <row r="40" spans="1:29" ht="15" customHeight="1" x14ac:dyDescent="0.2">
      <c r="A40" s="68"/>
      <c r="B40" s="68"/>
      <c r="C40" s="68"/>
      <c r="D40" s="68"/>
      <c r="E40" s="68"/>
      <c r="F40" s="68"/>
      <c r="G40" s="68"/>
      <c r="H40" s="68"/>
      <c r="I40" s="68"/>
      <c r="J40" s="68"/>
      <c r="K40" s="68"/>
      <c r="L40" s="68"/>
      <c r="M40" s="68"/>
      <c r="N40" s="68"/>
    </row>
    <row r="41" spans="1:29" ht="12.75" x14ac:dyDescent="0.2">
      <c r="A41" s="71" t="s">
        <v>656</v>
      </c>
      <c r="B41" s="548"/>
      <c r="C41" s="68"/>
      <c r="D41" s="68"/>
      <c r="E41" s="68"/>
      <c r="F41" s="68"/>
      <c r="G41" s="68"/>
      <c r="H41" s="68"/>
      <c r="I41" s="68"/>
      <c r="J41" s="68"/>
      <c r="K41" s="68"/>
      <c r="L41" s="68"/>
      <c r="M41" s="68"/>
      <c r="N41" s="68"/>
      <c r="O41"/>
      <c r="P41"/>
      <c r="Q41"/>
      <c r="R41"/>
      <c r="S41"/>
      <c r="T41"/>
      <c r="U41"/>
      <c r="V41"/>
      <c r="W41"/>
      <c r="X41"/>
      <c r="Y41"/>
      <c r="Z41"/>
      <c r="AA41"/>
      <c r="AB41"/>
      <c r="AC41"/>
    </row>
    <row r="42" spans="1:29" ht="12.75" x14ac:dyDescent="0.2">
      <c r="A42" s="68"/>
      <c r="B42" s="549"/>
      <c r="C42" s="68"/>
      <c r="D42" s="68"/>
      <c r="E42" s="68"/>
      <c r="F42" s="68"/>
      <c r="G42" s="68"/>
      <c r="H42" s="68"/>
      <c r="I42" s="68"/>
      <c r="J42" s="68"/>
      <c r="K42" s="68"/>
      <c r="L42" s="68"/>
      <c r="M42" s="68"/>
      <c r="N42" s="68"/>
      <c r="O42"/>
      <c r="P42"/>
      <c r="Q42"/>
      <c r="R42"/>
      <c r="S42"/>
      <c r="T42"/>
      <c r="U42"/>
      <c r="V42"/>
      <c r="W42"/>
      <c r="X42"/>
      <c r="Y42"/>
      <c r="Z42"/>
      <c r="AA42"/>
      <c r="AB42"/>
      <c r="AC42"/>
    </row>
    <row r="43" spans="1:29" ht="12.75" x14ac:dyDescent="0.2">
      <c r="A43" s="68"/>
      <c r="B43" s="549"/>
      <c r="C43" s="68"/>
      <c r="D43" s="68"/>
      <c r="E43" s="68"/>
      <c r="F43" s="68"/>
      <c r="G43" s="68"/>
      <c r="H43" s="68"/>
      <c r="I43" s="68"/>
      <c r="J43" s="68"/>
      <c r="K43" s="68"/>
      <c r="L43" s="68"/>
      <c r="M43" s="68"/>
      <c r="N43" s="68"/>
      <c r="O43"/>
      <c r="P43"/>
      <c r="Q43"/>
      <c r="R43"/>
      <c r="S43"/>
      <c r="T43"/>
      <c r="U43"/>
      <c r="V43"/>
      <c r="W43"/>
      <c r="X43"/>
      <c r="Y43"/>
      <c r="Z43"/>
      <c r="AA43"/>
      <c r="AB43"/>
      <c r="AC43"/>
    </row>
    <row r="44" spans="1:29" ht="12.75" x14ac:dyDescent="0.2">
      <c r="A44" s="68"/>
      <c r="B44" s="549"/>
      <c r="C44" s="68"/>
      <c r="D44" s="68"/>
      <c r="E44" s="68"/>
      <c r="F44" s="68"/>
      <c r="G44" s="68"/>
      <c r="H44" s="68"/>
      <c r="I44" s="68"/>
      <c r="J44" s="68"/>
      <c r="K44" s="68"/>
      <c r="L44" s="68"/>
      <c r="M44" s="68"/>
      <c r="N44" s="68"/>
      <c r="O44"/>
      <c r="P44"/>
      <c r="Q44"/>
      <c r="R44"/>
      <c r="S44"/>
      <c r="T44"/>
      <c r="U44"/>
      <c r="V44"/>
      <c r="W44"/>
      <c r="X44"/>
      <c r="Y44"/>
      <c r="Z44"/>
      <c r="AA44"/>
      <c r="AB44"/>
      <c r="AC44"/>
    </row>
    <row r="45" spans="1:29" ht="12.75" x14ac:dyDescent="0.2">
      <c r="A45" s="68"/>
      <c r="B45" s="68"/>
      <c r="C45" s="68"/>
      <c r="D45" s="68"/>
      <c r="E45" s="68"/>
      <c r="F45" s="68"/>
      <c r="G45" s="68"/>
      <c r="H45" s="68"/>
      <c r="I45" s="68"/>
      <c r="J45" s="68"/>
      <c r="K45" s="68"/>
      <c r="L45" s="68"/>
      <c r="M45" s="68"/>
      <c r="N45" s="68"/>
      <c r="O45"/>
      <c r="P45"/>
      <c r="Q45"/>
      <c r="R45"/>
      <c r="S45"/>
      <c r="T45"/>
      <c r="U45"/>
      <c r="V45"/>
      <c r="W45"/>
      <c r="X45"/>
      <c r="Y45"/>
      <c r="Z45"/>
      <c r="AA45"/>
      <c r="AB45"/>
      <c r="AC45"/>
    </row>
  </sheetData>
  <sheetProtection password="CD9E" sheet="1" objects="1" scenarios="1" selectLockedCells="1"/>
  <mergeCells count="8">
    <mergeCell ref="A12:A13"/>
    <mergeCell ref="B11:C11"/>
    <mergeCell ref="B12:C12"/>
    <mergeCell ref="L12:M12"/>
    <mergeCell ref="B13:C13"/>
    <mergeCell ref="D13:E13"/>
    <mergeCell ref="F13:G13"/>
    <mergeCell ref="I13:J13"/>
  </mergeCells>
  <dataValidations count="1">
    <dataValidation type="list" allowBlank="1" showInputMessage="1" showErrorMessage="1" sqref="B41:B44">
      <formula1>ModelQuest</formula1>
    </dataValidation>
  </dataValidations>
  <hyperlinks>
    <hyperlink ref="A2" location="'Error colours'!A1" display="Explicatory notice'!A9"/>
    <hyperlink ref="A3" location="Cntry!A1" display="Go to country metadata"/>
    <hyperlink ref="A1" location="'List of tables'!A9" display="'List of tables'!A9"/>
  </hyperlinks>
  <pageMargins left="0.35433070866141736" right="0.35433070866141736" top="0.98425196850393704" bottom="0.98425196850393704" header="0.51181102362204722" footer="0.51181102362204722"/>
  <pageSetup paperSize="9" scale="48" orientation="portrait" r:id="rId1"/>
  <headerFooter alignWithMargins="0">
    <oddHeader>&amp;LCDH&amp;C &amp;F&amp;R&amp;A</oddHead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46"/>
    <pageSetUpPr fitToPage="1"/>
  </sheetPr>
  <dimension ref="A1:AA36"/>
  <sheetViews>
    <sheetView showGridLines="0" workbookViewId="0">
      <selection activeCell="G26" sqref="G26"/>
    </sheetView>
  </sheetViews>
  <sheetFormatPr baseColWidth="10" defaultColWidth="9.140625" defaultRowHeight="12.75" x14ac:dyDescent="0.2"/>
  <cols>
    <col min="1" max="1" width="45.140625" style="31" customWidth="1"/>
    <col min="2" max="2" width="17.140625" style="31" customWidth="1"/>
    <col min="3" max="3" width="6.7109375" style="31" customWidth="1"/>
    <col min="4" max="4" width="14.7109375" style="31" customWidth="1"/>
    <col min="5" max="5" width="6.7109375" style="31" customWidth="1"/>
    <col min="6" max="6" width="16.7109375" style="31" customWidth="1"/>
    <col min="7" max="7" width="14.7109375" style="31" customWidth="1"/>
    <col min="8" max="8" width="6.7109375" style="31" customWidth="1"/>
    <col min="9" max="16384" width="9.140625" style="31"/>
  </cols>
  <sheetData>
    <row r="1" spans="1:9" s="66" customFormat="1" ht="12" customHeight="1" x14ac:dyDescent="0.2">
      <c r="A1" s="26" t="s">
        <v>6</v>
      </c>
    </row>
    <row r="2" spans="1:9" s="66" customFormat="1" ht="12" customHeight="1" x14ac:dyDescent="0.2">
      <c r="A2" s="28" t="s">
        <v>10</v>
      </c>
    </row>
    <row r="3" spans="1:9" s="66" customFormat="1" ht="12" customHeight="1" x14ac:dyDescent="0.2">
      <c r="A3" s="28" t="s">
        <v>7</v>
      </c>
    </row>
    <row r="4" spans="1:9" ht="15" customHeight="1" x14ac:dyDescent="0.2">
      <c r="A4" s="67" t="s">
        <v>222</v>
      </c>
      <c r="B4" s="67"/>
      <c r="C4" s="67"/>
      <c r="D4" s="67"/>
      <c r="E4" s="67"/>
      <c r="F4" s="67"/>
      <c r="G4" s="67"/>
      <c r="H4" s="67"/>
      <c r="I4" s="68"/>
    </row>
    <row r="5" spans="1:9" s="131" customFormat="1" ht="15" customHeight="1" x14ac:dyDescent="0.2"/>
    <row r="6" spans="1:9" s="131" customFormat="1" ht="15" customHeight="1" x14ac:dyDescent="0.2">
      <c r="A6" s="253"/>
      <c r="B6" s="253"/>
      <c r="C6" s="253"/>
      <c r="D6" s="253"/>
      <c r="E6" s="253"/>
      <c r="F6" s="253"/>
      <c r="G6" s="253"/>
      <c r="H6" s="253"/>
      <c r="I6" s="253"/>
    </row>
    <row r="7" spans="1:9" ht="15.75" x14ac:dyDescent="0.25">
      <c r="A7" s="69" t="s">
        <v>796</v>
      </c>
      <c r="B7" s="68"/>
      <c r="C7" s="68"/>
      <c r="D7" s="68"/>
      <c r="E7" s="68"/>
      <c r="F7" s="68"/>
      <c r="G7" s="68"/>
      <c r="H7" s="68"/>
      <c r="I7" s="68"/>
    </row>
    <row r="8" spans="1:9" x14ac:dyDescent="0.2">
      <c r="A8" s="70" t="s">
        <v>21</v>
      </c>
      <c r="B8" s="68"/>
      <c r="C8" s="68"/>
      <c r="D8" s="68"/>
      <c r="E8" s="68"/>
      <c r="F8" s="68"/>
      <c r="G8" s="68"/>
      <c r="H8" s="68"/>
      <c r="I8" s="68"/>
    </row>
    <row r="9" spans="1:9" ht="15" customHeight="1" x14ac:dyDescent="0.2">
      <c r="A9" s="254"/>
      <c r="B9" s="255" t="s">
        <v>34</v>
      </c>
      <c r="C9" s="255"/>
      <c r="D9" s="487">
        <v>2014</v>
      </c>
      <c r="E9" s="68"/>
      <c r="F9" s="68"/>
      <c r="G9" s="268"/>
      <c r="H9" s="268"/>
      <c r="I9" s="68"/>
    </row>
    <row r="10" spans="1:9" ht="15" customHeight="1" x14ac:dyDescent="0.2">
      <c r="A10" s="68"/>
      <c r="B10" s="68"/>
      <c r="C10" s="68"/>
      <c r="D10" s="68"/>
      <c r="E10" s="68"/>
      <c r="F10" s="68"/>
      <c r="G10" s="68"/>
      <c r="H10" s="68"/>
      <c r="I10" s="68"/>
    </row>
    <row r="11" spans="1:9" ht="15" customHeight="1" x14ac:dyDescent="0.2">
      <c r="A11" s="269"/>
      <c r="B11" s="1111"/>
      <c r="C11" s="1111"/>
      <c r="D11" s="1111"/>
      <c r="E11" s="1111"/>
      <c r="F11" s="1111"/>
      <c r="G11" s="1111"/>
      <c r="H11" s="1111"/>
      <c r="I11" s="68"/>
    </row>
    <row r="12" spans="1:9" ht="15" customHeight="1" x14ac:dyDescent="0.2">
      <c r="A12" s="256"/>
      <c r="B12" s="1705" t="s">
        <v>226</v>
      </c>
      <c r="C12" s="1706"/>
      <c r="D12" s="1706"/>
      <c r="E12" s="1706"/>
      <c r="F12" s="1706"/>
      <c r="G12" s="1706"/>
      <c r="H12" s="1707"/>
      <c r="I12" s="68"/>
    </row>
    <row r="13" spans="1:9" ht="27" customHeight="1" x14ac:dyDescent="0.2">
      <c r="A13" s="270" t="s">
        <v>227</v>
      </c>
      <c r="B13" s="1710" t="str">
        <f>"In "&amp;Cntry!$D$8</f>
        <v xml:space="preserve">In Chile </v>
      </c>
      <c r="C13" s="1711"/>
      <c r="D13" s="1711" t="s">
        <v>228</v>
      </c>
      <c r="E13" s="1711"/>
      <c r="F13" s="1460" t="s">
        <v>229</v>
      </c>
      <c r="G13" s="1708" t="s">
        <v>42</v>
      </c>
      <c r="H13" s="1709"/>
      <c r="I13" s="68"/>
    </row>
    <row r="14" spans="1:9" ht="15" customHeight="1" x14ac:dyDescent="0.2">
      <c r="A14" s="271" t="str">
        <f>"Previous degree obtained in "&amp;Cntry!$D$8</f>
        <v xml:space="preserve">Previous degree obtained in Chile </v>
      </c>
      <c r="B14" s="488">
        <v>21.384512683600001</v>
      </c>
      <c r="C14" s="1102" t="s">
        <v>910</v>
      </c>
      <c r="D14" s="489">
        <v>49.897196261700003</v>
      </c>
      <c r="E14" s="1107" t="s">
        <v>910</v>
      </c>
      <c r="F14" s="490"/>
      <c r="G14" s="1112">
        <f>SUM(B14,D14,F14)</f>
        <v>71.281708945300011</v>
      </c>
      <c r="H14" s="1116" t="s">
        <v>910</v>
      </c>
      <c r="I14" s="68"/>
    </row>
    <row r="15" spans="1:9" ht="15" customHeight="1" x14ac:dyDescent="0.2">
      <c r="A15" s="271" t="s">
        <v>667</v>
      </c>
      <c r="B15" s="491">
        <v>363.53672</v>
      </c>
      <c r="C15" s="1103" t="s">
        <v>910</v>
      </c>
      <c r="D15" s="492">
        <v>791.22697000000005</v>
      </c>
      <c r="E15" s="1108" t="s">
        <v>910</v>
      </c>
      <c r="F15" s="493"/>
      <c r="G15" s="1112">
        <f t="shared" ref="G15:G16" si="0">SUM(B15,D15,F15)</f>
        <v>1154.76369</v>
      </c>
      <c r="H15" s="1117" t="s">
        <v>910</v>
      </c>
      <c r="I15" s="68"/>
    </row>
    <row r="16" spans="1:9" ht="15" customHeight="1" x14ac:dyDescent="0.2">
      <c r="A16" s="272" t="s">
        <v>230</v>
      </c>
      <c r="B16" s="494"/>
      <c r="C16" s="1104"/>
      <c r="D16" s="495">
        <f>57.0253671562 +49.8971962617+ 28.5126835781+  7.12817089453+ 28.5126835781+57.0253671562+ 42.7690253672+7.12817089453+ 35.6408544726+14.2563417891+7.12817089453 +14.2563417891+ 7.12817089453 + 14.2563417891 +14.2563417891 +  7.12817089453  + 7.12817089453</f>
        <v>399.17757009368006</v>
      </c>
      <c r="E16" s="1109" t="s">
        <v>910</v>
      </c>
      <c r="F16" s="496"/>
      <c r="G16" s="1113">
        <f t="shared" si="0"/>
        <v>399.17757009368006</v>
      </c>
      <c r="H16" s="1118" t="s">
        <v>910</v>
      </c>
      <c r="I16" s="68"/>
    </row>
    <row r="17" spans="1:27" ht="15" customHeight="1" x14ac:dyDescent="0.2">
      <c r="A17" s="273" t="s">
        <v>231</v>
      </c>
      <c r="B17" s="497">
        <f>1682.2483+ 2573.2697</f>
        <v>4255.518</v>
      </c>
      <c r="C17" s="1105" t="s">
        <v>910</v>
      </c>
      <c r="D17" s="498">
        <f>1532.5567+3578.3418</f>
        <v>5110.8985000000002</v>
      </c>
      <c r="E17" s="499" t="s">
        <v>910</v>
      </c>
      <c r="F17" s="499"/>
      <c r="G17" s="1114">
        <f>SUM(B17,D17,F17)</f>
        <v>9366.4164999999994</v>
      </c>
      <c r="H17" s="1119" t="s">
        <v>910</v>
      </c>
      <c r="I17" s="68"/>
    </row>
    <row r="18" spans="1:27" ht="15" customHeight="1" x14ac:dyDescent="0.2">
      <c r="A18" s="274" t="s">
        <v>31</v>
      </c>
      <c r="B18" s="500">
        <f>SUM(B14:B15,B17)</f>
        <v>4640.4392326836005</v>
      </c>
      <c r="C18" s="1106" t="s">
        <v>910</v>
      </c>
      <c r="D18" s="501">
        <f>SUM(D14:D15,D17)</f>
        <v>5952.0226662617006</v>
      </c>
      <c r="E18" s="1110" t="s">
        <v>910</v>
      </c>
      <c r="F18" s="502"/>
      <c r="G18" s="1115">
        <f>SUM(G14:G15,G17)</f>
        <v>10592.461898945299</v>
      </c>
      <c r="H18" s="1120" t="s">
        <v>910</v>
      </c>
      <c r="I18" s="68"/>
    </row>
    <row r="19" spans="1:27" ht="15" customHeight="1" x14ac:dyDescent="0.2">
      <c r="A19" s="68"/>
      <c r="B19" s="68"/>
      <c r="C19" s="68"/>
      <c r="D19" s="68"/>
      <c r="E19" s="68"/>
      <c r="F19" s="68"/>
      <c r="G19" s="68"/>
      <c r="H19" s="68"/>
      <c r="I19" s="68"/>
    </row>
    <row r="20" spans="1:27" ht="15" customHeight="1" x14ac:dyDescent="0.2">
      <c r="A20" s="68"/>
      <c r="B20" s="68"/>
      <c r="C20" s="68"/>
      <c r="D20" s="68"/>
      <c r="E20" s="68"/>
      <c r="F20" s="68"/>
      <c r="G20" s="68"/>
      <c r="H20" s="68"/>
      <c r="I20" s="68"/>
    </row>
    <row r="21" spans="1:27" ht="15" customHeight="1" x14ac:dyDescent="0.2">
      <c r="A21" s="71" t="s">
        <v>32</v>
      </c>
      <c r="B21" s="56" t="s">
        <v>1053</v>
      </c>
      <c r="C21" s="56"/>
      <c r="D21" s="57"/>
      <c r="E21" s="57"/>
      <c r="F21" s="57"/>
      <c r="G21" s="57"/>
      <c r="H21" s="57"/>
      <c r="I21" s="68"/>
    </row>
    <row r="22" spans="1:27" ht="15" customHeight="1" x14ac:dyDescent="0.2">
      <c r="A22" s="68"/>
      <c r="B22" s="58" t="s">
        <v>1052</v>
      </c>
      <c r="C22" s="58"/>
      <c r="D22" s="59"/>
      <c r="E22" s="59"/>
      <c r="F22" s="59"/>
      <c r="G22" s="59"/>
      <c r="H22" s="59"/>
      <c r="I22" s="68"/>
    </row>
    <row r="23" spans="1:27" ht="15" customHeight="1" x14ac:dyDescent="0.2">
      <c r="A23" s="68"/>
      <c r="B23" s="58"/>
      <c r="C23" s="58"/>
      <c r="D23" s="59"/>
      <c r="E23" s="59"/>
      <c r="F23" s="59"/>
      <c r="G23" s="59"/>
      <c r="H23" s="59"/>
      <c r="I23" s="68"/>
    </row>
    <row r="24" spans="1:27" ht="15" customHeight="1" x14ac:dyDescent="0.2">
      <c r="A24" s="68"/>
      <c r="B24" s="58"/>
      <c r="C24" s="58"/>
      <c r="D24" s="59"/>
      <c r="E24" s="59"/>
      <c r="F24" s="59"/>
      <c r="G24" s="59"/>
      <c r="H24" s="59"/>
      <c r="I24" s="68"/>
    </row>
    <row r="25" spans="1:27" ht="15" customHeight="1" x14ac:dyDescent="0.2">
      <c r="A25" s="68"/>
      <c r="B25" s="68"/>
      <c r="C25" s="68"/>
      <c r="D25" s="68"/>
      <c r="E25" s="68"/>
      <c r="F25" s="68"/>
      <c r="G25" s="68"/>
      <c r="H25" s="68"/>
      <c r="I25" s="68"/>
    </row>
    <row r="26" spans="1:27" ht="15" customHeight="1" x14ac:dyDescent="0.2">
      <c r="A26" s="71" t="s">
        <v>33</v>
      </c>
      <c r="B26" s="56"/>
      <c r="C26" s="56"/>
      <c r="D26" s="57"/>
      <c r="E26" s="57"/>
      <c r="F26" s="57"/>
      <c r="G26" s="57"/>
      <c r="H26" s="57"/>
      <c r="I26" s="68"/>
    </row>
    <row r="27" spans="1:27" ht="15" customHeight="1" x14ac:dyDescent="0.2">
      <c r="A27" s="68"/>
      <c r="B27" s="58"/>
      <c r="C27" s="58"/>
      <c r="D27" s="59"/>
      <c r="E27" s="59"/>
      <c r="F27" s="59"/>
      <c r="G27" s="59"/>
      <c r="H27" s="59"/>
      <c r="I27" s="68"/>
    </row>
    <row r="28" spans="1:27" ht="15" customHeight="1" x14ac:dyDescent="0.2">
      <c r="A28" s="68"/>
      <c r="B28" s="58"/>
      <c r="C28" s="58"/>
      <c r="D28" s="59"/>
      <c r="E28" s="59"/>
      <c r="F28" s="59"/>
      <c r="G28" s="59"/>
      <c r="H28" s="59"/>
      <c r="I28" s="68"/>
    </row>
    <row r="29" spans="1:27" ht="15" customHeight="1" x14ac:dyDescent="0.2">
      <c r="A29" s="68"/>
      <c r="B29" s="58"/>
      <c r="C29" s="58"/>
      <c r="D29" s="59"/>
      <c r="E29" s="59"/>
      <c r="F29" s="59"/>
      <c r="G29" s="59"/>
      <c r="H29" s="59"/>
      <c r="I29" s="68"/>
    </row>
    <row r="30" spans="1:27" ht="15" customHeight="1" x14ac:dyDescent="0.2">
      <c r="A30" s="68"/>
      <c r="B30" s="68"/>
      <c r="C30" s="68"/>
      <c r="D30" s="68"/>
      <c r="E30" s="68"/>
      <c r="F30" s="68"/>
      <c r="G30" s="68"/>
      <c r="H30" s="68"/>
      <c r="I30" s="68"/>
      <c r="J30"/>
      <c r="K30"/>
      <c r="L30"/>
    </row>
    <row r="31" spans="1:27" x14ac:dyDescent="0.2">
      <c r="A31" s="71" t="s">
        <v>661</v>
      </c>
      <c r="B31" s="548"/>
      <c r="C31" s="68"/>
      <c r="D31" s="68"/>
      <c r="E31" s="68"/>
      <c r="F31" s="68"/>
      <c r="G31" s="68"/>
      <c r="H31" s="68"/>
      <c r="I31" s="68"/>
      <c r="J31"/>
      <c r="K31"/>
      <c r="L31"/>
      <c r="M31"/>
      <c r="N31"/>
      <c r="O31"/>
      <c r="P31"/>
      <c r="Q31"/>
      <c r="R31"/>
      <c r="S31"/>
      <c r="T31"/>
      <c r="U31"/>
      <c r="V31"/>
      <c r="W31"/>
      <c r="X31"/>
      <c r="Y31"/>
      <c r="Z31"/>
      <c r="AA31"/>
    </row>
    <row r="32" spans="1:27" x14ac:dyDescent="0.2">
      <c r="A32" s="68" t="s">
        <v>662</v>
      </c>
      <c r="B32" s="549"/>
      <c r="C32" s="68"/>
      <c r="D32" s="68"/>
      <c r="E32" s="68"/>
      <c r="F32" s="68"/>
      <c r="G32" s="68"/>
      <c r="H32" s="68"/>
      <c r="I32" s="68"/>
      <c r="J32"/>
      <c r="K32"/>
      <c r="L32"/>
      <c r="M32"/>
      <c r="N32"/>
      <c r="O32"/>
      <c r="P32"/>
      <c r="Q32"/>
      <c r="R32"/>
      <c r="S32"/>
      <c r="T32"/>
      <c r="U32"/>
      <c r="V32"/>
      <c r="W32"/>
      <c r="X32"/>
      <c r="Y32"/>
      <c r="Z32"/>
      <c r="AA32"/>
    </row>
    <row r="33" spans="1:27" x14ac:dyDescent="0.2">
      <c r="A33" s="68"/>
      <c r="B33" s="549"/>
      <c r="C33" s="68"/>
      <c r="D33" s="68"/>
      <c r="E33" s="68"/>
      <c r="F33" s="68"/>
      <c r="G33" s="68"/>
      <c r="H33" s="68"/>
      <c r="I33" s="68"/>
      <c r="J33"/>
      <c r="K33"/>
      <c r="L33"/>
      <c r="M33"/>
      <c r="N33"/>
      <c r="O33"/>
      <c r="P33"/>
      <c r="Q33"/>
      <c r="R33"/>
      <c r="S33"/>
      <c r="T33"/>
      <c r="U33"/>
      <c r="V33"/>
      <c r="W33"/>
      <c r="X33"/>
      <c r="Y33"/>
      <c r="Z33"/>
      <c r="AA33"/>
    </row>
    <row r="34" spans="1:27" x14ac:dyDescent="0.2">
      <c r="A34" s="68"/>
      <c r="B34" s="549"/>
      <c r="C34" s="68"/>
      <c r="D34" s="68"/>
      <c r="E34" s="68"/>
      <c r="F34" s="68"/>
      <c r="G34" s="68"/>
      <c r="H34" s="68"/>
      <c r="I34" s="68"/>
      <c r="J34"/>
      <c r="K34"/>
      <c r="L34"/>
      <c r="M34"/>
      <c r="N34"/>
      <c r="O34"/>
      <c r="P34"/>
      <c r="Q34"/>
      <c r="R34"/>
      <c r="S34"/>
      <c r="T34"/>
      <c r="U34"/>
      <c r="V34"/>
      <c r="W34"/>
      <c r="X34"/>
      <c r="Y34"/>
      <c r="Z34"/>
      <c r="AA34"/>
    </row>
    <row r="35" spans="1:27" x14ac:dyDescent="0.2">
      <c r="A35" s="68"/>
      <c r="B35" s="68"/>
      <c r="C35" s="68"/>
      <c r="D35" s="68"/>
      <c r="E35" s="68"/>
      <c r="F35" s="68"/>
      <c r="G35" s="68"/>
      <c r="H35" s="68"/>
      <c r="I35" s="68"/>
      <c r="J35"/>
      <c r="K35"/>
      <c r="L35"/>
      <c r="M35"/>
      <c r="N35"/>
      <c r="O35"/>
      <c r="P35"/>
      <c r="Q35"/>
      <c r="R35"/>
      <c r="S35"/>
      <c r="T35"/>
      <c r="U35"/>
      <c r="V35"/>
      <c r="W35"/>
      <c r="X35"/>
      <c r="Y35"/>
      <c r="Z35"/>
      <c r="AA35"/>
    </row>
    <row r="36" spans="1:27" x14ac:dyDescent="0.2">
      <c r="J36"/>
      <c r="K36"/>
      <c r="L36"/>
    </row>
  </sheetData>
  <sheetProtection password="CD9E" sheet="1" objects="1" scenarios="1" selectLockedCells="1"/>
  <mergeCells count="4">
    <mergeCell ref="B12:H12"/>
    <mergeCell ref="G13:H13"/>
    <mergeCell ref="B13:C13"/>
    <mergeCell ref="D13:E13"/>
  </mergeCells>
  <dataValidations count="1">
    <dataValidation type="list" allowBlank="1" showInputMessage="1" showErrorMessage="1" sqref="B31:B34">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4803149606299213" right="0.74803149606299213" top="0.98425196850393704" bottom="0.98425196850393704" header="0.51181102362204722" footer="0.51181102362204722"/>
  <pageSetup paperSize="9" scale="91" orientation="landscape" r:id="rId1"/>
  <headerFooter alignWithMargins="0">
    <oddHeader>&amp;LCDH&amp;C &amp;F&amp;R&amp;A</oddHeader>
    <oddFooter>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CC99FF"/>
    <pageSetUpPr fitToPage="1"/>
  </sheetPr>
  <dimension ref="A1:AG63"/>
  <sheetViews>
    <sheetView showGridLines="0" topLeftCell="A10" zoomScale="90" zoomScaleNormal="90" workbookViewId="0">
      <selection activeCell="I34" sqref="I34"/>
    </sheetView>
  </sheetViews>
  <sheetFormatPr baseColWidth="10" defaultColWidth="9.140625" defaultRowHeight="15" customHeight="1" x14ac:dyDescent="0.2"/>
  <cols>
    <col min="1" max="1" width="35.7109375" style="31" customWidth="1"/>
    <col min="2" max="2" width="12.7109375" style="31" customWidth="1"/>
    <col min="3" max="3" width="6.7109375" style="31" customWidth="1"/>
    <col min="4" max="4" width="12.7109375" style="31" customWidth="1"/>
    <col min="5" max="5" width="6.7109375" style="31" customWidth="1"/>
    <col min="6" max="6" width="12.7109375" style="31" customWidth="1"/>
    <col min="7" max="7" width="6.7109375" style="31" customWidth="1"/>
    <col min="8" max="8" width="12.7109375" style="31" customWidth="1"/>
    <col min="9" max="9" width="6.7109375" style="31" customWidth="1"/>
    <col min="10" max="10" width="12.7109375" style="31" customWidth="1"/>
    <col min="11" max="11" width="6.7109375" style="31" customWidth="1"/>
    <col min="12" max="12" width="12.7109375" style="31" customWidth="1"/>
    <col min="13" max="13" width="6.7109375" style="31" customWidth="1"/>
    <col min="14" max="14" width="12.7109375" style="31" customWidth="1"/>
    <col min="15" max="15" width="6.7109375" style="31" customWidth="1"/>
    <col min="16" max="16384" width="9.140625" style="31"/>
  </cols>
  <sheetData>
    <row r="1" spans="1:17" s="66" customFormat="1" ht="12" customHeight="1" x14ac:dyDescent="0.2">
      <c r="A1" s="26" t="s">
        <v>6</v>
      </c>
    </row>
    <row r="2" spans="1:17" s="66" customFormat="1" ht="12" customHeight="1" x14ac:dyDescent="0.2">
      <c r="A2" s="28" t="s">
        <v>10</v>
      </c>
    </row>
    <row r="3" spans="1:17" s="66" customFormat="1" ht="12" customHeight="1" x14ac:dyDescent="0.2">
      <c r="A3" s="28" t="s">
        <v>7</v>
      </c>
    </row>
    <row r="4" spans="1:17" ht="15" customHeight="1" x14ac:dyDescent="0.2">
      <c r="A4" s="67" t="s">
        <v>222</v>
      </c>
      <c r="B4" s="67"/>
      <c r="C4" s="67"/>
      <c r="D4" s="67"/>
      <c r="E4" s="67"/>
      <c r="F4" s="67"/>
      <c r="G4" s="67"/>
      <c r="H4" s="67"/>
      <c r="I4" s="67"/>
      <c r="J4" s="72"/>
      <c r="K4" s="72"/>
      <c r="L4" s="67"/>
      <c r="M4" s="67"/>
      <c r="N4" s="72"/>
      <c r="O4" s="72"/>
      <c r="P4" s="72"/>
      <c r="Q4" s="72"/>
    </row>
    <row r="5" spans="1:17" s="131" customFormat="1" ht="15" customHeight="1" x14ac:dyDescent="0.2"/>
    <row r="6" spans="1:17" s="131" customFormat="1" ht="15" customHeight="1" x14ac:dyDescent="0.2">
      <c r="A6" s="253"/>
      <c r="B6" s="253"/>
      <c r="C6" s="253"/>
      <c r="D6" s="253"/>
      <c r="E6" s="253"/>
      <c r="F6" s="253"/>
      <c r="G6" s="253"/>
      <c r="H6" s="253"/>
      <c r="I6" s="253"/>
      <c r="J6" s="253"/>
      <c r="K6" s="253"/>
      <c r="L6" s="253"/>
      <c r="M6" s="253"/>
      <c r="N6" s="253"/>
      <c r="O6" s="253"/>
      <c r="P6" s="253"/>
      <c r="Q6" s="253"/>
    </row>
    <row r="7" spans="1:17" ht="15" customHeight="1" x14ac:dyDescent="0.25">
      <c r="A7" s="69" t="s">
        <v>806</v>
      </c>
      <c r="B7" s="68"/>
      <c r="C7" s="68"/>
      <c r="D7" s="68"/>
      <c r="E7" s="68"/>
      <c r="F7" s="68"/>
      <c r="G7" s="68"/>
      <c r="H7" s="68"/>
      <c r="I7" s="68"/>
      <c r="J7" s="68"/>
      <c r="K7" s="68"/>
      <c r="L7" s="68"/>
      <c r="M7" s="68"/>
      <c r="N7" s="68"/>
      <c r="O7" s="68"/>
      <c r="P7" s="68"/>
      <c r="Q7" s="68"/>
    </row>
    <row r="8" spans="1:17" ht="15" customHeight="1" x14ac:dyDescent="0.2">
      <c r="A8" s="70" t="s">
        <v>232</v>
      </c>
      <c r="B8" s="68"/>
      <c r="C8" s="68"/>
      <c r="D8" s="68"/>
      <c r="E8" s="68"/>
      <c r="F8" s="68"/>
      <c r="G8" s="68"/>
      <c r="H8" s="68"/>
      <c r="I8" s="68"/>
      <c r="J8" s="68"/>
      <c r="K8" s="68"/>
      <c r="L8" s="68"/>
      <c r="M8" s="68"/>
      <c r="N8" s="68"/>
      <c r="O8" s="68"/>
      <c r="P8" s="68"/>
      <c r="Q8" s="68"/>
    </row>
    <row r="9" spans="1:17" ht="15" customHeight="1" x14ac:dyDescent="0.2">
      <c r="A9" s="254"/>
      <c r="B9" s="255" t="s">
        <v>34</v>
      </c>
      <c r="C9" s="255"/>
      <c r="D9" s="503">
        <v>2014</v>
      </c>
      <c r="E9" s="68"/>
      <c r="F9" s="68"/>
      <c r="G9" s="68"/>
      <c r="H9" s="68"/>
      <c r="I9" s="68"/>
      <c r="J9" s="68"/>
      <c r="K9" s="68"/>
      <c r="L9" s="68"/>
      <c r="M9" s="68"/>
      <c r="N9" s="68"/>
      <c r="O9" s="68"/>
      <c r="P9" s="68"/>
      <c r="Q9" s="68"/>
    </row>
    <row r="10" spans="1:17" ht="15" customHeight="1" x14ac:dyDescent="0.2">
      <c r="A10" s="254"/>
      <c r="B10" s="68"/>
      <c r="C10" s="68"/>
      <c r="D10" s="68"/>
      <c r="E10" s="68"/>
      <c r="F10" s="68"/>
      <c r="G10" s="68"/>
      <c r="H10" s="68"/>
      <c r="I10" s="68"/>
      <c r="J10" s="68"/>
      <c r="K10" s="68"/>
      <c r="L10" s="68"/>
      <c r="M10" s="68"/>
      <c r="N10" s="68"/>
      <c r="O10" s="68"/>
      <c r="P10" s="68"/>
      <c r="Q10" s="68"/>
    </row>
    <row r="11" spans="1:17" ht="15" customHeight="1" x14ac:dyDescent="0.2">
      <c r="A11" s="254"/>
      <c r="B11" s="68"/>
      <c r="C11" s="68"/>
      <c r="D11" s="68"/>
      <c r="E11" s="68"/>
      <c r="F11" s="68"/>
      <c r="G11" s="68"/>
      <c r="H11" s="68"/>
      <c r="I11" s="68"/>
      <c r="J11" s="68"/>
      <c r="K11" s="68"/>
      <c r="L11" s="68"/>
      <c r="M11" s="68"/>
      <c r="N11" s="68"/>
      <c r="O11" s="68"/>
      <c r="P11" s="68"/>
      <c r="Q11" s="68"/>
    </row>
    <row r="12" spans="1:17" ht="38.25" customHeight="1" x14ac:dyDescent="0.2">
      <c r="A12" s="1725"/>
      <c r="B12" s="1727" t="s">
        <v>233</v>
      </c>
      <c r="C12" s="1728"/>
      <c r="D12" s="1719" t="s">
        <v>824</v>
      </c>
      <c r="E12" s="1720"/>
      <c r="F12" s="1720"/>
      <c r="G12" s="1721"/>
      <c r="H12" s="1719" t="s">
        <v>825</v>
      </c>
      <c r="I12" s="1720"/>
      <c r="J12" s="1720"/>
      <c r="K12" s="1721"/>
      <c r="L12" s="1722" t="s">
        <v>826</v>
      </c>
      <c r="M12" s="1723"/>
      <c r="N12" s="1723"/>
      <c r="O12" s="1724"/>
      <c r="P12" s="68"/>
      <c r="Q12" s="68"/>
    </row>
    <row r="13" spans="1:17" ht="27" customHeight="1" x14ac:dyDescent="0.2">
      <c r="A13" s="1726"/>
      <c r="B13" s="1729" t="s">
        <v>668</v>
      </c>
      <c r="C13" s="1730"/>
      <c r="D13" s="1712" t="s">
        <v>234</v>
      </c>
      <c r="E13" s="1713"/>
      <c r="F13" s="1713" t="s">
        <v>235</v>
      </c>
      <c r="G13" s="1714"/>
      <c r="H13" s="1712" t="s">
        <v>234</v>
      </c>
      <c r="I13" s="1713"/>
      <c r="J13" s="1713" t="s">
        <v>235</v>
      </c>
      <c r="K13" s="1714"/>
      <c r="L13" s="1715" t="s">
        <v>234</v>
      </c>
      <c r="M13" s="1716"/>
      <c r="N13" s="1717" t="s">
        <v>235</v>
      </c>
      <c r="O13" s="1718"/>
      <c r="P13" s="68"/>
      <c r="Q13" s="68"/>
    </row>
    <row r="14" spans="1:17" s="39" customFormat="1" ht="18" customHeight="1" x14ac:dyDescent="0.2">
      <c r="A14" s="978" t="s">
        <v>771</v>
      </c>
      <c r="B14" s="979">
        <f>SUM(B15:B20)</f>
        <v>2074.2977303073999</v>
      </c>
      <c r="C14" s="1121"/>
      <c r="D14" s="979">
        <v>35.348280000000003</v>
      </c>
      <c r="E14" s="1134"/>
      <c r="F14" s="1141">
        <v>33</v>
      </c>
      <c r="G14" s="1126"/>
      <c r="H14" s="979">
        <v>62.09966</v>
      </c>
      <c r="I14" s="1126"/>
      <c r="J14" s="1134">
        <v>58</v>
      </c>
      <c r="K14" s="1126"/>
      <c r="L14" s="984"/>
      <c r="M14" s="1127"/>
      <c r="N14" s="1148"/>
      <c r="O14" s="1155"/>
      <c r="P14" s="980"/>
      <c r="Q14" s="980"/>
    </row>
    <row r="15" spans="1:17" ht="15" customHeight="1" x14ac:dyDescent="0.2">
      <c r="A15" s="261" t="s">
        <v>236</v>
      </c>
      <c r="B15" s="504">
        <v>762.71428571399997</v>
      </c>
      <c r="C15" s="1122"/>
      <c r="D15" s="504">
        <v>32.747660000000003</v>
      </c>
      <c r="E15" s="1135"/>
      <c r="F15" s="1142">
        <v>32</v>
      </c>
      <c r="G15" s="1122"/>
      <c r="H15" s="504">
        <v>62.990650000000002</v>
      </c>
      <c r="I15" s="1122"/>
      <c r="J15" s="1135">
        <v>60</v>
      </c>
      <c r="K15" s="1122"/>
      <c r="L15" s="985"/>
      <c r="M15" s="1128"/>
      <c r="N15" s="1149"/>
      <c r="O15" s="1156"/>
      <c r="P15" s="68"/>
      <c r="Q15" s="68"/>
    </row>
    <row r="16" spans="1:17" ht="15" customHeight="1" x14ac:dyDescent="0.2">
      <c r="A16" s="261" t="s">
        <v>237</v>
      </c>
      <c r="B16" s="505">
        <v>277.99866488700002</v>
      </c>
      <c r="C16" s="540"/>
      <c r="D16" s="505">
        <v>33.076920000000001</v>
      </c>
      <c r="E16" s="1136"/>
      <c r="F16" s="1143">
        <v>32</v>
      </c>
      <c r="G16" s="540"/>
      <c r="H16" s="505">
        <v>62.333329999999997</v>
      </c>
      <c r="I16" s="540"/>
      <c r="J16" s="1136">
        <v>56</v>
      </c>
      <c r="K16" s="540"/>
      <c r="L16" s="986"/>
      <c r="M16" s="1129"/>
      <c r="N16" s="1150"/>
      <c r="O16" s="1157"/>
      <c r="P16" s="68"/>
      <c r="Q16" s="68"/>
    </row>
    <row r="17" spans="1:17" ht="15" customHeight="1" x14ac:dyDescent="0.2">
      <c r="A17" s="261" t="s">
        <v>238</v>
      </c>
      <c r="B17" s="505">
        <v>199.58878504699999</v>
      </c>
      <c r="C17" s="540"/>
      <c r="D17" s="494">
        <v>34.44444</v>
      </c>
      <c r="E17" s="1136"/>
      <c r="F17" s="1143">
        <v>35</v>
      </c>
      <c r="G17" s="540"/>
      <c r="H17" s="505">
        <v>60.25</v>
      </c>
      <c r="I17" s="540"/>
      <c r="J17" s="1136">
        <v>58</v>
      </c>
      <c r="K17" s="540"/>
      <c r="L17" s="986"/>
      <c r="M17" s="1129"/>
      <c r="N17" s="1150"/>
      <c r="O17" s="1157"/>
      <c r="P17" s="68"/>
      <c r="Q17" s="68"/>
    </row>
    <row r="18" spans="1:17" ht="15" customHeight="1" x14ac:dyDescent="0.2">
      <c r="A18" s="261" t="s">
        <v>239</v>
      </c>
      <c r="B18" s="505">
        <v>99.794392523400006</v>
      </c>
      <c r="C18" s="540"/>
      <c r="D18" s="505">
        <v>36</v>
      </c>
      <c r="E18" s="1136"/>
      <c r="F18" s="1143">
        <v>33</v>
      </c>
      <c r="G18" s="540"/>
      <c r="H18" s="505">
        <v>73.357140000000001</v>
      </c>
      <c r="I18" s="540"/>
      <c r="J18" s="1136">
        <v>55</v>
      </c>
      <c r="K18" s="540"/>
      <c r="L18" s="986"/>
      <c r="M18" s="1129"/>
      <c r="N18" s="1150"/>
      <c r="O18" s="1157"/>
      <c r="P18" s="68"/>
      <c r="Q18" s="68"/>
    </row>
    <row r="19" spans="1:17" ht="15" customHeight="1" x14ac:dyDescent="0.2">
      <c r="A19" s="261" t="s">
        <v>240</v>
      </c>
      <c r="B19" s="505">
        <v>491.84379172199999</v>
      </c>
      <c r="C19" s="540"/>
      <c r="D19" s="505">
        <v>38.811590000000002</v>
      </c>
      <c r="E19" s="1136"/>
      <c r="F19" s="1143">
        <v>37</v>
      </c>
      <c r="G19" s="540"/>
      <c r="H19" s="505">
        <v>61.652169999999998</v>
      </c>
      <c r="I19" s="540"/>
      <c r="J19" s="1136">
        <v>57</v>
      </c>
      <c r="K19" s="540"/>
      <c r="L19" s="986"/>
      <c r="M19" s="1129"/>
      <c r="N19" s="1150"/>
      <c r="O19" s="1157"/>
      <c r="P19" s="68"/>
      <c r="Q19" s="68"/>
    </row>
    <row r="20" spans="1:17" ht="15" customHeight="1" x14ac:dyDescent="0.2">
      <c r="A20" s="261" t="s">
        <v>241</v>
      </c>
      <c r="B20" s="505">
        <v>242.357810414</v>
      </c>
      <c r="C20" s="540"/>
      <c r="D20" s="494">
        <v>39.558819999999997</v>
      </c>
      <c r="E20" s="1136"/>
      <c r="F20" s="1143">
        <v>37.5</v>
      </c>
      <c r="G20" s="540"/>
      <c r="H20" s="505">
        <v>56.823529999999998</v>
      </c>
      <c r="I20" s="540"/>
      <c r="J20" s="1136">
        <v>55.5</v>
      </c>
      <c r="K20" s="540"/>
      <c r="L20" s="986"/>
      <c r="M20" s="1129"/>
      <c r="N20" s="1150"/>
      <c r="O20" s="1157"/>
      <c r="P20" s="68"/>
      <c r="Q20" s="68"/>
    </row>
    <row r="21" spans="1:17" ht="15" customHeight="1" x14ac:dyDescent="0.2">
      <c r="A21" s="262" t="s">
        <v>242</v>
      </c>
      <c r="B21" s="506"/>
      <c r="C21" s="1123"/>
      <c r="D21" s="506"/>
      <c r="E21" s="1137"/>
      <c r="F21" s="1144"/>
      <c r="G21" s="1123"/>
      <c r="H21" s="506"/>
      <c r="I21" s="1123"/>
      <c r="J21" s="1137"/>
      <c r="K21" s="1123"/>
      <c r="L21" s="987"/>
      <c r="M21" s="1130"/>
      <c r="N21" s="1151"/>
      <c r="O21" s="1158"/>
      <c r="P21" s="68"/>
      <c r="Q21" s="68"/>
    </row>
    <row r="22" spans="1:17" ht="32.25" customHeight="1" x14ac:dyDescent="0.2">
      <c r="A22" s="263" t="s">
        <v>772</v>
      </c>
      <c r="B22" s="504">
        <f>SUM(B23:B28)</f>
        <v>1183.2763600000001</v>
      </c>
      <c r="C22" s="1122"/>
      <c r="D22" s="504">
        <v>35.07273</v>
      </c>
      <c r="E22" s="1135"/>
      <c r="F22" s="1142">
        <v>34</v>
      </c>
      <c r="G22" s="1122"/>
      <c r="H22" s="491">
        <v>61.77711</v>
      </c>
      <c r="I22" s="1122"/>
      <c r="J22" s="1135">
        <v>57</v>
      </c>
      <c r="K22" s="1122"/>
      <c r="L22" s="985"/>
      <c r="M22" s="1128"/>
      <c r="N22" s="1149"/>
      <c r="O22" s="1156"/>
      <c r="P22" s="68"/>
      <c r="Q22" s="68"/>
    </row>
    <row r="23" spans="1:17" ht="15" customHeight="1" x14ac:dyDescent="0.2">
      <c r="A23" s="264" t="s">
        <v>236</v>
      </c>
      <c r="B23" s="507">
        <v>506.10012999999998</v>
      </c>
      <c r="C23" s="1124"/>
      <c r="D23" s="507">
        <v>32.929580000000001</v>
      </c>
      <c r="E23" s="1138"/>
      <c r="F23" s="1145">
        <v>33</v>
      </c>
      <c r="G23" s="1124"/>
      <c r="H23" s="507">
        <v>63.098590000000002</v>
      </c>
      <c r="I23" s="1124"/>
      <c r="J23" s="1138">
        <v>60</v>
      </c>
      <c r="K23" s="1124"/>
      <c r="L23" s="988"/>
      <c r="M23" s="1131"/>
      <c r="N23" s="1152"/>
      <c r="O23" s="1159"/>
      <c r="P23" s="68"/>
      <c r="Q23" s="68"/>
    </row>
    <row r="24" spans="1:17" ht="15" customHeight="1" x14ac:dyDescent="0.2">
      <c r="A24" s="264" t="s">
        <v>237</v>
      </c>
      <c r="B24" s="507">
        <v>185.33243999999999</v>
      </c>
      <c r="C24" s="1124"/>
      <c r="D24" s="507">
        <v>33.692309999999999</v>
      </c>
      <c r="E24" s="1138"/>
      <c r="F24" s="1145">
        <v>31.5</v>
      </c>
      <c r="G24" s="1124"/>
      <c r="H24" s="507">
        <v>62</v>
      </c>
      <c r="I24" s="1124"/>
      <c r="J24" s="1138">
        <v>56</v>
      </c>
      <c r="K24" s="1124"/>
      <c r="L24" s="988"/>
      <c r="M24" s="1131"/>
      <c r="N24" s="1152"/>
      <c r="O24" s="1159"/>
      <c r="P24" s="68"/>
      <c r="Q24" s="68"/>
    </row>
    <row r="25" spans="1:17" ht="15" customHeight="1" x14ac:dyDescent="0.2">
      <c r="A25" s="264" t="s">
        <v>238</v>
      </c>
      <c r="B25" s="507">
        <v>99.794392999999999</v>
      </c>
      <c r="C25" s="1124"/>
      <c r="D25" s="507">
        <v>35.307690000000001</v>
      </c>
      <c r="E25" s="1138"/>
      <c r="F25" s="1145">
        <v>37</v>
      </c>
      <c r="G25" s="1124"/>
      <c r="H25" s="507">
        <v>56.642859999999999</v>
      </c>
      <c r="I25" s="1124"/>
      <c r="J25" s="1138">
        <v>51.5</v>
      </c>
      <c r="K25" s="1124"/>
      <c r="L25" s="988"/>
      <c r="M25" s="1131"/>
      <c r="N25" s="1152"/>
      <c r="O25" s="1159"/>
      <c r="P25" s="68"/>
      <c r="Q25" s="68"/>
    </row>
    <row r="26" spans="1:17" ht="15" customHeight="1" x14ac:dyDescent="0.2">
      <c r="A26" s="264" t="s">
        <v>239</v>
      </c>
      <c r="B26" s="507">
        <v>64.153537999999998</v>
      </c>
      <c r="C26" s="1124"/>
      <c r="D26" s="507">
        <v>36.333329999999997</v>
      </c>
      <c r="E26" s="1138"/>
      <c r="F26" s="1145">
        <v>33</v>
      </c>
      <c r="G26" s="1124"/>
      <c r="H26" s="507">
        <v>81.222219999999993</v>
      </c>
      <c r="I26" s="1124"/>
      <c r="J26" s="1138">
        <v>54</v>
      </c>
      <c r="K26" s="1124"/>
      <c r="L26" s="988"/>
      <c r="M26" s="1131"/>
      <c r="N26" s="1152"/>
      <c r="O26" s="1159"/>
      <c r="P26" s="68"/>
      <c r="Q26" s="68"/>
    </row>
    <row r="27" spans="1:17" ht="15" customHeight="1" x14ac:dyDescent="0.2">
      <c r="A27" s="264" t="s">
        <v>240</v>
      </c>
      <c r="B27" s="507">
        <v>256.61415</v>
      </c>
      <c r="C27" s="1124"/>
      <c r="D27" s="507">
        <v>38.111109999999996</v>
      </c>
      <c r="E27" s="1138"/>
      <c r="F27" s="1145">
        <v>37</v>
      </c>
      <c r="G27" s="1124"/>
      <c r="H27" s="507">
        <v>55.388890000000004</v>
      </c>
      <c r="I27" s="1124"/>
      <c r="J27" s="1138">
        <v>54</v>
      </c>
      <c r="K27" s="1124"/>
      <c r="L27" s="988"/>
      <c r="M27" s="1131"/>
      <c r="N27" s="1152"/>
      <c r="O27" s="1159"/>
      <c r="P27" s="68"/>
      <c r="Q27" s="68"/>
    </row>
    <row r="28" spans="1:17" ht="15" customHeight="1" x14ac:dyDescent="0.2">
      <c r="A28" s="264" t="s">
        <v>241</v>
      </c>
      <c r="B28" s="507">
        <v>71.281709000000006</v>
      </c>
      <c r="C28" s="1124"/>
      <c r="D28" s="507">
        <v>41.5</v>
      </c>
      <c r="E28" s="1138"/>
      <c r="F28" s="1145">
        <v>40.5</v>
      </c>
      <c r="G28" s="1124"/>
      <c r="H28" s="507">
        <v>64.5</v>
      </c>
      <c r="I28" s="1124"/>
      <c r="J28" s="1138">
        <v>59</v>
      </c>
      <c r="K28" s="1124"/>
      <c r="L28" s="988"/>
      <c r="M28" s="1131"/>
      <c r="N28" s="1152"/>
      <c r="O28" s="1159"/>
      <c r="P28" s="68"/>
      <c r="Q28" s="68"/>
    </row>
    <row r="29" spans="1:17" ht="15" customHeight="1" x14ac:dyDescent="0.2">
      <c r="A29" s="265" t="s">
        <v>242</v>
      </c>
      <c r="B29" s="508"/>
      <c r="C29" s="1125"/>
      <c r="D29" s="508"/>
      <c r="E29" s="1139"/>
      <c r="F29" s="1146"/>
      <c r="G29" s="1125"/>
      <c r="H29" s="508"/>
      <c r="I29" s="1125"/>
      <c r="J29" s="1139"/>
      <c r="K29" s="1125"/>
      <c r="L29" s="989"/>
      <c r="M29" s="1132"/>
      <c r="N29" s="1153"/>
      <c r="O29" s="1160"/>
      <c r="P29" s="68"/>
      <c r="Q29" s="68"/>
    </row>
    <row r="30" spans="1:17" ht="32.25" customHeight="1" x14ac:dyDescent="0.2">
      <c r="A30" s="263" t="s">
        <v>773</v>
      </c>
      <c r="B30" s="504">
        <f>SUM(B31:B36)</f>
        <v>891.02135899999996</v>
      </c>
      <c r="C30" s="1122"/>
      <c r="D30" s="504">
        <v>35.712000000000003</v>
      </c>
      <c r="E30" s="1135"/>
      <c r="F30" s="1142">
        <v>33</v>
      </c>
      <c r="G30" s="1122"/>
      <c r="H30" s="504">
        <v>62.527999999999999</v>
      </c>
      <c r="I30" s="1122"/>
      <c r="J30" s="1135">
        <v>59</v>
      </c>
      <c r="K30" s="1122"/>
      <c r="L30" s="985"/>
      <c r="M30" s="1128"/>
      <c r="N30" s="1149"/>
      <c r="O30" s="1156"/>
      <c r="P30" s="68"/>
      <c r="Q30" s="68"/>
    </row>
    <row r="31" spans="1:17" ht="15" customHeight="1" x14ac:dyDescent="0.2">
      <c r="A31" s="264" t="s">
        <v>236</v>
      </c>
      <c r="B31" s="507">
        <v>256.61415</v>
      </c>
      <c r="C31" s="1124"/>
      <c r="D31" s="507">
        <v>32.388890000000004</v>
      </c>
      <c r="E31" s="1138"/>
      <c r="F31" s="1145">
        <v>32</v>
      </c>
      <c r="G31" s="1124"/>
      <c r="H31" s="507">
        <v>62.77778</v>
      </c>
      <c r="I31" s="1124"/>
      <c r="J31" s="1138">
        <v>61.5</v>
      </c>
      <c r="K31" s="1124"/>
      <c r="L31" s="988"/>
      <c r="M31" s="1131"/>
      <c r="N31" s="1152"/>
      <c r="O31" s="1159"/>
      <c r="P31" s="68"/>
      <c r="Q31" s="68"/>
    </row>
    <row r="32" spans="1:17" ht="15" customHeight="1" x14ac:dyDescent="0.2">
      <c r="A32" s="264" t="s">
        <v>237</v>
      </c>
      <c r="B32" s="507">
        <v>92.666222000000005</v>
      </c>
      <c r="C32" s="1124"/>
      <c r="D32" s="507">
        <v>31.846150000000002</v>
      </c>
      <c r="E32" s="1138"/>
      <c r="F32" s="1145">
        <v>32</v>
      </c>
      <c r="G32" s="1124"/>
      <c r="H32" s="507">
        <v>63</v>
      </c>
      <c r="I32" s="1124"/>
      <c r="J32" s="1138">
        <v>56</v>
      </c>
      <c r="K32" s="1124"/>
      <c r="L32" s="988"/>
      <c r="M32" s="1131"/>
      <c r="N32" s="1152"/>
      <c r="O32" s="1159"/>
      <c r="P32" s="68"/>
      <c r="Q32" s="68"/>
    </row>
    <row r="33" spans="1:17" ht="15" customHeight="1" x14ac:dyDescent="0.2">
      <c r="A33" s="264" t="s">
        <v>238</v>
      </c>
      <c r="B33" s="507">
        <v>99.794392999999999</v>
      </c>
      <c r="C33" s="1124"/>
      <c r="D33" s="507">
        <v>33.642859999999999</v>
      </c>
      <c r="E33" s="1138"/>
      <c r="F33" s="1145">
        <v>33.5</v>
      </c>
      <c r="G33" s="1124"/>
      <c r="H33" s="507">
        <v>63.857140000000001</v>
      </c>
      <c r="I33" s="1124"/>
      <c r="J33" s="1138">
        <v>63</v>
      </c>
      <c r="K33" s="1124"/>
      <c r="L33" s="988"/>
      <c r="M33" s="1131"/>
      <c r="N33" s="1152"/>
      <c r="O33" s="1159"/>
      <c r="P33" s="68"/>
      <c r="Q33" s="68"/>
    </row>
    <row r="34" spans="1:17" ht="15" customHeight="1" x14ac:dyDescent="0.2">
      <c r="A34" s="264" t="s">
        <v>239</v>
      </c>
      <c r="B34" s="507">
        <v>35.640853999999997</v>
      </c>
      <c r="C34" s="1124"/>
      <c r="D34" s="507">
        <v>35.4</v>
      </c>
      <c r="E34" s="1138"/>
      <c r="F34" s="1145">
        <v>33</v>
      </c>
      <c r="G34" s="1124"/>
      <c r="H34" s="507">
        <v>59.2</v>
      </c>
      <c r="I34" s="1124"/>
      <c r="J34" s="1138">
        <v>66</v>
      </c>
      <c r="K34" s="1124"/>
      <c r="L34" s="988"/>
      <c r="M34" s="1131"/>
      <c r="N34" s="1152"/>
      <c r="O34" s="1159"/>
      <c r="P34" s="68"/>
      <c r="Q34" s="68"/>
    </row>
    <row r="35" spans="1:17" ht="15" customHeight="1" x14ac:dyDescent="0.2">
      <c r="A35" s="264" t="s">
        <v>240</v>
      </c>
      <c r="B35" s="507">
        <v>235.22963999999999</v>
      </c>
      <c r="C35" s="1124"/>
      <c r="D35" s="507">
        <v>39.575760000000002</v>
      </c>
      <c r="E35" s="1138"/>
      <c r="F35" s="1145">
        <v>37</v>
      </c>
      <c r="G35" s="1124"/>
      <c r="H35" s="507">
        <v>68.484849999999994</v>
      </c>
      <c r="I35" s="1124"/>
      <c r="J35" s="1138">
        <v>60</v>
      </c>
      <c r="K35" s="1124"/>
      <c r="L35" s="988"/>
      <c r="M35" s="1131"/>
      <c r="N35" s="1152"/>
      <c r="O35" s="1159"/>
      <c r="P35" s="68"/>
      <c r="Q35" s="68"/>
    </row>
    <row r="36" spans="1:17" ht="15" customHeight="1" x14ac:dyDescent="0.2">
      <c r="A36" s="264" t="s">
        <v>241</v>
      </c>
      <c r="B36" s="507">
        <v>171.0761</v>
      </c>
      <c r="C36" s="1124"/>
      <c r="D36" s="507">
        <v>38.75</v>
      </c>
      <c r="E36" s="1138"/>
      <c r="F36" s="1145">
        <v>36</v>
      </c>
      <c r="G36" s="1124"/>
      <c r="H36" s="507">
        <v>53.625</v>
      </c>
      <c r="I36" s="1124"/>
      <c r="J36" s="1138">
        <v>55</v>
      </c>
      <c r="K36" s="1124"/>
      <c r="L36" s="988"/>
      <c r="M36" s="1131"/>
      <c r="N36" s="1152"/>
      <c r="O36" s="1159"/>
      <c r="P36" s="68"/>
      <c r="Q36" s="68"/>
    </row>
    <row r="37" spans="1:17" ht="15" customHeight="1" x14ac:dyDescent="0.2">
      <c r="A37" s="265" t="s">
        <v>242</v>
      </c>
      <c r="B37" s="508"/>
      <c r="C37" s="1125"/>
      <c r="D37" s="508"/>
      <c r="E37" s="1139"/>
      <c r="F37" s="1146"/>
      <c r="G37" s="1125"/>
      <c r="H37" s="508"/>
      <c r="I37" s="1125"/>
      <c r="J37" s="1139"/>
      <c r="K37" s="1125"/>
      <c r="L37" s="989"/>
      <c r="M37" s="1132"/>
      <c r="N37" s="1153"/>
      <c r="O37" s="1160"/>
      <c r="P37" s="68"/>
      <c r="Q37" s="68"/>
    </row>
    <row r="38" spans="1:17" ht="25.5" x14ac:dyDescent="0.2">
      <c r="A38" s="981" t="s">
        <v>774</v>
      </c>
      <c r="B38" s="509"/>
      <c r="C38" s="539"/>
      <c r="D38" s="509"/>
      <c r="E38" s="1140"/>
      <c r="F38" s="1147"/>
      <c r="G38" s="539"/>
      <c r="H38" s="509"/>
      <c r="I38" s="539"/>
      <c r="J38" s="1140"/>
      <c r="K38" s="539"/>
      <c r="L38" s="990"/>
      <c r="M38" s="1133"/>
      <c r="N38" s="1154"/>
      <c r="O38" s="1161"/>
      <c r="P38" s="68"/>
      <c r="Q38" s="68"/>
    </row>
    <row r="39" spans="1:17" ht="15" customHeight="1" x14ac:dyDescent="0.2">
      <c r="A39" s="266" t="s">
        <v>236</v>
      </c>
      <c r="B39" s="504"/>
      <c r="C39" s="1122"/>
      <c r="D39" s="504"/>
      <c r="E39" s="1135"/>
      <c r="F39" s="1142"/>
      <c r="G39" s="1122"/>
      <c r="H39" s="504"/>
      <c r="I39" s="1122"/>
      <c r="J39" s="1135"/>
      <c r="K39" s="1122"/>
      <c r="L39" s="985"/>
      <c r="M39" s="1128"/>
      <c r="N39" s="1149"/>
      <c r="O39" s="1156"/>
      <c r="P39" s="68"/>
      <c r="Q39" s="68"/>
    </row>
    <row r="40" spans="1:17" ht="15" customHeight="1" x14ac:dyDescent="0.2">
      <c r="A40" s="266" t="s">
        <v>237</v>
      </c>
      <c r="B40" s="505"/>
      <c r="C40" s="540"/>
      <c r="D40" s="505"/>
      <c r="E40" s="1136"/>
      <c r="F40" s="1143"/>
      <c r="G40" s="540"/>
      <c r="H40" s="505"/>
      <c r="I40" s="540"/>
      <c r="J40" s="1136"/>
      <c r="K40" s="540"/>
      <c r="L40" s="986"/>
      <c r="M40" s="1129"/>
      <c r="N40" s="1150"/>
      <c r="O40" s="1157"/>
      <c r="P40" s="68"/>
      <c r="Q40" s="68"/>
    </row>
    <row r="41" spans="1:17" ht="15" customHeight="1" x14ac:dyDescent="0.2">
      <c r="A41" s="266" t="s">
        <v>238</v>
      </c>
      <c r="B41" s="505"/>
      <c r="C41" s="540"/>
      <c r="D41" s="505"/>
      <c r="E41" s="1136"/>
      <c r="F41" s="1143"/>
      <c r="G41" s="540"/>
      <c r="H41" s="505"/>
      <c r="I41" s="540"/>
      <c r="J41" s="1136"/>
      <c r="K41" s="540"/>
      <c r="L41" s="986"/>
      <c r="M41" s="1129"/>
      <c r="N41" s="1150"/>
      <c r="O41" s="1157"/>
      <c r="P41" s="68"/>
      <c r="Q41" s="68"/>
    </row>
    <row r="42" spans="1:17" ht="15" customHeight="1" x14ac:dyDescent="0.2">
      <c r="A42" s="266" t="s">
        <v>239</v>
      </c>
      <c r="B42" s="505"/>
      <c r="C42" s="540"/>
      <c r="D42" s="505"/>
      <c r="E42" s="1136"/>
      <c r="F42" s="1143"/>
      <c r="G42" s="540"/>
      <c r="H42" s="505"/>
      <c r="I42" s="540"/>
      <c r="J42" s="1136"/>
      <c r="K42" s="540"/>
      <c r="L42" s="986"/>
      <c r="M42" s="1129"/>
      <c r="N42" s="1150"/>
      <c r="O42" s="1157"/>
      <c r="P42" s="68"/>
      <c r="Q42" s="68"/>
    </row>
    <row r="43" spans="1:17" ht="15" customHeight="1" x14ac:dyDescent="0.2">
      <c r="A43" s="266" t="s">
        <v>240</v>
      </c>
      <c r="B43" s="505"/>
      <c r="C43" s="540"/>
      <c r="D43" s="505"/>
      <c r="E43" s="1136"/>
      <c r="F43" s="1143"/>
      <c r="G43" s="540"/>
      <c r="H43" s="505"/>
      <c r="I43" s="540"/>
      <c r="J43" s="1136"/>
      <c r="K43" s="540"/>
      <c r="L43" s="986"/>
      <c r="M43" s="1129"/>
      <c r="N43" s="1150"/>
      <c r="O43" s="1157"/>
      <c r="P43" s="68"/>
      <c r="Q43" s="68"/>
    </row>
    <row r="44" spans="1:17" ht="15" customHeight="1" x14ac:dyDescent="0.2">
      <c r="A44" s="266" t="s">
        <v>241</v>
      </c>
      <c r="B44" s="505"/>
      <c r="C44" s="540"/>
      <c r="D44" s="505"/>
      <c r="E44" s="1136"/>
      <c r="F44" s="1143"/>
      <c r="G44" s="540"/>
      <c r="H44" s="505"/>
      <c r="I44" s="540"/>
      <c r="J44" s="1136"/>
      <c r="K44" s="540"/>
      <c r="L44" s="986"/>
      <c r="M44" s="1129"/>
      <c r="N44" s="1150"/>
      <c r="O44" s="1157"/>
      <c r="P44" s="68"/>
      <c r="Q44" s="68"/>
    </row>
    <row r="45" spans="1:17" ht="15" customHeight="1" x14ac:dyDescent="0.2">
      <c r="A45" s="267" t="s">
        <v>242</v>
      </c>
      <c r="B45" s="506"/>
      <c r="C45" s="1123"/>
      <c r="D45" s="506"/>
      <c r="E45" s="1137"/>
      <c r="F45" s="1144"/>
      <c r="G45" s="1123"/>
      <c r="H45" s="506"/>
      <c r="I45" s="1123"/>
      <c r="J45" s="1137"/>
      <c r="K45" s="1123"/>
      <c r="L45" s="987"/>
      <c r="M45" s="1130"/>
      <c r="N45" s="1151"/>
      <c r="O45" s="1158"/>
      <c r="P45" s="68"/>
      <c r="Q45" s="68"/>
    </row>
    <row r="46" spans="1:17" ht="15" customHeight="1" x14ac:dyDescent="0.2">
      <c r="A46" s="578" t="s">
        <v>669</v>
      </c>
      <c r="B46" s="68"/>
      <c r="C46" s="68"/>
      <c r="D46" s="68"/>
      <c r="E46" s="68"/>
      <c r="F46" s="68"/>
      <c r="G46" s="68"/>
      <c r="H46" s="68"/>
      <c r="I46" s="68"/>
      <c r="J46" s="68"/>
      <c r="K46" s="68"/>
      <c r="L46" s="68"/>
      <c r="M46" s="68"/>
      <c r="N46" s="68"/>
      <c r="O46" s="68"/>
      <c r="P46" s="68"/>
      <c r="Q46" s="68"/>
    </row>
    <row r="47" spans="1:17" ht="15" customHeight="1" x14ac:dyDescent="0.2">
      <c r="A47" s="578"/>
      <c r="B47" s="68"/>
      <c r="C47" s="68"/>
      <c r="D47" s="68"/>
      <c r="E47" s="68"/>
      <c r="F47" s="68"/>
      <c r="G47" s="68"/>
      <c r="H47" s="68"/>
      <c r="I47" s="68"/>
      <c r="J47" s="68"/>
      <c r="K47" s="68"/>
      <c r="L47" s="68"/>
      <c r="M47" s="68"/>
      <c r="N47" s="68"/>
      <c r="O47" s="68"/>
      <c r="P47" s="68"/>
      <c r="Q47" s="68"/>
    </row>
    <row r="48" spans="1:17" ht="15" customHeight="1" x14ac:dyDescent="0.2">
      <c r="A48" s="68"/>
      <c r="B48" s="68"/>
      <c r="C48" s="68"/>
      <c r="D48" s="68"/>
      <c r="E48" s="68"/>
      <c r="F48" s="68"/>
      <c r="G48" s="68"/>
      <c r="H48" s="68"/>
      <c r="I48" s="68"/>
      <c r="J48" s="68"/>
      <c r="K48" s="68"/>
      <c r="L48" s="68"/>
      <c r="M48" s="68"/>
      <c r="N48" s="68"/>
      <c r="O48" s="68"/>
      <c r="P48" s="68"/>
      <c r="Q48" s="68"/>
    </row>
    <row r="49" spans="1:33" ht="15" customHeight="1" x14ac:dyDescent="0.2">
      <c r="A49" s="71" t="s">
        <v>32</v>
      </c>
      <c r="B49" s="56"/>
      <c r="C49" s="56"/>
      <c r="D49" s="57"/>
      <c r="E49" s="57"/>
      <c r="F49" s="57"/>
      <c r="G49" s="57"/>
      <c r="H49" s="57"/>
      <c r="I49" s="57"/>
      <c r="J49" s="57"/>
      <c r="K49" s="57"/>
      <c r="L49" s="57"/>
      <c r="M49" s="57"/>
      <c r="N49" s="57"/>
      <c r="O49" s="57"/>
      <c r="P49" s="68"/>
      <c r="Q49" s="68"/>
    </row>
    <row r="50" spans="1:33" ht="15" customHeight="1" x14ac:dyDescent="0.2">
      <c r="A50" s="68"/>
      <c r="B50" s="58"/>
      <c r="C50" s="58"/>
      <c r="D50" s="59"/>
      <c r="E50" s="59"/>
      <c r="F50" s="59"/>
      <c r="G50" s="59"/>
      <c r="H50" s="59"/>
      <c r="I50" s="59"/>
      <c r="J50" s="59"/>
      <c r="K50" s="59"/>
      <c r="L50" s="59"/>
      <c r="M50" s="59"/>
      <c r="N50" s="59"/>
      <c r="O50" s="59"/>
      <c r="P50" s="68"/>
      <c r="Q50" s="68"/>
    </row>
    <row r="51" spans="1:33" ht="15" customHeight="1" x14ac:dyDescent="0.2">
      <c r="A51" s="68"/>
      <c r="B51" s="58"/>
      <c r="C51" s="58"/>
      <c r="D51" s="59"/>
      <c r="E51" s="59"/>
      <c r="F51" s="59"/>
      <c r="G51" s="59"/>
      <c r="H51" s="59"/>
      <c r="I51" s="59"/>
      <c r="J51" s="59"/>
      <c r="K51" s="59"/>
      <c r="L51" s="59"/>
      <c r="M51" s="59"/>
      <c r="N51" s="59"/>
      <c r="O51" s="59"/>
      <c r="P51" s="68"/>
      <c r="Q51" s="68"/>
    </row>
    <row r="52" spans="1:33" ht="15" customHeight="1" x14ac:dyDescent="0.2">
      <c r="A52" s="68"/>
      <c r="B52" s="58"/>
      <c r="C52" s="58"/>
      <c r="D52" s="59"/>
      <c r="E52" s="59"/>
      <c r="F52" s="59"/>
      <c r="G52" s="59"/>
      <c r="H52" s="59"/>
      <c r="I52" s="59"/>
      <c r="J52" s="59"/>
      <c r="K52" s="59"/>
      <c r="L52" s="59"/>
      <c r="M52" s="59"/>
      <c r="N52" s="59"/>
      <c r="O52" s="59"/>
      <c r="P52" s="68"/>
      <c r="Q52" s="68"/>
    </row>
    <row r="53" spans="1:33" ht="15" customHeight="1" x14ac:dyDescent="0.2">
      <c r="A53" s="68"/>
      <c r="B53" s="68"/>
      <c r="C53" s="68"/>
      <c r="D53" s="68"/>
      <c r="E53" s="68"/>
      <c r="F53" s="68"/>
      <c r="G53" s="68"/>
      <c r="H53" s="68"/>
      <c r="I53" s="68"/>
      <c r="J53" s="68"/>
      <c r="K53" s="68"/>
      <c r="L53" s="68"/>
      <c r="M53" s="68"/>
      <c r="N53" s="68"/>
      <c r="O53" s="68"/>
      <c r="P53" s="68"/>
      <c r="Q53" s="68"/>
    </row>
    <row r="54" spans="1:33" ht="15" customHeight="1" x14ac:dyDescent="0.2">
      <c r="A54" s="71" t="s">
        <v>33</v>
      </c>
      <c r="B54" s="56"/>
      <c r="C54" s="56"/>
      <c r="D54" s="57"/>
      <c r="E54" s="57"/>
      <c r="F54" s="57"/>
      <c r="G54" s="57"/>
      <c r="H54" s="57"/>
      <c r="I54" s="57"/>
      <c r="J54" s="57"/>
      <c r="K54" s="57"/>
      <c r="L54" s="57"/>
      <c r="M54" s="57"/>
      <c r="N54" s="57"/>
      <c r="O54" s="57"/>
      <c r="P54" s="68"/>
      <c r="Q54" s="68"/>
    </row>
    <row r="55" spans="1:33" ht="15" customHeight="1" x14ac:dyDescent="0.2">
      <c r="A55" s="68"/>
      <c r="B55" s="58"/>
      <c r="C55" s="58"/>
      <c r="D55" s="59"/>
      <c r="E55" s="59"/>
      <c r="F55" s="59"/>
      <c r="G55" s="59"/>
      <c r="H55" s="59"/>
      <c r="I55" s="59"/>
      <c r="J55" s="59"/>
      <c r="K55" s="59"/>
      <c r="L55" s="59"/>
      <c r="M55" s="59"/>
      <c r="N55" s="59"/>
      <c r="O55" s="59"/>
      <c r="P55" s="68"/>
      <c r="Q55" s="68"/>
    </row>
    <row r="56" spans="1:33" ht="15" customHeight="1" x14ac:dyDescent="0.2">
      <c r="A56" s="68"/>
      <c r="B56" s="58"/>
      <c r="C56" s="58"/>
      <c r="D56" s="59"/>
      <c r="E56" s="59"/>
      <c r="F56" s="59"/>
      <c r="G56" s="59"/>
      <c r="H56" s="59"/>
      <c r="I56" s="59"/>
      <c r="J56" s="59"/>
      <c r="K56" s="59"/>
      <c r="L56" s="59"/>
      <c r="M56" s="59"/>
      <c r="N56" s="59"/>
      <c r="O56" s="59"/>
      <c r="P56" s="68"/>
      <c r="Q56" s="68"/>
    </row>
    <row r="57" spans="1:33" ht="15" customHeight="1" x14ac:dyDescent="0.2">
      <c r="A57" s="68"/>
      <c r="B57" s="58"/>
      <c r="C57" s="58"/>
      <c r="D57" s="59"/>
      <c r="E57" s="59"/>
      <c r="F57" s="59"/>
      <c r="G57" s="59"/>
      <c r="H57" s="59"/>
      <c r="I57" s="59"/>
      <c r="J57" s="59"/>
      <c r="K57" s="59"/>
      <c r="L57" s="59"/>
      <c r="M57" s="59"/>
      <c r="N57" s="59"/>
      <c r="O57" s="59"/>
      <c r="P57" s="68"/>
      <c r="Q57" s="68"/>
    </row>
    <row r="58" spans="1:33" ht="15" customHeight="1" x14ac:dyDescent="0.2">
      <c r="A58" s="68"/>
      <c r="B58" s="68"/>
      <c r="C58" s="68"/>
      <c r="D58" s="68"/>
      <c r="E58" s="68"/>
      <c r="F58" s="68"/>
      <c r="G58" s="68"/>
      <c r="H58" s="68"/>
      <c r="I58" s="68"/>
      <c r="J58" s="68"/>
      <c r="K58" s="68"/>
      <c r="L58" s="68"/>
      <c r="M58" s="68"/>
      <c r="N58" s="68"/>
      <c r="O58" s="68"/>
      <c r="P58" s="68"/>
      <c r="Q58" s="68"/>
      <c r="R58"/>
    </row>
    <row r="59" spans="1:33" ht="12.75" x14ac:dyDescent="0.2">
      <c r="A59" s="71" t="s">
        <v>664</v>
      </c>
      <c r="B59" s="548"/>
      <c r="C59" s="68"/>
      <c r="D59" s="68"/>
      <c r="E59" s="68"/>
      <c r="F59" s="68"/>
      <c r="G59" s="68"/>
      <c r="H59" s="68"/>
      <c r="I59" s="68"/>
      <c r="J59" s="68"/>
      <c r="K59" s="68"/>
      <c r="L59" s="68"/>
      <c r="M59" s="68"/>
      <c r="N59" s="68"/>
      <c r="O59" s="68"/>
      <c r="P59" s="68"/>
      <c r="Q59" s="68"/>
      <c r="R59"/>
      <c r="S59"/>
      <c r="T59"/>
      <c r="U59"/>
      <c r="V59"/>
      <c r="W59"/>
      <c r="X59"/>
      <c r="Y59"/>
      <c r="Z59"/>
      <c r="AA59"/>
      <c r="AB59"/>
      <c r="AC59"/>
      <c r="AD59"/>
      <c r="AE59"/>
      <c r="AF59"/>
      <c r="AG59"/>
    </row>
    <row r="60" spans="1:33" ht="12.75" x14ac:dyDescent="0.2">
      <c r="A60" s="570" t="s">
        <v>663</v>
      </c>
      <c r="B60" s="549"/>
      <c r="C60" s="68"/>
      <c r="D60" s="68"/>
      <c r="E60" s="68"/>
      <c r="F60" s="68"/>
      <c r="G60" s="68"/>
      <c r="H60" s="68"/>
      <c r="I60" s="68"/>
      <c r="J60" s="68"/>
      <c r="K60" s="68"/>
      <c r="L60" s="68"/>
      <c r="M60" s="68"/>
      <c r="N60" s="68"/>
      <c r="O60" s="68"/>
      <c r="P60" s="68"/>
      <c r="Q60" s="68"/>
      <c r="R60"/>
      <c r="S60"/>
      <c r="T60"/>
      <c r="U60"/>
      <c r="V60"/>
      <c r="W60"/>
      <c r="X60"/>
      <c r="Y60"/>
      <c r="Z60"/>
      <c r="AA60"/>
      <c r="AB60"/>
      <c r="AC60"/>
      <c r="AD60"/>
      <c r="AE60"/>
      <c r="AF60"/>
      <c r="AG60"/>
    </row>
    <row r="61" spans="1:33" ht="12.75" x14ac:dyDescent="0.2">
      <c r="A61" s="68"/>
      <c r="B61" s="549"/>
      <c r="C61" s="68"/>
      <c r="D61" s="68"/>
      <c r="E61" s="68"/>
      <c r="F61" s="68"/>
      <c r="G61" s="68"/>
      <c r="H61" s="68"/>
      <c r="I61" s="68"/>
      <c r="J61" s="68"/>
      <c r="K61" s="68"/>
      <c r="L61" s="68"/>
      <c r="M61" s="68"/>
      <c r="N61" s="68"/>
      <c r="O61" s="68"/>
      <c r="P61" s="68"/>
      <c r="Q61" s="68"/>
      <c r="R61"/>
      <c r="S61"/>
      <c r="T61"/>
      <c r="U61"/>
      <c r="V61"/>
      <c r="W61"/>
      <c r="X61"/>
      <c r="Y61"/>
      <c r="Z61"/>
      <c r="AA61"/>
      <c r="AB61"/>
      <c r="AC61"/>
      <c r="AD61"/>
      <c r="AE61"/>
      <c r="AF61"/>
      <c r="AG61"/>
    </row>
    <row r="62" spans="1:33" ht="12.75" x14ac:dyDescent="0.2">
      <c r="A62" s="68"/>
      <c r="B62" s="549"/>
      <c r="C62" s="68"/>
      <c r="D62" s="68"/>
      <c r="E62" s="68"/>
      <c r="F62" s="68"/>
      <c r="G62" s="68"/>
      <c r="H62" s="68"/>
      <c r="I62" s="68"/>
      <c r="J62" s="68"/>
      <c r="K62" s="68"/>
      <c r="L62" s="68"/>
      <c r="M62" s="68"/>
      <c r="N62" s="68"/>
      <c r="O62" s="68"/>
      <c r="P62" s="68"/>
      <c r="Q62" s="68"/>
      <c r="R62"/>
      <c r="S62"/>
      <c r="T62"/>
      <c r="U62"/>
      <c r="V62"/>
      <c r="W62"/>
      <c r="X62"/>
      <c r="Y62"/>
      <c r="Z62"/>
      <c r="AA62"/>
      <c r="AB62"/>
      <c r="AC62"/>
      <c r="AD62"/>
      <c r="AE62"/>
      <c r="AF62"/>
      <c r="AG62"/>
    </row>
    <row r="63" spans="1:33" ht="12.75" x14ac:dyDescent="0.2">
      <c r="A63" s="68"/>
      <c r="B63" s="68"/>
      <c r="C63" s="68"/>
      <c r="D63" s="68"/>
      <c r="E63" s="68"/>
      <c r="F63" s="68"/>
      <c r="G63" s="68"/>
      <c r="H63" s="68"/>
      <c r="I63" s="68"/>
      <c r="J63" s="68"/>
      <c r="K63" s="68"/>
      <c r="L63" s="68"/>
      <c r="M63" s="68"/>
      <c r="N63" s="68"/>
      <c r="O63" s="68"/>
      <c r="P63" s="68"/>
      <c r="Q63" s="68"/>
      <c r="R63"/>
      <c r="S63"/>
      <c r="T63"/>
      <c r="U63"/>
      <c r="V63"/>
      <c r="W63"/>
      <c r="X63"/>
      <c r="Y63"/>
      <c r="Z63"/>
      <c r="AA63"/>
      <c r="AB63"/>
      <c r="AC63"/>
      <c r="AD63"/>
      <c r="AE63"/>
      <c r="AF63"/>
      <c r="AG63"/>
    </row>
  </sheetData>
  <sheetProtection password="CD9E" sheet="1" objects="1" scenarios="1" selectLockedCells="1"/>
  <mergeCells count="12">
    <mergeCell ref="A12:A13"/>
    <mergeCell ref="B12:C12"/>
    <mergeCell ref="B13:C13"/>
    <mergeCell ref="D13:E13"/>
    <mergeCell ref="F13:G13"/>
    <mergeCell ref="H13:I13"/>
    <mergeCell ref="J13:K13"/>
    <mergeCell ref="L13:M13"/>
    <mergeCell ref="N13:O13"/>
    <mergeCell ref="D12:G12"/>
    <mergeCell ref="H12:K12"/>
    <mergeCell ref="L12:O12"/>
  </mergeCells>
  <dataValidations count="1">
    <dataValidation type="list" allowBlank="1" showInputMessage="1" showErrorMessage="1" sqref="B59:B62">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51" right="0.47" top="0.98425196850393704" bottom="0.98425196850393704" header="0.51181102362204722" footer="0.51181102362204722"/>
  <pageSetup paperSize="9" scale="73" orientation="portrait" r:id="rId1"/>
  <headerFooter alignWithMargins="0">
    <oddHeader>&amp;LCDH&amp;C &amp;F&amp;R&amp;A</oddHeader>
    <oddFooter>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indexed="46"/>
    <pageSetUpPr fitToPage="1"/>
  </sheetPr>
  <dimension ref="A1:Q43"/>
  <sheetViews>
    <sheetView showGridLines="0" topLeftCell="A4" workbookViewId="0">
      <selection activeCell="B26" sqref="B26"/>
    </sheetView>
  </sheetViews>
  <sheetFormatPr baseColWidth="10" defaultColWidth="9.140625" defaultRowHeight="12.75" x14ac:dyDescent="0.2"/>
  <cols>
    <col min="1" max="1" width="57" style="31" customWidth="1"/>
    <col min="2" max="2" width="11.7109375" style="31" customWidth="1"/>
    <col min="3" max="3" width="6.7109375" style="31" customWidth="1"/>
    <col min="4" max="4" width="11.7109375" style="31" customWidth="1"/>
    <col min="5" max="5" width="6.7109375" style="31" customWidth="1"/>
    <col min="6" max="6" width="11.7109375" style="31" customWidth="1"/>
    <col min="7" max="7" width="6.7109375" style="31" customWidth="1"/>
    <col min="8" max="8" width="11.7109375" style="31" customWidth="1"/>
    <col min="9" max="9" width="6.7109375" style="31" customWidth="1"/>
    <col min="10" max="10" width="11.7109375" style="31" customWidth="1"/>
    <col min="11" max="11" width="6.7109375" style="31" customWidth="1"/>
    <col min="12" max="12" width="11.7109375" style="31" customWidth="1"/>
    <col min="13" max="13" width="6.7109375" style="31" customWidth="1"/>
    <col min="14" max="15" width="11.7109375" style="31" customWidth="1"/>
    <col min="16" max="16" width="6.7109375" style="31" customWidth="1"/>
    <col min="17" max="16384" width="9.140625" style="31"/>
  </cols>
  <sheetData>
    <row r="1" spans="1:17" s="66" customFormat="1" ht="12" customHeight="1" x14ac:dyDescent="0.2">
      <c r="A1" s="26" t="s">
        <v>6</v>
      </c>
    </row>
    <row r="2" spans="1:17" s="66" customFormat="1" ht="12" customHeight="1" x14ac:dyDescent="0.2">
      <c r="A2" s="28" t="s">
        <v>10</v>
      </c>
    </row>
    <row r="3" spans="1:17" s="66" customFormat="1" ht="12" customHeight="1" x14ac:dyDescent="0.2">
      <c r="A3" s="28" t="s">
        <v>7</v>
      </c>
    </row>
    <row r="4" spans="1:17" ht="15" customHeight="1" x14ac:dyDescent="0.2">
      <c r="A4" s="67" t="s">
        <v>222</v>
      </c>
      <c r="B4" s="67"/>
      <c r="C4" s="67"/>
      <c r="D4" s="67"/>
      <c r="E4" s="67"/>
      <c r="F4" s="67"/>
      <c r="G4" s="67"/>
      <c r="H4" s="67"/>
      <c r="I4" s="67"/>
      <c r="J4" s="72"/>
      <c r="K4" s="72"/>
      <c r="L4" s="72"/>
      <c r="M4" s="72"/>
      <c r="N4" s="72"/>
      <c r="O4" s="72"/>
      <c r="P4" s="72"/>
      <c r="Q4" s="72"/>
    </row>
    <row r="5" spans="1:17" s="131" customFormat="1" ht="15" customHeight="1" x14ac:dyDescent="0.2"/>
    <row r="6" spans="1:17" s="131" customFormat="1" ht="15" customHeight="1" x14ac:dyDescent="0.2">
      <c r="A6" s="253"/>
      <c r="B6" s="253"/>
      <c r="C6" s="253"/>
      <c r="D6" s="253"/>
      <c r="E6" s="253"/>
      <c r="F6" s="253"/>
      <c r="G6" s="253"/>
      <c r="H6" s="253"/>
      <c r="I6" s="253"/>
      <c r="J6" s="253"/>
      <c r="K6" s="253"/>
      <c r="L6" s="253"/>
      <c r="M6" s="253"/>
      <c r="N6" s="253"/>
      <c r="O6" s="253"/>
      <c r="P6" s="253"/>
      <c r="Q6" s="253"/>
    </row>
    <row r="7" spans="1:17" ht="15.75" x14ac:dyDescent="0.25">
      <c r="A7" s="69" t="s">
        <v>797</v>
      </c>
      <c r="B7" s="68"/>
      <c r="C7" s="68"/>
      <c r="D7" s="68"/>
      <c r="E7" s="68"/>
      <c r="F7" s="68"/>
      <c r="G7" s="68"/>
      <c r="H7" s="68"/>
      <c r="I7" s="68"/>
      <c r="J7" s="68"/>
      <c r="K7" s="68"/>
      <c r="L7" s="68"/>
      <c r="M7" s="68"/>
      <c r="N7" s="68"/>
      <c r="O7" s="68"/>
      <c r="P7" s="68"/>
      <c r="Q7" s="68"/>
    </row>
    <row r="8" spans="1:17" ht="15" customHeight="1" x14ac:dyDescent="0.2">
      <c r="A8" s="70" t="s">
        <v>21</v>
      </c>
      <c r="B8" s="68"/>
      <c r="C8" s="68"/>
      <c r="D8" s="68"/>
      <c r="E8" s="68"/>
      <c r="F8" s="68"/>
      <c r="G8" s="68"/>
      <c r="H8" s="68"/>
      <c r="I8" s="68"/>
      <c r="J8" s="68"/>
      <c r="K8" s="68"/>
      <c r="L8" s="68"/>
      <c r="M8" s="68"/>
      <c r="N8" s="68"/>
      <c r="O8" s="68"/>
      <c r="P8" s="68"/>
      <c r="Q8" s="68"/>
    </row>
    <row r="9" spans="1:17" ht="15" customHeight="1" x14ac:dyDescent="0.2">
      <c r="A9" s="254"/>
      <c r="B9" s="255" t="s">
        <v>34</v>
      </c>
      <c r="C9" s="255"/>
      <c r="D9" s="510">
        <v>2014</v>
      </c>
      <c r="E9" s="68"/>
      <c r="F9" s="68"/>
      <c r="G9" s="68"/>
      <c r="H9" s="68"/>
      <c r="I9" s="68"/>
      <c r="J9" s="68"/>
      <c r="K9" s="68"/>
      <c r="L9" s="68"/>
      <c r="M9" s="68"/>
      <c r="N9" s="68"/>
      <c r="O9" s="68"/>
      <c r="P9" s="68"/>
      <c r="Q9" s="68"/>
    </row>
    <row r="10" spans="1:17" ht="15" customHeight="1" x14ac:dyDescent="0.2">
      <c r="A10" s="254"/>
      <c r="B10" s="68"/>
      <c r="C10" s="68"/>
      <c r="D10" s="68"/>
      <c r="E10" s="68"/>
      <c r="F10" s="68"/>
      <c r="G10" s="68"/>
      <c r="H10" s="68"/>
      <c r="I10" s="68"/>
      <c r="J10" s="68"/>
      <c r="K10" s="68"/>
      <c r="L10" s="68"/>
      <c r="M10" s="68"/>
      <c r="N10" s="68"/>
      <c r="O10" s="68"/>
      <c r="P10" s="68"/>
      <c r="Q10" s="68"/>
    </row>
    <row r="11" spans="1:17" ht="15" customHeight="1" x14ac:dyDescent="0.2">
      <c r="A11" s="254"/>
      <c r="B11" s="68"/>
      <c r="C11" s="68"/>
      <c r="D11" s="68"/>
      <c r="E11" s="68"/>
      <c r="F11" s="68"/>
      <c r="G11" s="68"/>
      <c r="H11" s="68"/>
      <c r="I11" s="68"/>
      <c r="J11" s="68"/>
      <c r="K11" s="68"/>
      <c r="L11" s="68"/>
      <c r="M11" s="68"/>
      <c r="N11" s="68"/>
      <c r="O11" s="68"/>
      <c r="P11" s="68"/>
      <c r="Q11" s="68"/>
    </row>
    <row r="12" spans="1:17" ht="15" customHeight="1" x14ac:dyDescent="0.2">
      <c r="A12" s="256"/>
      <c r="B12" s="257" t="s">
        <v>243</v>
      </c>
      <c r="C12" s="257"/>
      <c r="D12" s="257"/>
      <c r="E12" s="257"/>
      <c r="F12" s="257"/>
      <c r="G12" s="257"/>
      <c r="H12" s="257"/>
      <c r="I12" s="257"/>
      <c r="J12" s="257"/>
      <c r="K12" s="257"/>
      <c r="L12" s="257"/>
      <c r="M12" s="257"/>
      <c r="N12" s="257"/>
      <c r="O12" s="1463"/>
      <c r="P12" s="1464"/>
      <c r="Q12" s="68"/>
    </row>
    <row r="13" spans="1:17" ht="42" customHeight="1" x14ac:dyDescent="0.2">
      <c r="A13" s="258" t="s">
        <v>244</v>
      </c>
      <c r="B13" s="1710" t="s">
        <v>236</v>
      </c>
      <c r="C13" s="1711"/>
      <c r="D13" s="1711" t="s">
        <v>237</v>
      </c>
      <c r="E13" s="1711"/>
      <c r="F13" s="1711" t="s">
        <v>238</v>
      </c>
      <c r="G13" s="1711"/>
      <c r="H13" s="1711" t="s">
        <v>239</v>
      </c>
      <c r="I13" s="1711"/>
      <c r="J13" s="1711" t="s">
        <v>240</v>
      </c>
      <c r="K13" s="1711"/>
      <c r="L13" s="1711" t="s">
        <v>241</v>
      </c>
      <c r="M13" s="1711"/>
      <c r="N13" s="259" t="s">
        <v>242</v>
      </c>
      <c r="O13" s="1731" t="s">
        <v>25</v>
      </c>
      <c r="P13" s="1721"/>
      <c r="Q13" s="68"/>
    </row>
    <row r="14" spans="1:17" ht="15" customHeight="1" x14ac:dyDescent="0.2">
      <c r="A14" s="649" t="s">
        <v>684</v>
      </c>
      <c r="B14" s="650">
        <f>SUM(B15:B22)</f>
        <v>3763.6742323077001</v>
      </c>
      <c r="C14" s="1461"/>
      <c r="D14" s="651">
        <f>SUM(D15:D22)</f>
        <v>1603.8384512690998</v>
      </c>
      <c r="E14" s="651"/>
      <c r="F14" s="651">
        <f>SUM(F15:F22)</f>
        <v>990.81575433959995</v>
      </c>
      <c r="G14" s="651"/>
      <c r="H14" s="651">
        <f>SUM(H15:H22)</f>
        <v>662.91989319073002</v>
      </c>
      <c r="I14" s="651"/>
      <c r="J14" s="651">
        <f>SUM(J15:J22)</f>
        <v>2480.6034712951</v>
      </c>
      <c r="K14" s="651"/>
      <c r="L14" s="651">
        <f>SUM(L15:L22)</f>
        <v>1090.61014686313</v>
      </c>
      <c r="M14" s="1462"/>
      <c r="N14" s="652"/>
      <c r="O14" s="1465">
        <f>SUM(B14,D14,F14,H14,J14,L14)</f>
        <v>10592.46194926536</v>
      </c>
      <c r="P14" s="1469"/>
      <c r="Q14" s="68"/>
    </row>
    <row r="15" spans="1:17" ht="15" customHeight="1" x14ac:dyDescent="0.2">
      <c r="A15" s="260" t="s">
        <v>943</v>
      </c>
      <c r="B15" s="460">
        <v>2366.5527369800002</v>
      </c>
      <c r="C15" s="1336"/>
      <c r="D15" s="647">
        <v>655.79172229599999</v>
      </c>
      <c r="E15" s="647"/>
      <c r="F15" s="647">
        <v>563.12550066799997</v>
      </c>
      <c r="G15" s="647"/>
      <c r="H15" s="647">
        <v>342.15220293700003</v>
      </c>
      <c r="I15" s="647"/>
      <c r="J15" s="647">
        <v>983.68758344499997</v>
      </c>
      <c r="K15" s="647"/>
      <c r="L15" s="647">
        <v>427.69025367199998</v>
      </c>
      <c r="M15" s="1342"/>
      <c r="N15" s="648"/>
      <c r="O15" s="1168">
        <f>SUM(B15,D15,F15,H15,J15,L15)</f>
        <v>5338.999999998</v>
      </c>
      <c r="P15" s="657"/>
      <c r="Q15" s="68"/>
    </row>
    <row r="16" spans="1:17" ht="15" customHeight="1" x14ac:dyDescent="0.2">
      <c r="A16" s="260" t="s">
        <v>944</v>
      </c>
      <c r="B16" s="43">
        <v>591.63818424600004</v>
      </c>
      <c r="C16" s="1337"/>
      <c r="D16" s="397">
        <v>427.69025367199998</v>
      </c>
      <c r="E16" s="397"/>
      <c r="F16" s="397">
        <v>149.69158878499999</v>
      </c>
      <c r="G16" s="397"/>
      <c r="H16" s="397">
        <v>92.666221628800002</v>
      </c>
      <c r="I16" s="397"/>
      <c r="J16" s="397">
        <v>541.74098798399996</v>
      </c>
      <c r="K16" s="397"/>
      <c r="L16" s="397">
        <v>135.43524699599999</v>
      </c>
      <c r="M16" s="1032"/>
      <c r="N16" s="511"/>
      <c r="O16" s="1466">
        <f t="shared" ref="O16:O21" si="0">SUM(B16,D16,F16,H16,J16,L16)</f>
        <v>1938.8624833117999</v>
      </c>
      <c r="P16" s="615"/>
      <c r="Q16" s="68"/>
    </row>
    <row r="17" spans="1:17" ht="15" customHeight="1" x14ac:dyDescent="0.2">
      <c r="A17" s="260" t="s">
        <v>245</v>
      </c>
      <c r="B17" s="43">
        <v>213.84512683599999</v>
      </c>
      <c r="C17" s="1337"/>
      <c r="D17" s="397">
        <v>106.922563418</v>
      </c>
      <c r="E17" s="397"/>
      <c r="F17" s="397">
        <v>42.769025367200001</v>
      </c>
      <c r="G17" s="397"/>
      <c r="H17" s="397">
        <v>42.769025367200001</v>
      </c>
      <c r="I17" s="397"/>
      <c r="J17" s="397">
        <v>64.153538050700007</v>
      </c>
      <c r="K17" s="397"/>
      <c r="L17" s="397">
        <v>7.1281708945300002</v>
      </c>
      <c r="M17" s="1032"/>
      <c r="N17" s="511"/>
      <c r="O17" s="1466">
        <f t="shared" si="0"/>
        <v>477.58744993363001</v>
      </c>
      <c r="P17" s="615"/>
      <c r="Q17" s="68"/>
    </row>
    <row r="18" spans="1:17" ht="15" customHeight="1" x14ac:dyDescent="0.2">
      <c r="A18" s="260" t="s">
        <v>246</v>
      </c>
      <c r="B18" s="43">
        <v>99.794392523400006</v>
      </c>
      <c r="C18" s="1337"/>
      <c r="D18" s="397">
        <v>21.384512683600001</v>
      </c>
      <c r="E18" s="397"/>
      <c r="F18" s="397">
        <v>49.897196261700003</v>
      </c>
      <c r="G18" s="397"/>
      <c r="H18" s="397">
        <v>7.1281708945300002</v>
      </c>
      <c r="I18" s="397"/>
      <c r="J18" s="397">
        <v>178.204272363</v>
      </c>
      <c r="K18" s="397"/>
      <c r="L18" s="397">
        <v>71.281708945299997</v>
      </c>
      <c r="M18" s="1032"/>
      <c r="N18" s="511"/>
      <c r="O18" s="1466">
        <f t="shared" si="0"/>
        <v>427.69025367153006</v>
      </c>
      <c r="P18" s="615"/>
      <c r="Q18" s="68"/>
    </row>
    <row r="19" spans="1:17" ht="15" customHeight="1" x14ac:dyDescent="0.2">
      <c r="A19" s="260" t="s">
        <v>945</v>
      </c>
      <c r="B19" s="43">
        <v>270.87049399199998</v>
      </c>
      <c r="C19" s="1337"/>
      <c r="D19" s="397">
        <v>277.99866488700002</v>
      </c>
      <c r="E19" s="397"/>
      <c r="F19" s="397">
        <v>99.794392523400006</v>
      </c>
      <c r="G19" s="397"/>
      <c r="H19" s="397">
        <v>121.178905207</v>
      </c>
      <c r="I19" s="397"/>
      <c r="J19" s="397">
        <v>256.614152203</v>
      </c>
      <c r="K19" s="397"/>
      <c r="L19" s="397">
        <v>142.563417891</v>
      </c>
      <c r="M19" s="1032"/>
      <c r="N19" s="511"/>
      <c r="O19" s="1466">
        <f t="shared" si="0"/>
        <v>1169.0200267033999</v>
      </c>
      <c r="P19" s="615"/>
      <c r="Q19" s="68"/>
    </row>
    <row r="20" spans="1:17" ht="15" customHeight="1" x14ac:dyDescent="0.2">
      <c r="A20" s="260" t="s">
        <v>946</v>
      </c>
      <c r="B20" s="43">
        <v>85.5380507343</v>
      </c>
      <c r="C20" s="1337"/>
      <c r="D20" s="397">
        <v>71.281708945299997</v>
      </c>
      <c r="E20" s="397"/>
      <c r="F20" s="397">
        <v>28.512683578099999</v>
      </c>
      <c r="G20" s="397"/>
      <c r="H20" s="397">
        <v>21.384512683600001</v>
      </c>
      <c r="I20" s="397"/>
      <c r="J20" s="397">
        <v>356.408544726</v>
      </c>
      <c r="K20" s="397"/>
      <c r="L20" s="397">
        <v>220.97329773000001</v>
      </c>
      <c r="M20" s="1032"/>
      <c r="N20" s="511"/>
      <c r="O20" s="1466">
        <f t="shared" si="0"/>
        <v>784.09879839730002</v>
      </c>
      <c r="P20" s="615"/>
      <c r="Q20" s="68"/>
    </row>
    <row r="21" spans="1:17" ht="15" customHeight="1" x14ac:dyDescent="0.2">
      <c r="A21" s="260" t="s">
        <v>287</v>
      </c>
      <c r="B21" s="43">
        <v>135.43524699599999</v>
      </c>
      <c r="C21" s="1337"/>
      <c r="D21" s="397">
        <v>42.769025367200001</v>
      </c>
      <c r="E21" s="397"/>
      <c r="F21" s="397">
        <v>57.025367156199998</v>
      </c>
      <c r="G21" s="397"/>
      <c r="H21" s="397">
        <v>35.640854472599997</v>
      </c>
      <c r="I21" s="397"/>
      <c r="J21" s="397">
        <v>99.794392523400006</v>
      </c>
      <c r="K21" s="397"/>
      <c r="L21" s="397">
        <v>85.5380507343</v>
      </c>
      <c r="M21" s="1032"/>
      <c r="N21" s="511"/>
      <c r="O21" s="1466">
        <f t="shared" si="0"/>
        <v>456.20293724969997</v>
      </c>
      <c r="P21" s="615"/>
      <c r="Q21" s="68"/>
    </row>
    <row r="22" spans="1:17" ht="15" customHeight="1" x14ac:dyDescent="0.2">
      <c r="A22" s="654" t="s">
        <v>24</v>
      </c>
      <c r="B22" s="655"/>
      <c r="C22" s="1338"/>
      <c r="D22" s="517"/>
      <c r="E22" s="517"/>
      <c r="F22" s="517"/>
      <c r="G22" s="517"/>
      <c r="H22" s="517"/>
      <c r="I22" s="517"/>
      <c r="J22" s="517"/>
      <c r="K22" s="517"/>
      <c r="L22" s="517"/>
      <c r="M22" s="1343"/>
      <c r="N22" s="656"/>
      <c r="O22" s="1467"/>
      <c r="P22" s="662"/>
      <c r="Q22" s="68"/>
    </row>
    <row r="23" spans="1:17" ht="15" customHeight="1" x14ac:dyDescent="0.2">
      <c r="A23" s="270" t="s">
        <v>247</v>
      </c>
      <c r="B23" s="405">
        <v>528</v>
      </c>
      <c r="C23" s="1339"/>
      <c r="D23" s="406">
        <v>225</v>
      </c>
      <c r="E23" s="406"/>
      <c r="F23" s="406">
        <v>139</v>
      </c>
      <c r="G23" s="406"/>
      <c r="H23" s="406">
        <v>93</v>
      </c>
      <c r="I23" s="406"/>
      <c r="J23" s="406">
        <v>348</v>
      </c>
      <c r="K23" s="406"/>
      <c r="L23" s="406">
        <v>153</v>
      </c>
      <c r="M23" s="1344"/>
      <c r="N23" s="653"/>
      <c r="O23" s="1468">
        <f>SUM(B23,D23,F23,H23,J23,L23)</f>
        <v>1486</v>
      </c>
      <c r="P23" s="660"/>
      <c r="Q23" s="68"/>
    </row>
    <row r="24" spans="1:17" ht="15" customHeight="1" x14ac:dyDescent="0.2">
      <c r="A24" s="68"/>
      <c r="B24" s="68"/>
      <c r="C24" s="68"/>
      <c r="D24" s="68"/>
      <c r="E24" s="68"/>
      <c r="F24" s="68"/>
      <c r="G24" s="68"/>
      <c r="H24" s="68"/>
      <c r="I24" s="68"/>
      <c r="J24" s="68"/>
      <c r="K24" s="68"/>
      <c r="L24" s="68"/>
      <c r="M24" s="68"/>
      <c r="N24" s="68"/>
      <c r="O24" s="68"/>
      <c r="P24" s="68"/>
      <c r="Q24" s="68"/>
    </row>
    <row r="25" spans="1:17" ht="15" customHeight="1" x14ac:dyDescent="0.2">
      <c r="A25" s="68"/>
      <c r="B25" s="68"/>
      <c r="C25" s="68"/>
      <c r="D25" s="68"/>
      <c r="E25" s="68"/>
      <c r="F25" s="68"/>
      <c r="G25" s="68"/>
      <c r="H25" s="68"/>
      <c r="I25" s="68"/>
      <c r="J25" s="68"/>
      <c r="K25" s="68"/>
      <c r="L25" s="68"/>
      <c r="M25" s="68"/>
      <c r="N25" s="68"/>
      <c r="O25" s="68"/>
      <c r="P25" s="68"/>
      <c r="Q25" s="68"/>
    </row>
    <row r="26" spans="1:17" ht="15" customHeight="1" x14ac:dyDescent="0.2">
      <c r="A26" s="71" t="s">
        <v>32</v>
      </c>
      <c r="B26" s="1616" t="s">
        <v>1046</v>
      </c>
      <c r="C26" s="56"/>
      <c r="D26" s="1616"/>
      <c r="E26" s="57"/>
      <c r="F26" s="57"/>
      <c r="G26" s="57"/>
      <c r="H26" s="57"/>
      <c r="I26" s="57"/>
      <c r="J26" s="57"/>
      <c r="K26" s="57"/>
      <c r="L26" s="57"/>
      <c r="M26" s="57"/>
      <c r="N26" s="57"/>
      <c r="O26" s="57"/>
      <c r="P26" s="57"/>
      <c r="Q26" s="68"/>
    </row>
    <row r="27" spans="1:17" ht="15" customHeight="1" x14ac:dyDescent="0.2">
      <c r="A27" s="68"/>
      <c r="B27" s="58"/>
      <c r="C27" s="58"/>
      <c r="D27" s="59"/>
      <c r="E27" s="59"/>
      <c r="F27" s="59"/>
      <c r="G27" s="59"/>
      <c r="H27" s="59"/>
      <c r="I27" s="59"/>
      <c r="J27" s="59"/>
      <c r="K27" s="59"/>
      <c r="L27" s="59"/>
      <c r="M27" s="59"/>
      <c r="N27" s="59"/>
      <c r="O27" s="59"/>
      <c r="P27" s="59"/>
      <c r="Q27" s="68"/>
    </row>
    <row r="28" spans="1:17" ht="15" customHeight="1" x14ac:dyDescent="0.2">
      <c r="A28" s="68"/>
      <c r="B28" s="58"/>
      <c r="C28" s="58"/>
      <c r="D28" s="59"/>
      <c r="E28" s="59"/>
      <c r="F28" s="59"/>
      <c r="G28" s="59"/>
      <c r="H28" s="59"/>
      <c r="I28" s="59"/>
      <c r="J28" s="59"/>
      <c r="K28" s="59"/>
      <c r="L28" s="59"/>
      <c r="M28" s="59"/>
      <c r="N28" s="59"/>
      <c r="O28" s="59"/>
      <c r="P28" s="59"/>
      <c r="Q28" s="68"/>
    </row>
    <row r="29" spans="1:17" ht="15" customHeight="1" x14ac:dyDescent="0.2">
      <c r="A29" s="68"/>
      <c r="B29" s="58"/>
      <c r="C29" s="58"/>
      <c r="D29" s="59"/>
      <c r="E29" s="59"/>
      <c r="F29" s="59"/>
      <c r="G29" s="59"/>
      <c r="H29" s="59"/>
      <c r="I29" s="59"/>
      <c r="J29" s="59"/>
      <c r="K29" s="59"/>
      <c r="L29" s="59"/>
      <c r="M29" s="59"/>
      <c r="N29" s="59"/>
      <c r="O29" s="59"/>
      <c r="P29" s="59"/>
      <c r="Q29" s="68"/>
    </row>
    <row r="30" spans="1:17" ht="15" customHeight="1" x14ac:dyDescent="0.2">
      <c r="A30" s="68"/>
      <c r="B30" s="68"/>
      <c r="C30" s="68"/>
      <c r="D30" s="68"/>
      <c r="E30" s="68"/>
      <c r="F30" s="68"/>
      <c r="G30" s="68"/>
      <c r="H30" s="68"/>
      <c r="I30" s="68"/>
      <c r="J30" s="68"/>
      <c r="K30" s="68"/>
      <c r="L30" s="68"/>
      <c r="M30" s="68"/>
      <c r="N30" s="68"/>
      <c r="O30" s="68"/>
      <c r="P30" s="68"/>
      <c r="Q30" s="68"/>
    </row>
    <row r="31" spans="1:17" ht="15" customHeight="1" x14ac:dyDescent="0.2">
      <c r="A31" s="71" t="s">
        <v>33</v>
      </c>
      <c r="B31" s="56"/>
      <c r="C31" s="56"/>
      <c r="D31" s="57"/>
      <c r="E31" s="57"/>
      <c r="F31" s="57"/>
      <c r="G31" s="57"/>
      <c r="H31" s="57"/>
      <c r="I31" s="57"/>
      <c r="J31" s="57"/>
      <c r="K31" s="57"/>
      <c r="L31" s="57"/>
      <c r="M31" s="57"/>
      <c r="N31" s="57"/>
      <c r="O31" s="57"/>
      <c r="P31" s="57"/>
      <c r="Q31" s="68"/>
    </row>
    <row r="32" spans="1:17" ht="15" customHeight="1" x14ac:dyDescent="0.2">
      <c r="A32" s="68"/>
      <c r="B32" s="58"/>
      <c r="C32" s="58"/>
      <c r="D32" s="59"/>
      <c r="E32" s="59"/>
      <c r="F32" s="59"/>
      <c r="G32" s="59"/>
      <c r="H32" s="59"/>
      <c r="I32" s="59"/>
      <c r="J32" s="59"/>
      <c r="K32" s="59"/>
      <c r="L32" s="59"/>
      <c r="M32" s="59"/>
      <c r="N32" s="59"/>
      <c r="O32" s="59"/>
      <c r="P32" s="59"/>
      <c r="Q32" s="68"/>
    </row>
    <row r="33" spans="1:17" ht="15" customHeight="1" x14ac:dyDescent="0.2">
      <c r="A33" s="68"/>
      <c r="B33" s="58"/>
      <c r="C33" s="58"/>
      <c r="D33" s="59"/>
      <c r="E33" s="59"/>
      <c r="F33" s="59"/>
      <c r="G33" s="59"/>
      <c r="H33" s="59"/>
      <c r="I33" s="59"/>
      <c r="J33" s="59"/>
      <c r="K33" s="59"/>
      <c r="L33" s="59"/>
      <c r="M33" s="59"/>
      <c r="N33" s="59"/>
      <c r="O33" s="59"/>
      <c r="P33" s="59"/>
      <c r="Q33" s="68"/>
    </row>
    <row r="34" spans="1:17" ht="15" customHeight="1" x14ac:dyDescent="0.2">
      <c r="A34" s="68"/>
      <c r="B34" s="58"/>
      <c r="C34" s="58"/>
      <c r="D34" s="59"/>
      <c r="E34" s="59"/>
      <c r="F34" s="59"/>
      <c r="G34" s="59"/>
      <c r="H34" s="59"/>
      <c r="I34" s="59"/>
      <c r="J34" s="59"/>
      <c r="K34" s="59"/>
      <c r="L34" s="59"/>
      <c r="M34" s="59"/>
      <c r="N34" s="59"/>
      <c r="O34" s="59"/>
      <c r="P34" s="59"/>
      <c r="Q34" s="68"/>
    </row>
    <row r="35" spans="1:17" ht="15" customHeight="1" x14ac:dyDescent="0.2">
      <c r="A35" s="68"/>
      <c r="B35" s="68"/>
      <c r="C35" s="68"/>
      <c r="D35" s="68"/>
      <c r="E35" s="68"/>
      <c r="F35" s="68"/>
      <c r="G35" s="68"/>
      <c r="H35" s="68"/>
      <c r="I35" s="68"/>
      <c r="J35" s="68"/>
      <c r="K35" s="68"/>
      <c r="L35" s="68"/>
      <c r="M35" s="68"/>
      <c r="N35" s="68"/>
      <c r="O35" s="68"/>
      <c r="P35" s="68"/>
      <c r="Q35" s="68"/>
    </row>
    <row r="36" spans="1:17" x14ac:dyDescent="0.2">
      <c r="A36" s="71" t="s">
        <v>670</v>
      </c>
      <c r="B36" s="548"/>
      <c r="C36" s="68"/>
      <c r="D36" s="68"/>
      <c r="E36" s="68"/>
      <c r="F36" s="68"/>
      <c r="G36" s="68"/>
      <c r="H36" s="68"/>
      <c r="I36" s="68"/>
      <c r="J36" s="68"/>
      <c r="K36" s="68"/>
      <c r="L36" s="68"/>
      <c r="M36" s="68"/>
      <c r="N36" s="68"/>
      <c r="O36" s="68"/>
      <c r="P36" s="68"/>
      <c r="Q36" s="68"/>
    </row>
    <row r="37" spans="1:17" x14ac:dyDescent="0.2">
      <c r="A37" s="570"/>
      <c r="B37" s="549"/>
      <c r="C37" s="68"/>
      <c r="D37" s="68"/>
      <c r="E37" s="68"/>
      <c r="F37" s="68"/>
      <c r="G37" s="68"/>
      <c r="H37" s="68"/>
      <c r="I37" s="68"/>
      <c r="J37" s="68"/>
      <c r="K37" s="68"/>
      <c r="L37" s="68"/>
      <c r="M37" s="68"/>
      <c r="N37" s="68"/>
      <c r="O37" s="68"/>
      <c r="P37" s="68"/>
      <c r="Q37" s="68"/>
    </row>
    <row r="38" spans="1:17" x14ac:dyDescent="0.2">
      <c r="A38" s="68"/>
      <c r="B38" s="549"/>
      <c r="C38" s="68"/>
      <c r="D38" s="68"/>
      <c r="E38" s="68"/>
      <c r="F38" s="68"/>
      <c r="G38" s="68"/>
      <c r="H38" s="68"/>
      <c r="I38" s="68"/>
      <c r="J38" s="68"/>
      <c r="K38" s="68"/>
      <c r="L38" s="68"/>
      <c r="M38" s="68"/>
      <c r="N38" s="68"/>
      <c r="O38" s="68"/>
      <c r="P38" s="68"/>
      <c r="Q38" s="68"/>
    </row>
    <row r="39" spans="1:17" x14ac:dyDescent="0.2">
      <c r="A39" s="68"/>
      <c r="B39" s="549"/>
      <c r="C39" s="68"/>
      <c r="D39" s="68"/>
      <c r="E39" s="68"/>
      <c r="F39" s="68"/>
      <c r="G39" s="68"/>
      <c r="H39" s="68"/>
      <c r="I39" s="68"/>
      <c r="J39" s="68"/>
      <c r="K39" s="68"/>
      <c r="L39" s="68"/>
      <c r="M39" s="68"/>
      <c r="N39" s="68"/>
      <c r="O39" s="68"/>
      <c r="P39" s="68"/>
      <c r="Q39" s="68"/>
    </row>
    <row r="40" spans="1:17" x14ac:dyDescent="0.2">
      <c r="A40" s="68"/>
      <c r="B40" s="68"/>
      <c r="C40" s="68"/>
      <c r="D40" s="68"/>
      <c r="E40" s="68"/>
      <c r="F40" s="68"/>
      <c r="G40" s="68"/>
      <c r="H40" s="68"/>
      <c r="I40" s="68"/>
      <c r="J40" s="68"/>
      <c r="K40" s="68"/>
      <c r="L40" s="68"/>
      <c r="M40" s="68"/>
      <c r="N40" s="68"/>
      <c r="O40" s="68"/>
      <c r="P40" s="68"/>
      <c r="Q40" s="68"/>
    </row>
    <row r="41" spans="1:17" ht="15" customHeight="1" x14ac:dyDescent="0.2"/>
    <row r="42" spans="1:17" ht="15" customHeight="1" x14ac:dyDescent="0.2"/>
    <row r="43" spans="1:17" ht="15" customHeight="1" x14ac:dyDescent="0.2"/>
  </sheetData>
  <sheetProtection password="CD9E" sheet="1" objects="1" scenarios="1" selectLockedCells="1"/>
  <mergeCells count="7">
    <mergeCell ref="O13:P13"/>
    <mergeCell ref="B13:C13"/>
    <mergeCell ref="D13:E13"/>
    <mergeCell ref="F13:G13"/>
    <mergeCell ref="H13:I13"/>
    <mergeCell ref="J13:K13"/>
    <mergeCell ref="L13:M13"/>
  </mergeCells>
  <dataValidations count="1">
    <dataValidation type="list" allowBlank="1" showInputMessage="1" showErrorMessage="1" sqref="B36:B39">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55118110236220474" right="0.55118110236220474" top="0.98425196850393704" bottom="0.98425196850393704" header="0.51181102362204722" footer="0.51181102362204722"/>
  <pageSetup paperSize="9" scale="78" orientation="landscape" r:id="rId1"/>
  <headerFooter alignWithMargins="0">
    <oddHeader>&amp;LCDH&amp;C &amp;F&amp;R&amp;A</oddHeader>
    <oddFoote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99FF"/>
  </sheetPr>
  <dimension ref="A1:BU48"/>
  <sheetViews>
    <sheetView showGridLines="0" topLeftCell="A7" workbookViewId="0">
      <selection activeCell="BL30" sqref="BL30"/>
    </sheetView>
  </sheetViews>
  <sheetFormatPr baseColWidth="10" defaultColWidth="9.140625" defaultRowHeight="12.75" x14ac:dyDescent="0.2"/>
  <cols>
    <col min="1" max="1" width="26.5703125" customWidth="1"/>
    <col min="2" max="2" width="11.7109375" customWidth="1"/>
    <col min="3" max="3" width="4.7109375" customWidth="1"/>
    <col min="4" max="4" width="11.7109375" customWidth="1"/>
    <col min="5" max="5" width="4.7109375" customWidth="1"/>
    <col min="6" max="6" width="11.7109375" customWidth="1"/>
    <col min="7" max="7" width="4.7109375" customWidth="1"/>
    <col min="8" max="8" width="11.7109375" customWidth="1"/>
    <col min="9" max="9" width="4.7109375" customWidth="1"/>
    <col min="10" max="10" width="11.7109375" customWidth="1"/>
    <col min="11" max="11" width="4.7109375" customWidth="1"/>
    <col min="12" max="12" width="11.7109375" customWidth="1"/>
    <col min="13" max="13" width="4.7109375" customWidth="1"/>
    <col min="14" max="14" width="11.7109375" customWidth="1"/>
    <col min="15" max="15" width="4.7109375" customWidth="1"/>
    <col min="16" max="16" width="11.7109375" customWidth="1"/>
    <col min="17" max="17" width="4.7109375" customWidth="1"/>
    <col min="18" max="18" width="11.7109375" customWidth="1"/>
    <col min="19" max="19" width="4.7109375" customWidth="1"/>
    <col min="20" max="20" width="11.7109375" customWidth="1"/>
    <col min="21" max="21" width="4.7109375" customWidth="1"/>
    <col min="22" max="22" width="11.7109375" customWidth="1"/>
    <col min="23" max="23" width="4.7109375" customWidth="1"/>
    <col min="24" max="24" width="11.7109375" customWidth="1"/>
    <col min="25" max="25" width="4.7109375" customWidth="1"/>
    <col min="26" max="26" width="11.7109375" customWidth="1"/>
    <col min="27" max="27" width="4.7109375" customWidth="1"/>
    <col min="28" max="28" width="11.7109375" customWidth="1"/>
    <col min="29" max="29" width="4.7109375" customWidth="1"/>
    <col min="30" max="30" width="11.7109375" customWidth="1"/>
    <col min="31" max="31" width="4.7109375" customWidth="1"/>
    <col min="32" max="32" width="11.7109375" customWidth="1"/>
    <col min="33" max="33" width="4.7109375" customWidth="1"/>
    <col min="34" max="34" width="11.7109375" customWidth="1"/>
    <col min="35" max="35" width="4.7109375" customWidth="1"/>
    <col min="36" max="36" width="11.7109375" customWidth="1"/>
    <col min="37" max="37" width="4.7109375" customWidth="1"/>
    <col min="38" max="38" width="11.7109375" customWidth="1"/>
    <col min="39" max="39" width="4.7109375" customWidth="1"/>
    <col min="40" max="40" width="11.7109375" customWidth="1"/>
    <col min="41" max="41" width="4.7109375" customWidth="1"/>
    <col min="42" max="42" width="11.7109375" customWidth="1"/>
    <col min="43" max="43" width="4.7109375" customWidth="1"/>
    <col min="44" max="44" width="11.7109375" customWidth="1"/>
    <col min="45" max="45" width="4.7109375" customWidth="1"/>
    <col min="46" max="46" width="11.7109375" customWidth="1"/>
    <col min="47" max="47" width="4.7109375" customWidth="1"/>
    <col min="48" max="48" width="11.7109375" customWidth="1"/>
    <col min="49" max="49" width="4.7109375" customWidth="1"/>
    <col min="50" max="50" width="11.7109375" customWidth="1"/>
    <col min="51" max="51" width="4.7109375" customWidth="1"/>
    <col min="52" max="52" width="11.7109375" customWidth="1"/>
    <col min="53" max="53" width="4.7109375" customWidth="1"/>
    <col min="54" max="54" width="11.7109375" customWidth="1"/>
    <col min="55" max="55" width="4.7109375" customWidth="1"/>
    <col min="56" max="56" width="11.7109375" customWidth="1"/>
    <col min="57" max="57" width="4.7109375" customWidth="1"/>
    <col min="58" max="58" width="11.7109375" customWidth="1"/>
    <col min="59" max="59" width="4.7109375" customWidth="1"/>
    <col min="60" max="60" width="11.7109375" customWidth="1"/>
    <col min="61" max="61" width="4.7109375" customWidth="1"/>
  </cols>
  <sheetData>
    <row r="1" spans="1:73" x14ac:dyDescent="0.2">
      <c r="A1" s="26" t="s">
        <v>6</v>
      </c>
      <c r="B1" s="66"/>
      <c r="C1" s="66"/>
      <c r="D1" s="66"/>
      <c r="E1" s="66"/>
      <c r="F1" s="66"/>
      <c r="G1" s="66"/>
      <c r="H1" s="66"/>
      <c r="I1" s="66"/>
      <c r="J1" s="66"/>
      <c r="K1" s="66"/>
      <c r="L1" s="66"/>
    </row>
    <row r="2" spans="1:73" x14ac:dyDescent="0.2">
      <c r="A2" s="28" t="s">
        <v>10</v>
      </c>
      <c r="B2" s="66"/>
      <c r="C2" s="66"/>
      <c r="D2" s="66"/>
      <c r="E2" s="66"/>
      <c r="F2" s="66"/>
      <c r="G2" s="66"/>
      <c r="H2" s="66"/>
      <c r="I2" s="66"/>
      <c r="J2" s="66"/>
      <c r="K2" s="66"/>
      <c r="L2" s="66"/>
    </row>
    <row r="3" spans="1:73" x14ac:dyDescent="0.2">
      <c r="A3" s="28" t="s">
        <v>7</v>
      </c>
      <c r="B3" s="66"/>
      <c r="C3" s="66"/>
      <c r="D3" s="66"/>
      <c r="E3" s="66"/>
      <c r="F3" s="66"/>
      <c r="G3" s="66"/>
      <c r="H3" s="66"/>
      <c r="I3" s="66"/>
      <c r="J3" s="66"/>
      <c r="K3" s="66"/>
      <c r="L3" s="66"/>
    </row>
    <row r="4" spans="1:73" s="31" customFormat="1" x14ac:dyDescent="0.2">
      <c r="A4" s="67" t="s">
        <v>222</v>
      </c>
      <c r="B4" s="67"/>
      <c r="C4" s="67"/>
      <c r="D4" s="67"/>
      <c r="E4" s="67"/>
      <c r="F4" s="67"/>
      <c r="G4" s="67"/>
      <c r="H4" s="67"/>
      <c r="I4" s="67"/>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c r="BP4" s="72"/>
      <c r="BQ4" s="72"/>
      <c r="BR4" s="72"/>
      <c r="BS4" s="72"/>
      <c r="BT4" s="253"/>
      <c r="BU4" s="253"/>
    </row>
    <row r="5" spans="1:73" s="31" customFormat="1" x14ac:dyDescent="0.2">
      <c r="A5" s="131"/>
      <c r="B5" s="13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c r="BA5" s="131"/>
      <c r="BB5" s="131"/>
      <c r="BC5" s="131"/>
      <c r="BD5" s="131"/>
      <c r="BE5" s="131"/>
      <c r="BF5" s="131"/>
      <c r="BG5" s="131"/>
      <c r="BH5" s="131"/>
      <c r="BI5" s="131"/>
      <c r="BJ5" s="131"/>
      <c r="BK5" s="131"/>
      <c r="BL5" s="131"/>
      <c r="BM5" s="131"/>
      <c r="BN5" s="131"/>
      <c r="BO5" s="131"/>
      <c r="BP5" s="131"/>
      <c r="BQ5" s="131"/>
      <c r="BR5" s="131"/>
      <c r="BS5" s="131"/>
      <c r="BT5" s="253"/>
      <c r="BU5" s="253"/>
    </row>
    <row r="6" spans="1:73" s="31" customFormat="1" x14ac:dyDescent="0.2">
      <c r="A6" s="253"/>
      <c r="B6" s="253"/>
      <c r="C6" s="253"/>
      <c r="D6" s="253"/>
      <c r="E6" s="253"/>
      <c r="F6" s="253"/>
      <c r="G6" s="253"/>
      <c r="H6" s="253"/>
      <c r="I6" s="253"/>
      <c r="J6" s="253"/>
      <c r="K6" s="253"/>
      <c r="L6" s="253"/>
      <c r="M6" s="253"/>
      <c r="N6" s="253"/>
      <c r="O6" s="253"/>
      <c r="P6" s="253"/>
      <c r="Q6" s="253"/>
      <c r="R6" s="253"/>
      <c r="S6" s="253"/>
      <c r="T6" s="253"/>
      <c r="U6" s="253"/>
      <c r="V6" s="253"/>
      <c r="W6" s="253"/>
      <c r="X6" s="253"/>
      <c r="Y6" s="253"/>
      <c r="Z6" s="253"/>
      <c r="AA6" s="253"/>
      <c r="AB6" s="253"/>
      <c r="AC6" s="253"/>
      <c r="AD6" s="253"/>
      <c r="AE6" s="253"/>
      <c r="AF6" s="253"/>
      <c r="AG6" s="253"/>
      <c r="AH6" s="253"/>
      <c r="AI6" s="253"/>
      <c r="AJ6" s="253"/>
      <c r="AK6" s="253"/>
      <c r="AL6" s="253"/>
      <c r="AM6" s="253"/>
      <c r="AN6" s="253"/>
      <c r="AO6" s="253"/>
      <c r="AP6" s="253"/>
      <c r="AQ6" s="253"/>
      <c r="AR6" s="253"/>
      <c r="AS6" s="253"/>
      <c r="AT6" s="253"/>
      <c r="AU6" s="253"/>
      <c r="AV6" s="253"/>
      <c r="AW6" s="253"/>
      <c r="AX6" s="253"/>
      <c r="AY6" s="253"/>
      <c r="AZ6" s="253"/>
      <c r="BA6" s="253"/>
      <c r="BB6" s="253"/>
      <c r="BC6" s="253"/>
      <c r="BD6" s="253"/>
      <c r="BE6" s="253"/>
      <c r="BF6" s="253"/>
      <c r="BG6" s="253"/>
      <c r="BH6" s="253"/>
      <c r="BI6" s="253"/>
      <c r="BJ6" s="253"/>
      <c r="BK6" s="253"/>
      <c r="BL6" s="253"/>
      <c r="BM6" s="253"/>
      <c r="BN6" s="253"/>
      <c r="BO6" s="253"/>
      <c r="BP6" s="253"/>
      <c r="BQ6" s="253"/>
      <c r="BR6" s="253"/>
      <c r="BS6" s="253"/>
      <c r="BT6" s="253"/>
      <c r="BU6" s="253"/>
    </row>
    <row r="7" spans="1:73" s="31" customFormat="1" ht="15.75" x14ac:dyDescent="0.25">
      <c r="A7" s="69" t="s">
        <v>1036</v>
      </c>
      <c r="B7" s="68"/>
      <c r="C7" s="68"/>
      <c r="D7" s="68"/>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253"/>
      <c r="BU7" s="253"/>
    </row>
    <row r="8" spans="1:73" s="31" customFormat="1" x14ac:dyDescent="0.2">
      <c r="A8" s="70" t="s">
        <v>21</v>
      </c>
      <c r="B8" s="68"/>
      <c r="C8" s="68"/>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253"/>
      <c r="BU8" s="253"/>
    </row>
    <row r="9" spans="1:73" s="31" customFormat="1" x14ac:dyDescent="0.2">
      <c r="A9" s="254"/>
      <c r="B9" s="255" t="s">
        <v>34</v>
      </c>
      <c r="C9" s="255"/>
      <c r="D9" s="510">
        <v>2014</v>
      </c>
      <c r="E9" s="68"/>
      <c r="F9" s="68"/>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253"/>
      <c r="BU9" s="253"/>
    </row>
    <row r="10" spans="1:73" s="31" customFormat="1" x14ac:dyDescent="0.2">
      <c r="A10" s="254"/>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253"/>
      <c r="BU10" s="253"/>
    </row>
    <row r="11" spans="1:73" s="31" customFormat="1" x14ac:dyDescent="0.2">
      <c r="A11" s="254"/>
      <c r="B11" s="1111"/>
      <c r="C11" s="68"/>
      <c r="D11" s="68"/>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253"/>
      <c r="BU11" s="253"/>
    </row>
    <row r="12" spans="1:73" s="31" customFormat="1" ht="15.75" customHeight="1" x14ac:dyDescent="0.2">
      <c r="A12" s="1732" t="s">
        <v>941</v>
      </c>
      <c r="B12" s="1705" t="s">
        <v>236</v>
      </c>
      <c r="C12" s="1706"/>
      <c r="D12" s="1706"/>
      <c r="E12" s="1706"/>
      <c r="F12" s="1706"/>
      <c r="G12" s="1706"/>
      <c r="H12" s="1706"/>
      <c r="I12" s="1706"/>
      <c r="J12" s="1706"/>
      <c r="K12" s="1707"/>
      <c r="L12" s="1705" t="s">
        <v>237</v>
      </c>
      <c r="M12" s="1706"/>
      <c r="N12" s="1706"/>
      <c r="O12" s="1706"/>
      <c r="P12" s="1706"/>
      <c r="Q12" s="1706"/>
      <c r="R12" s="1706"/>
      <c r="S12" s="1706"/>
      <c r="T12" s="1706"/>
      <c r="U12" s="1707"/>
      <c r="V12" s="1705" t="s">
        <v>238</v>
      </c>
      <c r="W12" s="1706"/>
      <c r="X12" s="1706"/>
      <c r="Y12" s="1706"/>
      <c r="Z12" s="1706"/>
      <c r="AA12" s="1706"/>
      <c r="AB12" s="1706"/>
      <c r="AC12" s="1706"/>
      <c r="AD12" s="1706"/>
      <c r="AE12" s="1707"/>
      <c r="AF12" s="1705" t="s">
        <v>239</v>
      </c>
      <c r="AG12" s="1706"/>
      <c r="AH12" s="1706"/>
      <c r="AI12" s="1706"/>
      <c r="AJ12" s="1706"/>
      <c r="AK12" s="1706"/>
      <c r="AL12" s="1706"/>
      <c r="AM12" s="1706"/>
      <c r="AN12" s="1706"/>
      <c r="AO12" s="1707"/>
      <c r="AP12" s="1705" t="s">
        <v>240</v>
      </c>
      <c r="AQ12" s="1706"/>
      <c r="AR12" s="1706"/>
      <c r="AS12" s="1706"/>
      <c r="AT12" s="1706"/>
      <c r="AU12" s="1706"/>
      <c r="AV12" s="1706"/>
      <c r="AW12" s="1706"/>
      <c r="AX12" s="1706"/>
      <c r="AY12" s="1707"/>
      <c r="AZ12" s="1705" t="s">
        <v>241</v>
      </c>
      <c r="BA12" s="1706"/>
      <c r="BB12" s="1706"/>
      <c r="BC12" s="1706"/>
      <c r="BD12" s="1706"/>
      <c r="BE12" s="1706"/>
      <c r="BF12" s="1706"/>
      <c r="BG12" s="1706"/>
      <c r="BH12" s="1706"/>
      <c r="BI12" s="1707"/>
      <c r="BJ12" s="1734" t="s">
        <v>271</v>
      </c>
      <c r="BK12" s="1735"/>
      <c r="BL12" s="1735"/>
      <c r="BM12" s="1735"/>
      <c r="BN12" s="1735"/>
      <c r="BO12" s="1735"/>
      <c r="BP12" s="1735"/>
      <c r="BQ12" s="1735"/>
      <c r="BR12" s="1735"/>
      <c r="BS12" s="1736"/>
      <c r="BT12" s="253"/>
      <c r="BU12" s="253"/>
    </row>
    <row r="13" spans="1:73" s="31" customFormat="1" ht="16.5" customHeight="1" x14ac:dyDescent="0.2">
      <c r="A13" s="1733"/>
      <c r="B13" s="1713" t="s">
        <v>1023</v>
      </c>
      <c r="C13" s="1713"/>
      <c r="D13" s="1713" t="s">
        <v>1024</v>
      </c>
      <c r="E13" s="1713"/>
      <c r="F13" s="1713" t="s">
        <v>1025</v>
      </c>
      <c r="G13" s="1713"/>
      <c r="H13" s="1713" t="s">
        <v>1026</v>
      </c>
      <c r="I13" s="1713"/>
      <c r="J13" s="1713" t="s">
        <v>1027</v>
      </c>
      <c r="K13" s="1714"/>
      <c r="L13" s="1713" t="s">
        <v>1023</v>
      </c>
      <c r="M13" s="1713"/>
      <c r="N13" s="1713" t="s">
        <v>1024</v>
      </c>
      <c r="O13" s="1713"/>
      <c r="P13" s="1713" t="s">
        <v>1025</v>
      </c>
      <c r="Q13" s="1713"/>
      <c r="R13" s="1713" t="s">
        <v>1026</v>
      </c>
      <c r="S13" s="1713"/>
      <c r="T13" s="1713" t="s">
        <v>1027</v>
      </c>
      <c r="U13" s="1714"/>
      <c r="V13" s="1713" t="s">
        <v>1023</v>
      </c>
      <c r="W13" s="1713"/>
      <c r="X13" s="1713" t="s">
        <v>1024</v>
      </c>
      <c r="Y13" s="1713"/>
      <c r="Z13" s="1713" t="s">
        <v>1025</v>
      </c>
      <c r="AA13" s="1713"/>
      <c r="AB13" s="1713" t="s">
        <v>1026</v>
      </c>
      <c r="AC13" s="1713"/>
      <c r="AD13" s="1713" t="s">
        <v>1027</v>
      </c>
      <c r="AE13" s="1714"/>
      <c r="AF13" s="1713" t="s">
        <v>1023</v>
      </c>
      <c r="AG13" s="1713"/>
      <c r="AH13" s="1713" t="s">
        <v>1024</v>
      </c>
      <c r="AI13" s="1713"/>
      <c r="AJ13" s="1713" t="s">
        <v>1025</v>
      </c>
      <c r="AK13" s="1713"/>
      <c r="AL13" s="1713" t="s">
        <v>1026</v>
      </c>
      <c r="AM13" s="1713"/>
      <c r="AN13" s="1713" t="s">
        <v>1027</v>
      </c>
      <c r="AO13" s="1714"/>
      <c r="AP13" s="1713" t="s">
        <v>1023</v>
      </c>
      <c r="AQ13" s="1713"/>
      <c r="AR13" s="1713" t="s">
        <v>1024</v>
      </c>
      <c r="AS13" s="1713"/>
      <c r="AT13" s="1713" t="s">
        <v>1025</v>
      </c>
      <c r="AU13" s="1713"/>
      <c r="AV13" s="1713" t="s">
        <v>1026</v>
      </c>
      <c r="AW13" s="1713"/>
      <c r="AX13" s="1713" t="s">
        <v>1027</v>
      </c>
      <c r="AY13" s="1714"/>
      <c r="AZ13" s="1713" t="s">
        <v>1023</v>
      </c>
      <c r="BA13" s="1713"/>
      <c r="BB13" s="1713" t="s">
        <v>1024</v>
      </c>
      <c r="BC13" s="1713"/>
      <c r="BD13" s="1713" t="s">
        <v>1025</v>
      </c>
      <c r="BE13" s="1713"/>
      <c r="BF13" s="1713" t="s">
        <v>1026</v>
      </c>
      <c r="BG13" s="1713"/>
      <c r="BH13" s="1713" t="s">
        <v>1027</v>
      </c>
      <c r="BI13" s="1714"/>
      <c r="BJ13" s="1737" t="s">
        <v>1023</v>
      </c>
      <c r="BK13" s="1737"/>
      <c r="BL13" s="1737" t="s">
        <v>1024</v>
      </c>
      <c r="BM13" s="1737"/>
      <c r="BN13" s="1737" t="s">
        <v>1025</v>
      </c>
      <c r="BO13" s="1737"/>
      <c r="BP13" s="1737" t="s">
        <v>1026</v>
      </c>
      <c r="BQ13" s="1737"/>
      <c r="BR13" s="1737" t="s">
        <v>1027</v>
      </c>
      <c r="BS13" s="1738"/>
      <c r="BT13" s="253"/>
      <c r="BU13" s="253"/>
    </row>
    <row r="14" spans="1:73" x14ac:dyDescent="0.2">
      <c r="A14" s="1533" t="s">
        <v>1008</v>
      </c>
      <c r="B14" s="1540">
        <v>0</v>
      </c>
      <c r="C14" s="1541"/>
      <c r="D14" s="1541">
        <v>14.25634</v>
      </c>
      <c r="E14" s="1541"/>
      <c r="F14" s="1541">
        <v>156.81979999999999</v>
      </c>
      <c r="G14" s="1541"/>
      <c r="H14" s="1541">
        <v>976.55939999999998</v>
      </c>
      <c r="I14" s="1541"/>
      <c r="J14" s="1541">
        <v>2616.04</v>
      </c>
      <c r="K14" s="1542"/>
      <c r="L14" s="1540">
        <v>0</v>
      </c>
      <c r="M14" s="1541"/>
      <c r="N14" s="1541">
        <v>14.25634</v>
      </c>
      <c r="O14" s="1541"/>
      <c r="P14" s="1541">
        <v>85.538049999999998</v>
      </c>
      <c r="Q14" s="1541"/>
      <c r="R14" s="1541">
        <v>477.5874</v>
      </c>
      <c r="S14" s="1541"/>
      <c r="T14" s="1541">
        <v>1026.46</v>
      </c>
      <c r="U14" s="1542"/>
      <c r="V14" s="1540">
        <v>0</v>
      </c>
      <c r="W14" s="1541"/>
      <c r="X14" s="1541">
        <v>7.128171</v>
      </c>
      <c r="Y14" s="1541"/>
      <c r="Z14" s="1541">
        <v>28.51268</v>
      </c>
      <c r="AA14" s="1541"/>
      <c r="AB14" s="1541">
        <v>270.87049999999999</v>
      </c>
      <c r="AC14" s="1541"/>
      <c r="AD14" s="1541">
        <v>684.30439999999999</v>
      </c>
      <c r="AE14" s="1542"/>
      <c r="AF14" s="1540">
        <v>7.128171</v>
      </c>
      <c r="AG14" s="1541"/>
      <c r="AH14" s="1541">
        <v>7.128171</v>
      </c>
      <c r="AI14" s="1541"/>
      <c r="AJ14" s="1541">
        <v>7.128171</v>
      </c>
      <c r="AK14" s="1541"/>
      <c r="AL14" s="1541">
        <v>192.4606</v>
      </c>
      <c r="AM14" s="1541"/>
      <c r="AN14" s="1541">
        <v>449.07479999999998</v>
      </c>
      <c r="AO14" s="1542"/>
      <c r="AP14" s="1540">
        <v>0</v>
      </c>
      <c r="AQ14" s="1541"/>
      <c r="AR14" s="1541">
        <v>35.64085</v>
      </c>
      <c r="AS14" s="1541"/>
      <c r="AT14" s="1541">
        <v>228.10149999999999</v>
      </c>
      <c r="AU14" s="1541"/>
      <c r="AV14" s="1541">
        <v>948.04669999999999</v>
      </c>
      <c r="AW14" s="1541"/>
      <c r="AX14" s="1541">
        <v>1268.81</v>
      </c>
      <c r="AY14" s="1542"/>
      <c r="AZ14" s="1540">
        <v>0</v>
      </c>
      <c r="BA14" s="1541"/>
      <c r="BB14" s="1541">
        <v>14.25634</v>
      </c>
      <c r="BC14" s="1541"/>
      <c r="BD14" s="1621">
        <v>135.43520000000001</v>
      </c>
      <c r="BE14" s="1541"/>
      <c r="BF14" s="1541">
        <v>456.2029</v>
      </c>
      <c r="BG14" s="1541"/>
      <c r="BH14" s="1541">
        <v>484.71559999999999</v>
      </c>
      <c r="BI14" s="1542"/>
      <c r="BJ14" s="1540"/>
      <c r="BK14" s="1541"/>
      <c r="BL14" s="1541"/>
      <c r="BM14" s="1541"/>
      <c r="BN14" s="1541"/>
      <c r="BO14" s="1541"/>
      <c r="BP14" s="1541"/>
      <c r="BQ14" s="1541"/>
      <c r="BR14" s="1541"/>
      <c r="BS14" s="1542"/>
      <c r="BT14" s="253"/>
      <c r="BU14" s="253"/>
    </row>
    <row r="15" spans="1:73" x14ac:dyDescent="0.2">
      <c r="A15" s="1533" t="s">
        <v>1009</v>
      </c>
      <c r="B15" s="1543">
        <v>71.281710000000004</v>
      </c>
      <c r="C15" s="1544"/>
      <c r="D15" s="1544">
        <v>327.89589999999998</v>
      </c>
      <c r="E15" s="1544"/>
      <c r="F15" s="1544">
        <v>677.17619999999999</v>
      </c>
      <c r="G15" s="1544"/>
      <c r="H15" s="1544">
        <v>1496.92</v>
      </c>
      <c r="I15" s="1544"/>
      <c r="J15" s="1544">
        <v>1190.4000000000001</v>
      </c>
      <c r="K15" s="1545"/>
      <c r="L15" s="1543">
        <v>14.25634</v>
      </c>
      <c r="M15" s="1544"/>
      <c r="N15" s="1544">
        <v>92.666219999999996</v>
      </c>
      <c r="O15" s="1544"/>
      <c r="P15" s="1544">
        <v>270.87049999999999</v>
      </c>
      <c r="Q15" s="1544"/>
      <c r="R15" s="1544">
        <v>584.51</v>
      </c>
      <c r="S15" s="1544"/>
      <c r="T15" s="1544">
        <v>641.53539999999998</v>
      </c>
      <c r="U15" s="1545"/>
      <c r="V15" s="1543">
        <v>21.384509999999999</v>
      </c>
      <c r="W15" s="1544"/>
      <c r="X15" s="1544">
        <v>49.897199999999998</v>
      </c>
      <c r="Y15" s="1544"/>
      <c r="Z15" s="1544">
        <v>228.10149999999999</v>
      </c>
      <c r="AA15" s="1544"/>
      <c r="AB15" s="1544">
        <v>384.9212</v>
      </c>
      <c r="AC15" s="1544"/>
      <c r="AD15" s="1544">
        <v>306.51130000000001</v>
      </c>
      <c r="AE15" s="1545"/>
      <c r="AF15" s="1543">
        <v>7.128171</v>
      </c>
      <c r="AG15" s="1544"/>
      <c r="AH15" s="1544">
        <v>7.128171</v>
      </c>
      <c r="AI15" s="1544"/>
      <c r="AJ15" s="1544">
        <v>99.794390000000007</v>
      </c>
      <c r="AK15" s="1544"/>
      <c r="AL15" s="1544">
        <v>306.51130000000001</v>
      </c>
      <c r="AM15" s="1544"/>
      <c r="AN15" s="1544">
        <v>242.3578</v>
      </c>
      <c r="AO15" s="1545"/>
      <c r="AP15" s="1543">
        <v>14.25634</v>
      </c>
      <c r="AQ15" s="1544"/>
      <c r="AR15" s="1544">
        <v>142.5634</v>
      </c>
      <c r="AS15" s="1544"/>
      <c r="AT15" s="1544">
        <v>342.15219999999999</v>
      </c>
      <c r="AU15" s="1544"/>
      <c r="AV15" s="1544">
        <v>912.40589999999997</v>
      </c>
      <c r="AW15" s="1544"/>
      <c r="AX15" s="1544">
        <v>1069.23</v>
      </c>
      <c r="AY15" s="1545"/>
      <c r="AZ15" s="1543">
        <v>7.128171</v>
      </c>
      <c r="BA15" s="1544"/>
      <c r="BB15" s="1544">
        <v>49.897199999999998</v>
      </c>
      <c r="BC15" s="1544"/>
      <c r="BD15" s="1617">
        <v>156.81979999999999</v>
      </c>
      <c r="BE15" s="1544"/>
      <c r="BF15" s="1544">
        <v>420.56209999999999</v>
      </c>
      <c r="BG15" s="1544"/>
      <c r="BH15" s="1544">
        <v>456.2029</v>
      </c>
      <c r="BI15" s="1545"/>
      <c r="BJ15" s="1543"/>
      <c r="BK15" s="1544"/>
      <c r="BL15" s="1544"/>
      <c r="BM15" s="1544"/>
      <c r="BN15" s="1544"/>
      <c r="BO15" s="1544"/>
      <c r="BP15" s="1544"/>
      <c r="BQ15" s="1544"/>
      <c r="BR15" s="1544"/>
      <c r="BS15" s="1545"/>
      <c r="BT15" s="253"/>
      <c r="BU15" s="253"/>
    </row>
    <row r="16" spans="1:73" x14ac:dyDescent="0.2">
      <c r="A16" s="1533" t="s">
        <v>1010</v>
      </c>
      <c r="B16" s="1543">
        <v>0</v>
      </c>
      <c r="C16" s="1544"/>
      <c r="D16" s="1544">
        <v>14.25634</v>
      </c>
      <c r="E16" s="1544"/>
      <c r="F16" s="1617">
        <v>99.794390000000007</v>
      </c>
      <c r="G16" s="1544"/>
      <c r="H16" s="1544">
        <v>833.99599999999998</v>
      </c>
      <c r="I16" s="1544"/>
      <c r="J16" s="1544">
        <v>2815.63</v>
      </c>
      <c r="K16" s="1545"/>
      <c r="L16" s="1543">
        <v>0</v>
      </c>
      <c r="M16" s="1544"/>
      <c r="N16" s="1544">
        <v>0</v>
      </c>
      <c r="O16" s="1544"/>
      <c r="P16" s="1544">
        <v>78.409880000000001</v>
      </c>
      <c r="Q16" s="1544"/>
      <c r="R16" s="1544">
        <v>441.94659999999999</v>
      </c>
      <c r="S16" s="1544"/>
      <c r="T16" s="1544">
        <v>1083.48</v>
      </c>
      <c r="U16" s="1545"/>
      <c r="V16" s="1543">
        <v>0</v>
      </c>
      <c r="W16" s="1544"/>
      <c r="X16" s="1544">
        <v>7.128171</v>
      </c>
      <c r="Y16" s="1544"/>
      <c r="Z16" s="1544">
        <v>49.897199999999998</v>
      </c>
      <c r="AA16" s="1544"/>
      <c r="AB16" s="1544">
        <v>156.81979999999999</v>
      </c>
      <c r="AC16" s="1544"/>
      <c r="AD16" s="1544">
        <v>776.97059999999999</v>
      </c>
      <c r="AE16" s="1545"/>
      <c r="AF16" s="1543">
        <v>0</v>
      </c>
      <c r="AG16" s="1544"/>
      <c r="AH16" s="1544">
        <v>0</v>
      </c>
      <c r="AI16" s="1544"/>
      <c r="AJ16" s="1544">
        <v>42.769030000000001</v>
      </c>
      <c r="AK16" s="1544"/>
      <c r="AL16" s="1544">
        <v>149.69159999999999</v>
      </c>
      <c r="AM16" s="1544"/>
      <c r="AN16" s="1544">
        <v>470.45929999999998</v>
      </c>
      <c r="AO16" s="1545"/>
      <c r="AP16" s="1543">
        <v>0</v>
      </c>
      <c r="AQ16" s="1544"/>
      <c r="AR16" s="1544">
        <v>7.128171</v>
      </c>
      <c r="AS16" s="1544"/>
      <c r="AT16" s="1544">
        <v>42.769030000000001</v>
      </c>
      <c r="AU16" s="1544"/>
      <c r="AV16" s="1544">
        <v>498.97199999999998</v>
      </c>
      <c r="AW16" s="1544"/>
      <c r="AX16" s="1544">
        <v>1931.73</v>
      </c>
      <c r="AY16" s="1545"/>
      <c r="AZ16" s="1543">
        <v>0</v>
      </c>
      <c r="BA16" s="1544"/>
      <c r="BB16" s="1544">
        <v>28.51268</v>
      </c>
      <c r="BC16" s="1544"/>
      <c r="BD16" s="1544">
        <v>35.64085</v>
      </c>
      <c r="BE16" s="1544"/>
      <c r="BF16" s="1544">
        <v>249.48599999999999</v>
      </c>
      <c r="BG16" s="1544"/>
      <c r="BH16" s="1544">
        <v>776.97059999999999</v>
      </c>
      <c r="BI16" s="1545"/>
      <c r="BJ16" s="1543"/>
      <c r="BK16" s="1544"/>
      <c r="BL16" s="1544"/>
      <c r="BM16" s="1544"/>
      <c r="BN16" s="1544"/>
      <c r="BO16" s="1544"/>
      <c r="BP16" s="1544"/>
      <c r="BQ16" s="1544"/>
      <c r="BR16" s="1544"/>
      <c r="BS16" s="1545"/>
      <c r="BT16" s="253"/>
      <c r="BU16" s="253"/>
    </row>
    <row r="17" spans="1:73" x14ac:dyDescent="0.2">
      <c r="A17" s="1533" t="s">
        <v>1040</v>
      </c>
      <c r="B17" s="1543">
        <v>14.25634</v>
      </c>
      <c r="C17" s="1544"/>
      <c r="D17" s="1544">
        <v>14.25634</v>
      </c>
      <c r="E17" s="1544"/>
      <c r="F17" s="1544">
        <v>171.0761</v>
      </c>
      <c r="G17" s="1544"/>
      <c r="H17" s="1544">
        <v>734.20159999999998</v>
      </c>
      <c r="I17" s="1544"/>
      <c r="J17" s="1544">
        <v>2829.88</v>
      </c>
      <c r="K17" s="1545"/>
      <c r="L17" s="1543">
        <v>0</v>
      </c>
      <c r="M17" s="1544"/>
      <c r="N17" s="1544">
        <v>0</v>
      </c>
      <c r="O17" s="1544"/>
      <c r="P17" s="1544">
        <v>99.794390000000007</v>
      </c>
      <c r="Q17" s="1544"/>
      <c r="R17" s="1544">
        <v>363.5367</v>
      </c>
      <c r="S17" s="1544"/>
      <c r="T17" s="1544">
        <v>1140.51</v>
      </c>
      <c r="U17" s="1545"/>
      <c r="V17" s="1543">
        <v>0</v>
      </c>
      <c r="W17" s="1544"/>
      <c r="X17" s="1544">
        <v>7.128171</v>
      </c>
      <c r="Y17" s="1544"/>
      <c r="Z17" s="1544">
        <v>35.64085</v>
      </c>
      <c r="AA17" s="1544"/>
      <c r="AB17" s="1544">
        <v>106.9226</v>
      </c>
      <c r="AC17" s="1544"/>
      <c r="AD17" s="1544">
        <v>841.12419999999997</v>
      </c>
      <c r="AE17" s="1545"/>
      <c r="AF17" s="1543">
        <v>0</v>
      </c>
      <c r="AG17" s="1544"/>
      <c r="AH17" s="1544">
        <v>0</v>
      </c>
      <c r="AI17" s="1544"/>
      <c r="AJ17" s="1544">
        <v>7.128171</v>
      </c>
      <c r="AK17" s="1544"/>
      <c r="AL17" s="1544">
        <v>156.81979999999999</v>
      </c>
      <c r="AM17" s="1544"/>
      <c r="AN17" s="1544">
        <v>498.97199999999998</v>
      </c>
      <c r="AO17" s="1545"/>
      <c r="AP17" s="1543">
        <v>7.128171</v>
      </c>
      <c r="AQ17" s="1544"/>
      <c r="AR17" s="1544">
        <v>7.128171</v>
      </c>
      <c r="AS17" s="1544"/>
      <c r="AT17" s="1544">
        <v>49.897199999999998</v>
      </c>
      <c r="AU17" s="1544"/>
      <c r="AV17" s="1544">
        <v>520.35649999999998</v>
      </c>
      <c r="AW17" s="1544"/>
      <c r="AX17" s="1544">
        <v>1896.09</v>
      </c>
      <c r="AY17" s="1545"/>
      <c r="AZ17" s="1543">
        <v>0</v>
      </c>
      <c r="BA17" s="1544"/>
      <c r="BB17" s="1544">
        <v>7.128171</v>
      </c>
      <c r="BC17" s="1544"/>
      <c r="BD17" s="1544">
        <v>28.51268</v>
      </c>
      <c r="BE17" s="1544"/>
      <c r="BF17" s="1544">
        <v>178.20429999999999</v>
      </c>
      <c r="BG17" s="1544"/>
      <c r="BH17" s="1544">
        <v>876.76499999999999</v>
      </c>
      <c r="BI17" s="1545"/>
      <c r="BJ17" s="1543"/>
      <c r="BK17" s="1544"/>
      <c r="BL17" s="1544"/>
      <c r="BM17" s="1544"/>
      <c r="BN17" s="1544"/>
      <c r="BO17" s="1544"/>
      <c r="BP17" s="1544"/>
      <c r="BQ17" s="1544"/>
      <c r="BR17" s="1544"/>
      <c r="BS17" s="1545"/>
      <c r="BT17" s="253"/>
      <c r="BU17" s="253"/>
    </row>
    <row r="18" spans="1:73" x14ac:dyDescent="0.2">
      <c r="A18" s="1533" t="s">
        <v>1011</v>
      </c>
      <c r="B18" s="1543">
        <v>78.409880000000001</v>
      </c>
      <c r="C18" s="1544"/>
      <c r="D18" s="1544">
        <v>135.43520000000001</v>
      </c>
      <c r="E18" s="1544"/>
      <c r="F18" s="1544">
        <v>613.02269999999999</v>
      </c>
      <c r="G18" s="1544"/>
      <c r="H18" s="1544">
        <v>1340.1</v>
      </c>
      <c r="I18" s="1544"/>
      <c r="J18" s="1544">
        <v>1596.71</v>
      </c>
      <c r="K18" s="1545"/>
      <c r="L18" s="1543">
        <v>7.128171</v>
      </c>
      <c r="M18" s="1544"/>
      <c r="N18" s="1544">
        <v>21.384509999999999</v>
      </c>
      <c r="O18" s="1544"/>
      <c r="P18" s="1544">
        <v>285.1268</v>
      </c>
      <c r="Q18" s="1544"/>
      <c r="R18" s="1544">
        <v>641.53539999999998</v>
      </c>
      <c r="S18" s="1544"/>
      <c r="T18" s="1544">
        <v>648.66359999999997</v>
      </c>
      <c r="U18" s="1545"/>
      <c r="V18" s="1543">
        <v>0</v>
      </c>
      <c r="W18" s="1544"/>
      <c r="X18" s="1544">
        <v>42.769030000000001</v>
      </c>
      <c r="Y18" s="1544"/>
      <c r="Z18" s="1544">
        <v>128.30709999999999</v>
      </c>
      <c r="AA18" s="1544"/>
      <c r="AB18" s="1544">
        <v>299.38319999999999</v>
      </c>
      <c r="AC18" s="1544"/>
      <c r="AD18" s="1617">
        <v>520.35649999999998</v>
      </c>
      <c r="AE18" s="1545"/>
      <c r="AF18" s="1543">
        <v>7.128171</v>
      </c>
      <c r="AG18" s="1544"/>
      <c r="AH18" s="1544">
        <v>7.128171</v>
      </c>
      <c r="AI18" s="1544"/>
      <c r="AJ18" s="1544">
        <v>49.897199999999998</v>
      </c>
      <c r="AK18" s="1544"/>
      <c r="AL18" s="1544">
        <v>270.87049999999999</v>
      </c>
      <c r="AM18" s="1544"/>
      <c r="AN18" s="1544">
        <v>327.89589999999998</v>
      </c>
      <c r="AO18" s="1545"/>
      <c r="AP18" s="1543">
        <v>14.25634</v>
      </c>
      <c r="AQ18" s="1544"/>
      <c r="AR18" s="1544">
        <v>64.153540000000007</v>
      </c>
      <c r="AS18" s="1544"/>
      <c r="AT18" s="1544">
        <v>342.15219999999999</v>
      </c>
      <c r="AU18" s="1544"/>
      <c r="AV18" s="1617">
        <v>855.38049999999998</v>
      </c>
      <c r="AW18" s="1544"/>
      <c r="AX18" s="1544">
        <v>1204.6600000000001</v>
      </c>
      <c r="AY18" s="1545"/>
      <c r="AZ18" s="1543">
        <v>0</v>
      </c>
      <c r="BA18" s="1544"/>
      <c r="BB18" s="1617">
        <v>64.153540000000007</v>
      </c>
      <c r="BC18" s="1544"/>
      <c r="BD18" s="1544">
        <v>128.30709999999999</v>
      </c>
      <c r="BE18" s="1544"/>
      <c r="BF18" s="1544">
        <v>306.51130000000001</v>
      </c>
      <c r="BG18" s="1544"/>
      <c r="BH18" s="1544">
        <v>591.63819999999998</v>
      </c>
      <c r="BI18" s="1545"/>
      <c r="BJ18" s="1543"/>
      <c r="BK18" s="1544"/>
      <c r="BL18" s="1544"/>
      <c r="BM18" s="1544"/>
      <c r="BN18" s="1544"/>
      <c r="BO18" s="1544"/>
      <c r="BP18" s="1544"/>
      <c r="BQ18" s="1544"/>
      <c r="BR18" s="1544"/>
      <c r="BS18" s="1545"/>
      <c r="BT18" s="253"/>
      <c r="BU18" s="253"/>
    </row>
    <row r="19" spans="1:73" x14ac:dyDescent="0.2">
      <c r="A19" s="1533" t="s">
        <v>1012</v>
      </c>
      <c r="B19" s="1543">
        <v>163.9479</v>
      </c>
      <c r="C19" s="1544"/>
      <c r="D19" s="1544">
        <v>534.61279999999999</v>
      </c>
      <c r="E19" s="1544"/>
      <c r="F19" s="1544">
        <v>1005.07</v>
      </c>
      <c r="G19" s="1544"/>
      <c r="H19" s="1544">
        <v>1332.97</v>
      </c>
      <c r="I19" s="1544"/>
      <c r="J19" s="1544">
        <v>727.07339999999999</v>
      </c>
      <c r="K19" s="1545"/>
      <c r="L19" s="1543">
        <v>21.384509999999999</v>
      </c>
      <c r="M19" s="1544"/>
      <c r="N19" s="1544">
        <v>149.69159999999999</v>
      </c>
      <c r="O19" s="1544"/>
      <c r="P19" s="1544">
        <v>427.69029999999998</v>
      </c>
      <c r="Q19" s="1544"/>
      <c r="R19" s="1544">
        <v>641.53539999999998</v>
      </c>
      <c r="S19" s="1544"/>
      <c r="T19" s="1544">
        <v>363.5367</v>
      </c>
      <c r="U19" s="1545"/>
      <c r="V19" s="1543">
        <v>21.384509999999999</v>
      </c>
      <c r="W19" s="1544"/>
      <c r="X19" s="1544">
        <v>92.666219999999996</v>
      </c>
      <c r="Y19" s="1544"/>
      <c r="Z19" s="1544">
        <v>342.15219999999999</v>
      </c>
      <c r="AA19" s="1544"/>
      <c r="AB19" s="1544">
        <v>306.51130000000001</v>
      </c>
      <c r="AC19" s="1544"/>
      <c r="AD19" s="1617">
        <v>228.10149999999999</v>
      </c>
      <c r="AE19" s="1545"/>
      <c r="AF19" s="1543">
        <v>0</v>
      </c>
      <c r="AG19" s="1544"/>
      <c r="AH19" s="1544">
        <v>35.64085</v>
      </c>
      <c r="AI19" s="1544"/>
      <c r="AJ19" s="1544">
        <v>121.1789</v>
      </c>
      <c r="AK19" s="1544"/>
      <c r="AL19" s="1544">
        <v>292.255</v>
      </c>
      <c r="AM19" s="1544"/>
      <c r="AN19" s="1544">
        <v>213.8451</v>
      </c>
      <c r="AO19" s="1545"/>
      <c r="AP19" s="1543">
        <v>28.51268</v>
      </c>
      <c r="AQ19" s="1544"/>
      <c r="AR19" s="1544">
        <v>249.48599999999999</v>
      </c>
      <c r="AS19" s="1544"/>
      <c r="AT19" s="1544">
        <v>506.1001</v>
      </c>
      <c r="AU19" s="1544"/>
      <c r="AV19" s="1544">
        <v>919.53399999999999</v>
      </c>
      <c r="AW19" s="1544"/>
      <c r="AX19" s="1544">
        <v>776.97059999999999</v>
      </c>
      <c r="AY19" s="1545"/>
      <c r="AZ19" s="1543">
        <v>28.51268</v>
      </c>
      <c r="BA19" s="1544"/>
      <c r="BB19" s="1544">
        <v>92.666219999999996</v>
      </c>
      <c r="BC19" s="1544"/>
      <c r="BD19" s="1544">
        <v>235.2296</v>
      </c>
      <c r="BE19" s="1544"/>
      <c r="BF19" s="1544">
        <v>413.43389999999999</v>
      </c>
      <c r="BG19" s="1544"/>
      <c r="BH19" s="1544">
        <v>320.76769999999999</v>
      </c>
      <c r="BI19" s="1545"/>
      <c r="BJ19" s="1543"/>
      <c r="BK19" s="1544"/>
      <c r="BL19" s="1544"/>
      <c r="BM19" s="1544"/>
      <c r="BN19" s="1544"/>
      <c r="BO19" s="1544"/>
      <c r="BP19" s="1544"/>
      <c r="BQ19" s="1544"/>
      <c r="BR19" s="1544"/>
      <c r="BS19" s="1545"/>
      <c r="BT19" s="253"/>
      <c r="BU19" s="253"/>
    </row>
    <row r="20" spans="1:73" x14ac:dyDescent="0.2">
      <c r="A20" s="1533" t="s">
        <v>1013</v>
      </c>
      <c r="B20" s="1618">
        <v>14.25634</v>
      </c>
      <c r="C20" s="1544"/>
      <c r="D20" s="1544">
        <v>14.25634</v>
      </c>
      <c r="E20" s="1544"/>
      <c r="F20" s="1544">
        <v>213.8451</v>
      </c>
      <c r="G20" s="1544"/>
      <c r="H20" s="1544">
        <v>1047.8399999999999</v>
      </c>
      <c r="I20" s="1544"/>
      <c r="J20" s="1544">
        <v>2473.48</v>
      </c>
      <c r="K20" s="1545"/>
      <c r="L20" s="1543">
        <v>0</v>
      </c>
      <c r="M20" s="1544"/>
      <c r="N20" s="1544">
        <v>7.128171</v>
      </c>
      <c r="O20" s="1544"/>
      <c r="P20" s="1617">
        <v>57.025370000000002</v>
      </c>
      <c r="Q20" s="1544"/>
      <c r="R20" s="1544">
        <v>363.5367</v>
      </c>
      <c r="S20" s="1544"/>
      <c r="T20" s="1544">
        <v>1176.1500000000001</v>
      </c>
      <c r="U20" s="1545"/>
      <c r="V20" s="1543">
        <v>0</v>
      </c>
      <c r="W20" s="1544"/>
      <c r="X20" s="1544">
        <v>7.128171</v>
      </c>
      <c r="Y20" s="1544"/>
      <c r="Z20" s="1544">
        <v>49.897199999999998</v>
      </c>
      <c r="AA20" s="1544"/>
      <c r="AB20" s="1544">
        <v>285.1268</v>
      </c>
      <c r="AC20" s="1544"/>
      <c r="AD20" s="1544">
        <v>648.66359999999997</v>
      </c>
      <c r="AE20" s="1545"/>
      <c r="AF20" s="1543">
        <v>0</v>
      </c>
      <c r="AG20" s="1544"/>
      <c r="AH20" s="1544">
        <v>0</v>
      </c>
      <c r="AI20" s="1544"/>
      <c r="AJ20" s="1544">
        <v>14.25634</v>
      </c>
      <c r="AK20" s="1544"/>
      <c r="AL20" s="1617">
        <v>163.9479</v>
      </c>
      <c r="AM20" s="1544"/>
      <c r="AN20" s="1544">
        <v>484.71559999999999</v>
      </c>
      <c r="AO20" s="1545"/>
      <c r="AP20" s="1543">
        <v>14.25634</v>
      </c>
      <c r="AQ20" s="1544"/>
      <c r="AR20" s="1544">
        <v>7.128171</v>
      </c>
      <c r="AS20" s="1544"/>
      <c r="AT20" s="1544">
        <v>135.43520000000001</v>
      </c>
      <c r="AU20" s="1544"/>
      <c r="AV20" s="1544">
        <v>833.99599999999998</v>
      </c>
      <c r="AW20" s="1544"/>
      <c r="AX20" s="1544">
        <v>1489.79</v>
      </c>
      <c r="AY20" s="1545"/>
      <c r="AZ20" s="1543">
        <v>0</v>
      </c>
      <c r="BA20" s="1544"/>
      <c r="BB20" s="1544">
        <v>14.25634</v>
      </c>
      <c r="BC20" s="1544"/>
      <c r="BD20" s="1544">
        <v>85.538049999999998</v>
      </c>
      <c r="BE20" s="1544"/>
      <c r="BF20" s="1544">
        <v>392.04939999999999</v>
      </c>
      <c r="BG20" s="1544"/>
      <c r="BH20" s="1544">
        <v>598.76639999999998</v>
      </c>
      <c r="BI20" s="1545"/>
      <c r="BJ20" s="1543"/>
      <c r="BK20" s="1544"/>
      <c r="BL20" s="1544"/>
      <c r="BM20" s="1544"/>
      <c r="BN20" s="1544"/>
      <c r="BO20" s="1544"/>
      <c r="BP20" s="1544"/>
      <c r="BQ20" s="1544"/>
      <c r="BR20" s="1544"/>
      <c r="BS20" s="1545"/>
      <c r="BT20" s="253"/>
      <c r="BU20" s="253"/>
    </row>
    <row r="21" spans="1:73" x14ac:dyDescent="0.2">
      <c r="A21" s="1533" t="s">
        <v>1014</v>
      </c>
      <c r="B21" s="1543">
        <v>0</v>
      </c>
      <c r="C21" s="1544"/>
      <c r="D21" s="1544">
        <v>114.05070000000001</v>
      </c>
      <c r="E21" s="1544"/>
      <c r="F21" s="1544">
        <v>498.97199999999998</v>
      </c>
      <c r="G21" s="1544"/>
      <c r="H21" s="1544">
        <v>1561.07</v>
      </c>
      <c r="I21" s="1544"/>
      <c r="J21" s="1544">
        <v>1589.58</v>
      </c>
      <c r="K21" s="1545"/>
      <c r="L21" s="1543">
        <v>14.25634</v>
      </c>
      <c r="M21" s="1544"/>
      <c r="N21" s="1544">
        <v>28.51268</v>
      </c>
      <c r="O21" s="1544"/>
      <c r="P21" s="1544">
        <v>199.58879999999999</v>
      </c>
      <c r="Q21" s="1544"/>
      <c r="R21" s="1544">
        <v>584.51</v>
      </c>
      <c r="S21" s="1544"/>
      <c r="T21" s="1544">
        <v>776.97059999999999</v>
      </c>
      <c r="U21" s="1545"/>
      <c r="V21" s="1543">
        <v>7.128171</v>
      </c>
      <c r="W21" s="1544"/>
      <c r="X21" s="1544">
        <v>0</v>
      </c>
      <c r="Y21" s="1544"/>
      <c r="Z21" s="1544">
        <v>57.025370000000002</v>
      </c>
      <c r="AA21" s="1544"/>
      <c r="AB21" s="1544">
        <v>384.9212</v>
      </c>
      <c r="AC21" s="1544"/>
      <c r="AD21" s="1544">
        <v>541.74099999999999</v>
      </c>
      <c r="AE21" s="1545"/>
      <c r="AF21" s="1543">
        <v>0</v>
      </c>
      <c r="AG21" s="1544"/>
      <c r="AH21" s="1544">
        <v>7.128171</v>
      </c>
      <c r="AI21" s="1544"/>
      <c r="AJ21" s="1544">
        <v>42.769030000000001</v>
      </c>
      <c r="AK21" s="1544"/>
      <c r="AL21" s="1544">
        <v>270.87049999999999</v>
      </c>
      <c r="AM21" s="1544"/>
      <c r="AN21" s="1544">
        <v>342.15219999999999</v>
      </c>
      <c r="AO21" s="1545"/>
      <c r="AP21" s="1543">
        <v>7.128171</v>
      </c>
      <c r="AQ21" s="1544"/>
      <c r="AR21" s="1544">
        <v>35.64085</v>
      </c>
      <c r="AS21" s="1544"/>
      <c r="AT21" s="1544">
        <v>171.0761</v>
      </c>
      <c r="AU21" s="1544"/>
      <c r="AV21" s="1544">
        <v>919.53399999999999</v>
      </c>
      <c r="AW21" s="1544"/>
      <c r="AX21" s="1544">
        <v>1347.22</v>
      </c>
      <c r="AY21" s="1545"/>
      <c r="AZ21" s="1543">
        <v>0</v>
      </c>
      <c r="BA21" s="1544"/>
      <c r="BB21" s="1544">
        <v>7.128171</v>
      </c>
      <c r="BC21" s="1544"/>
      <c r="BD21" s="1544">
        <v>85.538049999999998</v>
      </c>
      <c r="BE21" s="1544"/>
      <c r="BF21" s="1544">
        <v>377.79309999999998</v>
      </c>
      <c r="BG21" s="1544"/>
      <c r="BH21" s="1544">
        <v>620.15089999999998</v>
      </c>
      <c r="BI21" s="1545"/>
      <c r="BJ21" s="1543"/>
      <c r="BK21" s="1544"/>
      <c r="BL21" s="1544"/>
      <c r="BM21" s="1544"/>
      <c r="BN21" s="1544"/>
      <c r="BO21" s="1544"/>
      <c r="BP21" s="1544"/>
      <c r="BQ21" s="1544"/>
      <c r="BR21" s="1544"/>
      <c r="BS21" s="1545"/>
      <c r="BT21" s="253"/>
      <c r="BU21" s="253"/>
    </row>
    <row r="22" spans="1:73" x14ac:dyDescent="0.2">
      <c r="A22" s="1533" t="s">
        <v>1015</v>
      </c>
      <c r="B22" s="1543">
        <v>0</v>
      </c>
      <c r="C22" s="1544"/>
      <c r="D22" s="1544">
        <v>14.25634</v>
      </c>
      <c r="E22" s="1544"/>
      <c r="F22" s="1544">
        <v>228.10149999999999</v>
      </c>
      <c r="G22" s="1544"/>
      <c r="H22" s="1544">
        <v>1397.12</v>
      </c>
      <c r="I22" s="1544"/>
      <c r="J22" s="1544">
        <v>2124.19</v>
      </c>
      <c r="K22" s="1545"/>
      <c r="L22" s="1543">
        <v>7.128171</v>
      </c>
      <c r="M22" s="1544"/>
      <c r="N22" s="1544">
        <v>14.25634</v>
      </c>
      <c r="O22" s="1544"/>
      <c r="P22" s="1544">
        <v>135.43520000000001</v>
      </c>
      <c r="Q22" s="1544"/>
      <c r="R22" s="1544">
        <v>570.25369999999998</v>
      </c>
      <c r="S22" s="1544"/>
      <c r="T22" s="1544">
        <v>876.76499999999999</v>
      </c>
      <c r="U22" s="1545"/>
      <c r="V22" s="1543">
        <v>0</v>
      </c>
      <c r="W22" s="1544"/>
      <c r="X22" s="1544">
        <v>14.25634</v>
      </c>
      <c r="Y22" s="1544"/>
      <c r="Z22" s="1544">
        <v>71.281710000000004</v>
      </c>
      <c r="AA22" s="1544"/>
      <c r="AB22" s="1544">
        <v>320.76769999999999</v>
      </c>
      <c r="AC22" s="1544"/>
      <c r="AD22" s="1544">
        <v>584.51</v>
      </c>
      <c r="AE22" s="1545"/>
      <c r="AF22" s="1543">
        <v>0</v>
      </c>
      <c r="AG22" s="1544"/>
      <c r="AH22" s="1544">
        <v>7.128171</v>
      </c>
      <c r="AI22" s="1544"/>
      <c r="AJ22" s="1617">
        <v>42.769030000000001</v>
      </c>
      <c r="AK22" s="1544"/>
      <c r="AL22" s="1544">
        <v>270.87049999999999</v>
      </c>
      <c r="AM22" s="1544"/>
      <c r="AN22" s="1544">
        <v>342.15219999999999</v>
      </c>
      <c r="AO22" s="1545"/>
      <c r="AP22" s="1543">
        <v>7.128171</v>
      </c>
      <c r="AQ22" s="1544"/>
      <c r="AR22" s="1617">
        <v>14.25634</v>
      </c>
      <c r="AS22" s="1544"/>
      <c r="AT22" s="1544">
        <v>171.0761</v>
      </c>
      <c r="AU22" s="1544"/>
      <c r="AV22" s="1544">
        <v>855.38049999999998</v>
      </c>
      <c r="AW22" s="1544"/>
      <c r="AX22" s="1544">
        <v>1432.76</v>
      </c>
      <c r="AY22" s="1545"/>
      <c r="AZ22" s="1543">
        <v>0</v>
      </c>
      <c r="BA22" s="1544"/>
      <c r="BB22" s="1544">
        <v>0</v>
      </c>
      <c r="BC22" s="1544"/>
      <c r="BD22" s="1544">
        <v>64.153540000000007</v>
      </c>
      <c r="BE22" s="1544"/>
      <c r="BF22" s="1544">
        <v>285.1268</v>
      </c>
      <c r="BG22" s="1544"/>
      <c r="BH22" s="1544">
        <v>741.32979999999998</v>
      </c>
      <c r="BI22" s="1545"/>
      <c r="BJ22" s="1543"/>
      <c r="BK22" s="1544"/>
      <c r="BL22" s="1544"/>
      <c r="BM22" s="1544"/>
      <c r="BN22" s="1544"/>
      <c r="BO22" s="1544"/>
      <c r="BP22" s="1544"/>
      <c r="BQ22" s="1544"/>
      <c r="BR22" s="1544"/>
      <c r="BS22" s="1545"/>
      <c r="BT22" s="253"/>
      <c r="BU22" s="253"/>
    </row>
    <row r="23" spans="1:73" x14ac:dyDescent="0.2">
      <c r="A23" s="1533" t="s">
        <v>1016</v>
      </c>
      <c r="B23" s="1543">
        <v>0</v>
      </c>
      <c r="C23" s="1544"/>
      <c r="D23" s="1544">
        <v>21.384509999999999</v>
      </c>
      <c r="E23" s="1544"/>
      <c r="F23" s="1544">
        <v>370.66489999999999</v>
      </c>
      <c r="G23" s="1544"/>
      <c r="H23" s="1544">
        <v>1461.28</v>
      </c>
      <c r="I23" s="1544"/>
      <c r="J23" s="1544">
        <v>1910.35</v>
      </c>
      <c r="K23" s="1545"/>
      <c r="L23" s="1543">
        <v>0</v>
      </c>
      <c r="M23" s="1544"/>
      <c r="N23" s="1544">
        <v>0</v>
      </c>
      <c r="O23" s="1544"/>
      <c r="P23" s="1544">
        <v>178.20429999999999</v>
      </c>
      <c r="Q23" s="1544"/>
      <c r="R23" s="1544">
        <v>620.15089999999998</v>
      </c>
      <c r="S23" s="1544"/>
      <c r="T23" s="1544">
        <v>805.48329999999999</v>
      </c>
      <c r="U23" s="1545"/>
      <c r="V23" s="1543">
        <v>0</v>
      </c>
      <c r="W23" s="1544"/>
      <c r="X23" s="1544">
        <v>7.128171</v>
      </c>
      <c r="Y23" s="1544"/>
      <c r="Z23" s="1544">
        <v>78.409880000000001</v>
      </c>
      <c r="AA23" s="1544"/>
      <c r="AB23" s="1544">
        <v>349.28039999999999</v>
      </c>
      <c r="AC23" s="1544"/>
      <c r="AD23" s="1544">
        <v>555.9973</v>
      </c>
      <c r="AE23" s="1545"/>
      <c r="AF23" s="1543">
        <v>0</v>
      </c>
      <c r="AG23" s="1544"/>
      <c r="AH23" s="1544">
        <v>7.128171</v>
      </c>
      <c r="AI23" s="1544"/>
      <c r="AJ23" s="1544">
        <v>21.384509999999999</v>
      </c>
      <c r="AK23" s="1544"/>
      <c r="AL23" s="1544">
        <v>220.97329999999999</v>
      </c>
      <c r="AM23" s="1544"/>
      <c r="AN23" s="1617">
        <v>413.43389999999999</v>
      </c>
      <c r="AO23" s="1545"/>
      <c r="AP23" s="1543">
        <v>7.128171</v>
      </c>
      <c r="AQ23" s="1544"/>
      <c r="AR23" s="1544">
        <v>21.384509999999999</v>
      </c>
      <c r="AS23" s="1544"/>
      <c r="AT23" s="1544">
        <v>249.48599999999999</v>
      </c>
      <c r="AU23" s="1544"/>
      <c r="AV23" s="1544">
        <v>869.63679999999999</v>
      </c>
      <c r="AW23" s="1544"/>
      <c r="AX23" s="1544">
        <v>1332.97</v>
      </c>
      <c r="AY23" s="1545"/>
      <c r="AZ23" s="1543">
        <v>0</v>
      </c>
      <c r="BA23" s="1544"/>
      <c r="BB23" s="1544">
        <v>42.769030000000001</v>
      </c>
      <c r="BC23" s="1544"/>
      <c r="BD23" s="1544">
        <v>57.025370000000002</v>
      </c>
      <c r="BE23" s="1544"/>
      <c r="BF23" s="1544">
        <v>413.43389999999999</v>
      </c>
      <c r="BG23" s="1544"/>
      <c r="BH23" s="1544">
        <v>577.3818</v>
      </c>
      <c r="BI23" s="1545"/>
      <c r="BJ23" s="1543"/>
      <c r="BK23" s="1544"/>
      <c r="BL23" s="1544"/>
      <c r="BM23" s="1544"/>
      <c r="BN23" s="1544"/>
      <c r="BO23" s="1544"/>
      <c r="BP23" s="1544"/>
      <c r="BQ23" s="1544"/>
      <c r="BR23" s="1544"/>
      <c r="BS23" s="1545"/>
      <c r="BT23" s="253"/>
      <c r="BU23" s="253"/>
    </row>
    <row r="24" spans="1:73" x14ac:dyDescent="0.2">
      <c r="A24" s="1533" t="s">
        <v>1017</v>
      </c>
      <c r="B24" s="1543">
        <v>0</v>
      </c>
      <c r="C24" s="1544"/>
      <c r="D24" s="1544">
        <v>0</v>
      </c>
      <c r="E24" s="1544"/>
      <c r="F24" s="1544">
        <v>64.153540000000007</v>
      </c>
      <c r="G24" s="1544"/>
      <c r="H24" s="1544">
        <v>798.35509999999999</v>
      </c>
      <c r="I24" s="1544"/>
      <c r="J24" s="1544">
        <v>2901.17</v>
      </c>
      <c r="K24" s="1545"/>
      <c r="L24" s="1543">
        <v>0</v>
      </c>
      <c r="M24" s="1544"/>
      <c r="N24" s="1544">
        <v>0</v>
      </c>
      <c r="O24" s="1544"/>
      <c r="P24" s="1544">
        <v>57.025370000000002</v>
      </c>
      <c r="Q24" s="1544"/>
      <c r="R24" s="1544">
        <v>242.3578</v>
      </c>
      <c r="S24" s="1544"/>
      <c r="T24" s="1544">
        <v>1304.46</v>
      </c>
      <c r="U24" s="1545"/>
      <c r="V24" s="1543">
        <v>0</v>
      </c>
      <c r="W24" s="1544"/>
      <c r="X24" s="1544">
        <v>0</v>
      </c>
      <c r="Y24" s="1544"/>
      <c r="Z24" s="1544">
        <v>42.769030000000001</v>
      </c>
      <c r="AA24" s="1544"/>
      <c r="AB24" s="1544">
        <v>99.794390000000007</v>
      </c>
      <c r="AC24" s="1544"/>
      <c r="AD24" s="1544">
        <v>848.25229999999999</v>
      </c>
      <c r="AE24" s="1545"/>
      <c r="AF24" s="1543">
        <v>0</v>
      </c>
      <c r="AG24" s="1544"/>
      <c r="AH24" s="1544">
        <v>7.128171</v>
      </c>
      <c r="AI24" s="1544"/>
      <c r="AJ24" s="1544">
        <v>7.128171</v>
      </c>
      <c r="AK24" s="1544"/>
      <c r="AL24" s="1544">
        <v>135.43520000000001</v>
      </c>
      <c r="AM24" s="1544"/>
      <c r="AN24" s="1544">
        <v>513.22829999999999</v>
      </c>
      <c r="AO24" s="1545"/>
      <c r="AP24" s="1543">
        <v>14.25634</v>
      </c>
      <c r="AQ24" s="1544"/>
      <c r="AR24" s="1544">
        <v>7.128171</v>
      </c>
      <c r="AS24" s="1544"/>
      <c r="AT24" s="1544">
        <v>28.51268</v>
      </c>
      <c r="AU24" s="1544"/>
      <c r="AV24" s="1617">
        <v>484.71559999999999</v>
      </c>
      <c r="AW24" s="1544"/>
      <c r="AX24" s="1544">
        <v>1945.99</v>
      </c>
      <c r="AY24" s="1545"/>
      <c r="AZ24" s="1543">
        <v>0</v>
      </c>
      <c r="BA24" s="1544"/>
      <c r="BB24" s="1544">
        <v>7.128171</v>
      </c>
      <c r="BC24" s="1544"/>
      <c r="BD24" s="1544">
        <v>42.769030000000001</v>
      </c>
      <c r="BE24" s="1544"/>
      <c r="BF24" s="1544">
        <v>263.7423</v>
      </c>
      <c r="BG24" s="1544"/>
      <c r="BH24" s="1544">
        <v>776.97059999999999</v>
      </c>
      <c r="BI24" s="1545"/>
      <c r="BJ24" s="1543"/>
      <c r="BK24" s="1544"/>
      <c r="BL24" s="1544"/>
      <c r="BM24" s="1544"/>
      <c r="BN24" s="1544"/>
      <c r="BO24" s="1544"/>
      <c r="BP24" s="1544"/>
      <c r="BQ24" s="1544"/>
      <c r="BR24" s="1544"/>
      <c r="BS24" s="1545"/>
      <c r="BT24" s="253"/>
      <c r="BU24" s="253"/>
    </row>
    <row r="25" spans="1:73" x14ac:dyDescent="0.2">
      <c r="A25" s="1533" t="s">
        <v>1018</v>
      </c>
      <c r="B25" s="1543">
        <v>71.281710000000004</v>
      </c>
      <c r="C25" s="1544"/>
      <c r="D25" s="1544">
        <v>256.61419999999998</v>
      </c>
      <c r="E25" s="1544"/>
      <c r="F25" s="1544">
        <v>776.97059999999999</v>
      </c>
      <c r="G25" s="1544"/>
      <c r="H25" s="1544">
        <v>1482.66</v>
      </c>
      <c r="I25" s="1544"/>
      <c r="J25" s="1544">
        <v>1176.1500000000001</v>
      </c>
      <c r="K25" s="1545"/>
      <c r="L25" s="1543">
        <v>21.384509999999999</v>
      </c>
      <c r="M25" s="1544"/>
      <c r="N25" s="1544">
        <v>99.794390000000007</v>
      </c>
      <c r="O25" s="1544"/>
      <c r="P25" s="1544">
        <v>356.4085</v>
      </c>
      <c r="Q25" s="1544"/>
      <c r="R25" s="1544">
        <v>534.61279999999999</v>
      </c>
      <c r="S25" s="1544"/>
      <c r="T25" s="1544">
        <v>591.63819999999998</v>
      </c>
      <c r="U25" s="1545"/>
      <c r="V25" s="1543">
        <v>0</v>
      </c>
      <c r="W25" s="1544"/>
      <c r="X25" s="1544">
        <v>28.51268</v>
      </c>
      <c r="Y25" s="1544"/>
      <c r="Z25" s="1544">
        <v>192.4606</v>
      </c>
      <c r="AA25" s="1544"/>
      <c r="AB25" s="1544">
        <v>342.15219999999999</v>
      </c>
      <c r="AC25" s="1544"/>
      <c r="AD25" s="1544">
        <v>427.69029999999998</v>
      </c>
      <c r="AE25" s="1545"/>
      <c r="AF25" s="1543">
        <v>14.25634</v>
      </c>
      <c r="AG25" s="1544"/>
      <c r="AH25" s="1544">
        <v>14.25634</v>
      </c>
      <c r="AI25" s="1544"/>
      <c r="AJ25" s="1544">
        <v>142.5634</v>
      </c>
      <c r="AK25" s="1544"/>
      <c r="AL25" s="1544">
        <v>285.1268</v>
      </c>
      <c r="AM25" s="1544"/>
      <c r="AN25" s="1544">
        <v>206.71700000000001</v>
      </c>
      <c r="AO25" s="1545"/>
      <c r="AP25" s="1543">
        <v>28.51268</v>
      </c>
      <c r="AQ25" s="1544"/>
      <c r="AR25" s="1544">
        <v>121.1789</v>
      </c>
      <c r="AS25" s="1544"/>
      <c r="AT25" s="1544">
        <v>456.2029</v>
      </c>
      <c r="AU25" s="1544"/>
      <c r="AV25" s="1544">
        <v>969.43119999999999</v>
      </c>
      <c r="AW25" s="1544"/>
      <c r="AX25" s="1544">
        <v>905.27769999999998</v>
      </c>
      <c r="AY25" s="1545"/>
      <c r="AZ25" s="1618">
        <v>14.25634</v>
      </c>
      <c r="BA25" s="1544"/>
      <c r="BB25" s="1617">
        <v>64.153540000000007</v>
      </c>
      <c r="BC25" s="1544"/>
      <c r="BD25" s="1544">
        <v>285.1268</v>
      </c>
      <c r="BE25" s="1544"/>
      <c r="BF25" s="1544">
        <v>349.28039999999999</v>
      </c>
      <c r="BG25" s="1544"/>
      <c r="BH25" s="1544">
        <v>377.79309999999998</v>
      </c>
      <c r="BI25" s="1545"/>
      <c r="BJ25" s="1543"/>
      <c r="BK25" s="1544"/>
      <c r="BL25" s="1544"/>
      <c r="BM25" s="1544"/>
      <c r="BN25" s="1544"/>
      <c r="BO25" s="1544"/>
      <c r="BP25" s="1544"/>
      <c r="BQ25" s="1544"/>
      <c r="BR25" s="1544"/>
      <c r="BS25" s="1545"/>
      <c r="BT25" s="253"/>
      <c r="BU25" s="253"/>
    </row>
    <row r="26" spans="1:73" x14ac:dyDescent="0.2">
      <c r="A26" s="1533" t="s">
        <v>1019</v>
      </c>
      <c r="B26" s="1543">
        <v>0</v>
      </c>
      <c r="C26" s="1544"/>
      <c r="D26" s="1544">
        <v>35.64085</v>
      </c>
      <c r="E26" s="1544"/>
      <c r="F26" s="1544">
        <v>149.69159999999999</v>
      </c>
      <c r="G26" s="1544"/>
      <c r="H26" s="1544">
        <v>1169.02</v>
      </c>
      <c r="I26" s="1544"/>
      <c r="J26" s="1544">
        <v>2409.3200000000002</v>
      </c>
      <c r="K26" s="1545"/>
      <c r="L26" s="1543">
        <v>0</v>
      </c>
      <c r="M26" s="1544"/>
      <c r="N26" s="1544">
        <v>7.128171</v>
      </c>
      <c r="O26" s="1544"/>
      <c r="P26" s="1544">
        <v>64.153540000000007</v>
      </c>
      <c r="Q26" s="1544"/>
      <c r="R26" s="1544">
        <v>427.69029999999998</v>
      </c>
      <c r="S26" s="1544"/>
      <c r="T26" s="1544">
        <v>1104.8699999999999</v>
      </c>
      <c r="U26" s="1545"/>
      <c r="V26" s="1543">
        <v>0</v>
      </c>
      <c r="W26" s="1544"/>
      <c r="X26" s="1544">
        <v>0</v>
      </c>
      <c r="Y26" s="1544"/>
      <c r="Z26" s="1544">
        <v>64.153540000000007</v>
      </c>
      <c r="AA26" s="1544"/>
      <c r="AB26" s="1544">
        <v>220.97329999999999</v>
      </c>
      <c r="AC26" s="1544"/>
      <c r="AD26" s="1544">
        <v>705.68889999999999</v>
      </c>
      <c r="AE26" s="1545"/>
      <c r="AF26" s="1543">
        <v>0</v>
      </c>
      <c r="AG26" s="1544"/>
      <c r="AH26" s="1544">
        <v>0</v>
      </c>
      <c r="AI26" s="1544"/>
      <c r="AJ26" s="1544">
        <v>28.51268</v>
      </c>
      <c r="AK26" s="1544"/>
      <c r="AL26" s="1544">
        <v>149.69159999999999</v>
      </c>
      <c r="AM26" s="1544"/>
      <c r="AN26" s="1544">
        <v>484.71559999999999</v>
      </c>
      <c r="AO26" s="1545"/>
      <c r="AP26" s="1543">
        <v>0</v>
      </c>
      <c r="AQ26" s="1544"/>
      <c r="AR26" s="1544">
        <v>14.25634</v>
      </c>
      <c r="AS26" s="1544"/>
      <c r="AT26" s="1544">
        <v>49.897199999999998</v>
      </c>
      <c r="AU26" s="1544"/>
      <c r="AV26" s="1544">
        <v>620.15089999999998</v>
      </c>
      <c r="AW26" s="1544"/>
      <c r="AX26" s="1544">
        <v>1796.3</v>
      </c>
      <c r="AY26" s="1545"/>
      <c r="AZ26" s="1543">
        <v>0</v>
      </c>
      <c r="BA26" s="1544"/>
      <c r="BB26" s="1617">
        <v>14.25634</v>
      </c>
      <c r="BC26" s="1544"/>
      <c r="BD26" s="1544">
        <v>49.897199999999998</v>
      </c>
      <c r="BE26" s="1544"/>
      <c r="BF26" s="1544">
        <v>313.6395</v>
      </c>
      <c r="BG26" s="1544"/>
      <c r="BH26" s="1544">
        <v>712.81709999999998</v>
      </c>
      <c r="BI26" s="1545"/>
      <c r="BJ26" s="1543"/>
      <c r="BK26" s="1544"/>
      <c r="BL26" s="1544"/>
      <c r="BM26" s="1544"/>
      <c r="BN26" s="1544"/>
      <c r="BO26" s="1544"/>
      <c r="BP26" s="1544"/>
      <c r="BQ26" s="1544"/>
      <c r="BR26" s="1544"/>
      <c r="BS26" s="1545"/>
      <c r="BT26" s="253"/>
      <c r="BU26" s="253"/>
    </row>
    <row r="27" spans="1:73" x14ac:dyDescent="0.2">
      <c r="A27" s="1533" t="s">
        <v>1020</v>
      </c>
      <c r="B27" s="1543">
        <v>64.153540000000007</v>
      </c>
      <c r="C27" s="1544"/>
      <c r="D27" s="1544">
        <v>256.61419999999998</v>
      </c>
      <c r="E27" s="1544"/>
      <c r="F27" s="1544">
        <v>805.48329999999999</v>
      </c>
      <c r="G27" s="1544"/>
      <c r="H27" s="1544">
        <v>1589.58</v>
      </c>
      <c r="I27" s="1544"/>
      <c r="J27" s="1544">
        <v>1047.8399999999999</v>
      </c>
      <c r="K27" s="1545"/>
      <c r="L27" s="1543">
        <v>21.384509999999999</v>
      </c>
      <c r="M27" s="1544"/>
      <c r="N27" s="1544">
        <v>64.153540000000007</v>
      </c>
      <c r="O27" s="1544"/>
      <c r="P27" s="1544">
        <v>335.024</v>
      </c>
      <c r="Q27" s="1544"/>
      <c r="R27" s="1544">
        <v>627.279</v>
      </c>
      <c r="S27" s="1544"/>
      <c r="T27" s="1544">
        <v>555.9973</v>
      </c>
      <c r="U27" s="1545"/>
      <c r="V27" s="1543">
        <v>14.25634</v>
      </c>
      <c r="W27" s="1544"/>
      <c r="X27" s="1544">
        <v>35.64085</v>
      </c>
      <c r="Y27" s="1544"/>
      <c r="Z27" s="1544">
        <v>128.30709999999999</v>
      </c>
      <c r="AA27" s="1544"/>
      <c r="AB27" s="1544">
        <v>363.5367</v>
      </c>
      <c r="AC27" s="1544"/>
      <c r="AD27" s="1544">
        <v>449.07479999999998</v>
      </c>
      <c r="AE27" s="1545"/>
      <c r="AF27" s="1543">
        <v>0</v>
      </c>
      <c r="AG27" s="1544"/>
      <c r="AH27" s="1544">
        <v>21.384509999999999</v>
      </c>
      <c r="AI27" s="1544"/>
      <c r="AJ27" s="1617">
        <v>85.538049999999998</v>
      </c>
      <c r="AK27" s="1544"/>
      <c r="AL27" s="1544">
        <v>306.51130000000001</v>
      </c>
      <c r="AM27" s="1544"/>
      <c r="AN27" s="1544">
        <v>249.48599999999999</v>
      </c>
      <c r="AO27" s="1545"/>
      <c r="AP27" s="1543">
        <v>0</v>
      </c>
      <c r="AQ27" s="1544"/>
      <c r="AR27" s="1544">
        <v>92.666219999999996</v>
      </c>
      <c r="AS27" s="1544"/>
      <c r="AT27" s="1544">
        <v>377.79309999999998</v>
      </c>
      <c r="AU27" s="1544"/>
      <c r="AV27" s="1544">
        <v>948.04669999999999</v>
      </c>
      <c r="AW27" s="1544"/>
      <c r="AX27" s="1544">
        <v>1062.0999999999999</v>
      </c>
      <c r="AY27" s="1545"/>
      <c r="AZ27" s="1543">
        <v>7.128171</v>
      </c>
      <c r="BA27" s="1544"/>
      <c r="BB27" s="1544">
        <v>49.897199999999998</v>
      </c>
      <c r="BC27" s="1544"/>
      <c r="BD27" s="1544">
        <v>178.20429999999999</v>
      </c>
      <c r="BE27" s="1544"/>
      <c r="BF27" s="1544">
        <v>392.04939999999999</v>
      </c>
      <c r="BG27" s="1544"/>
      <c r="BH27" s="1617">
        <v>463.33109999999999</v>
      </c>
      <c r="BI27" s="1545"/>
      <c r="BJ27" s="1543"/>
      <c r="BK27" s="1544"/>
      <c r="BL27" s="1544"/>
      <c r="BM27" s="1544"/>
      <c r="BN27" s="1544"/>
      <c r="BO27" s="1544"/>
      <c r="BP27" s="1544"/>
      <c r="BQ27" s="1544"/>
      <c r="BR27" s="1544"/>
      <c r="BS27" s="1545"/>
      <c r="BT27" s="253"/>
      <c r="BU27" s="253"/>
    </row>
    <row r="28" spans="1:73" x14ac:dyDescent="0.2">
      <c r="A28" s="1533" t="s">
        <v>1022</v>
      </c>
      <c r="B28" s="1543">
        <v>21.384509999999999</v>
      </c>
      <c r="C28" s="1544"/>
      <c r="D28" s="1617">
        <v>106.9226</v>
      </c>
      <c r="E28" s="1544"/>
      <c r="F28" s="1544">
        <v>413.43389999999999</v>
      </c>
      <c r="G28" s="1544"/>
      <c r="H28" s="1544">
        <v>1311.58</v>
      </c>
      <c r="I28" s="1544"/>
      <c r="J28" s="1544">
        <v>1910.35</v>
      </c>
      <c r="K28" s="1545"/>
      <c r="L28" s="1543">
        <v>14.25634</v>
      </c>
      <c r="M28" s="1544"/>
      <c r="N28" s="1544">
        <v>57.025370000000002</v>
      </c>
      <c r="O28" s="1544"/>
      <c r="P28" s="1544">
        <v>206.71700000000001</v>
      </c>
      <c r="Q28" s="1544"/>
      <c r="R28" s="1544">
        <v>634.40719999999999</v>
      </c>
      <c r="S28" s="1544"/>
      <c r="T28" s="1544">
        <v>691.43259999999998</v>
      </c>
      <c r="U28" s="1545"/>
      <c r="V28" s="1543">
        <v>7.128171</v>
      </c>
      <c r="W28" s="1544"/>
      <c r="X28" s="1544">
        <v>7.128171</v>
      </c>
      <c r="Y28" s="1544"/>
      <c r="Z28" s="1544">
        <v>64.153540000000007</v>
      </c>
      <c r="AA28" s="1544"/>
      <c r="AB28" s="1617">
        <v>306.51130000000001</v>
      </c>
      <c r="AC28" s="1544"/>
      <c r="AD28" s="1544">
        <v>605.89449999999999</v>
      </c>
      <c r="AE28" s="1545"/>
      <c r="AF28" s="1543">
        <v>0</v>
      </c>
      <c r="AG28" s="1544"/>
      <c r="AH28" s="1544">
        <v>7.128171</v>
      </c>
      <c r="AI28" s="1544"/>
      <c r="AJ28" s="1617">
        <v>49.897199999999998</v>
      </c>
      <c r="AK28" s="1544"/>
      <c r="AL28" s="1544">
        <v>249.48599999999999</v>
      </c>
      <c r="AM28" s="1544"/>
      <c r="AN28" s="1544">
        <v>356.4085</v>
      </c>
      <c r="AO28" s="1545"/>
      <c r="AP28" s="1543">
        <v>28.51268</v>
      </c>
      <c r="AQ28" s="1544"/>
      <c r="AR28" s="1544">
        <v>78.409880000000001</v>
      </c>
      <c r="AS28" s="1544"/>
      <c r="AT28" s="1544">
        <v>456.2029</v>
      </c>
      <c r="AU28" s="1544"/>
      <c r="AV28" s="1544">
        <v>862.50869999999998</v>
      </c>
      <c r="AW28" s="1544"/>
      <c r="AX28" s="1544">
        <v>1054.97</v>
      </c>
      <c r="AY28" s="1545"/>
      <c r="AZ28" s="1543">
        <v>14.25634</v>
      </c>
      <c r="BA28" s="1544"/>
      <c r="BB28" s="1544">
        <v>57.025370000000002</v>
      </c>
      <c r="BC28" s="1544"/>
      <c r="BD28" s="1544">
        <v>171.0761</v>
      </c>
      <c r="BE28" s="1544"/>
      <c r="BF28" s="1617">
        <v>420.56209999999999</v>
      </c>
      <c r="BG28" s="1544"/>
      <c r="BH28" s="1544">
        <v>427.69029999999998</v>
      </c>
      <c r="BI28" s="1545"/>
      <c r="BJ28" s="1543"/>
      <c r="BK28" s="1544"/>
      <c r="BL28" s="1544"/>
      <c r="BM28" s="1544"/>
      <c r="BN28" s="1544"/>
      <c r="BO28" s="1544"/>
      <c r="BP28" s="1544"/>
      <c r="BQ28" s="1544"/>
      <c r="BR28" s="1544"/>
      <c r="BS28" s="1545"/>
      <c r="BT28" s="253"/>
      <c r="BU28" s="253"/>
    </row>
    <row r="29" spans="1:73" x14ac:dyDescent="0.2">
      <c r="A29" s="1533" t="s">
        <v>1021</v>
      </c>
      <c r="B29" s="1546">
        <v>21.384509999999999</v>
      </c>
      <c r="C29" s="1547"/>
      <c r="D29" s="1547">
        <v>121.1789</v>
      </c>
      <c r="E29" s="1547"/>
      <c r="F29" s="1547">
        <v>670.04809999999998</v>
      </c>
      <c r="G29" s="1547"/>
      <c r="H29" s="1547">
        <v>1489.79</v>
      </c>
      <c r="I29" s="1547"/>
      <c r="J29" s="1547">
        <v>1461.28</v>
      </c>
      <c r="K29" s="1548"/>
      <c r="L29" s="1546">
        <v>14.25634</v>
      </c>
      <c r="M29" s="1547"/>
      <c r="N29" s="1547">
        <v>114.05070000000001</v>
      </c>
      <c r="O29" s="1547"/>
      <c r="P29" s="1547">
        <v>313.6395</v>
      </c>
      <c r="Q29" s="1547"/>
      <c r="R29" s="1547">
        <v>563.12549999999999</v>
      </c>
      <c r="S29" s="1547"/>
      <c r="T29" s="1547">
        <v>598.76639999999998</v>
      </c>
      <c r="U29" s="1548"/>
      <c r="V29" s="1546">
        <v>7.128171</v>
      </c>
      <c r="W29" s="1547"/>
      <c r="X29" s="1547">
        <v>28.51268</v>
      </c>
      <c r="Y29" s="1547"/>
      <c r="Z29" s="1547">
        <v>85.538049999999998</v>
      </c>
      <c r="AA29" s="1547"/>
      <c r="AB29" s="1547">
        <v>363.5367</v>
      </c>
      <c r="AC29" s="1547"/>
      <c r="AD29" s="1547">
        <v>506.1001</v>
      </c>
      <c r="AE29" s="1548"/>
      <c r="AF29" s="1546">
        <v>0</v>
      </c>
      <c r="AG29" s="1547"/>
      <c r="AH29" s="1547">
        <v>14.25634</v>
      </c>
      <c r="AI29" s="1547"/>
      <c r="AJ29" s="1547">
        <v>49.897199999999998</v>
      </c>
      <c r="AK29" s="1547"/>
      <c r="AL29" s="1547">
        <v>313.6395</v>
      </c>
      <c r="AM29" s="1547"/>
      <c r="AN29" s="1547">
        <v>285.1268</v>
      </c>
      <c r="AO29" s="1548"/>
      <c r="AP29" s="1622">
        <v>14.25634</v>
      </c>
      <c r="AQ29" s="1547"/>
      <c r="AR29" s="1547">
        <v>128.30709999999999</v>
      </c>
      <c r="AS29" s="1547"/>
      <c r="AT29" s="1547">
        <v>413.43389999999999</v>
      </c>
      <c r="AU29" s="1547"/>
      <c r="AV29" s="1547">
        <v>976.55939999999998</v>
      </c>
      <c r="AW29" s="1547"/>
      <c r="AX29" s="1547">
        <v>948.04669999999999</v>
      </c>
      <c r="AY29" s="1548"/>
      <c r="AZ29" s="1546">
        <v>14.25634</v>
      </c>
      <c r="BA29" s="1547"/>
      <c r="BB29" s="1619">
        <v>57.025370000000002</v>
      </c>
      <c r="BC29" s="1547"/>
      <c r="BD29" s="1547">
        <v>199.58879999999999</v>
      </c>
      <c r="BE29" s="1547"/>
      <c r="BF29" s="1547">
        <v>285.1268</v>
      </c>
      <c r="BG29" s="1547"/>
      <c r="BH29" s="1547">
        <v>534.61279999999999</v>
      </c>
      <c r="BI29" s="1548"/>
      <c r="BJ29" s="1546"/>
      <c r="BK29" s="1547"/>
      <c r="BL29" s="1547"/>
      <c r="BM29" s="1547"/>
      <c r="BN29" s="1547"/>
      <c r="BO29" s="1547"/>
      <c r="BP29" s="1547"/>
      <c r="BQ29" s="1547"/>
      <c r="BR29" s="1547"/>
      <c r="BS29" s="1548"/>
      <c r="BT29" s="253"/>
      <c r="BU29" s="253"/>
    </row>
    <row r="30" spans="1:73" x14ac:dyDescent="0.2">
      <c r="A30" s="1534" t="s">
        <v>1039</v>
      </c>
      <c r="B30" s="1549">
        <v>71.281710000000004</v>
      </c>
      <c r="C30" s="1550"/>
      <c r="D30" s="1550">
        <v>292.255</v>
      </c>
      <c r="E30" s="1550"/>
      <c r="F30" s="1550">
        <v>891.02139999999997</v>
      </c>
      <c r="G30" s="1550"/>
      <c r="H30" s="1550">
        <v>1069.23</v>
      </c>
      <c r="I30" s="1550"/>
      <c r="J30" s="1550">
        <v>1439.89</v>
      </c>
      <c r="K30" s="1551"/>
      <c r="L30" s="1549">
        <v>35.64085</v>
      </c>
      <c r="M30" s="1550"/>
      <c r="N30" s="1550">
        <v>92.666219999999996</v>
      </c>
      <c r="O30" s="1550"/>
      <c r="P30" s="1550">
        <v>263.7423</v>
      </c>
      <c r="Q30" s="1550"/>
      <c r="R30" s="1550">
        <v>449.07479999999998</v>
      </c>
      <c r="S30" s="1550"/>
      <c r="T30" s="1550">
        <v>762.71429999999998</v>
      </c>
      <c r="U30" s="1551"/>
      <c r="V30" s="1549">
        <v>21.384509999999999</v>
      </c>
      <c r="W30" s="1550"/>
      <c r="X30" s="1550">
        <v>78.409880000000001</v>
      </c>
      <c r="Y30" s="1550"/>
      <c r="Z30" s="1550">
        <v>270.87049999999999</v>
      </c>
      <c r="AA30" s="1550"/>
      <c r="AB30" s="1550">
        <v>249.48599999999999</v>
      </c>
      <c r="AC30" s="1550"/>
      <c r="AD30" s="1550">
        <v>370.66489999999999</v>
      </c>
      <c r="AE30" s="1551"/>
      <c r="AF30" s="1549">
        <v>0</v>
      </c>
      <c r="AG30" s="1550"/>
      <c r="AH30" s="1550">
        <v>42.769030000000001</v>
      </c>
      <c r="AI30" s="1550"/>
      <c r="AJ30" s="1550">
        <v>163.9479</v>
      </c>
      <c r="AK30" s="1550"/>
      <c r="AL30" s="1550">
        <v>171.0761</v>
      </c>
      <c r="AM30" s="1550"/>
      <c r="AN30" s="1550">
        <v>285.1268</v>
      </c>
      <c r="AO30" s="1551"/>
      <c r="AP30" s="1549">
        <v>71.281710000000004</v>
      </c>
      <c r="AQ30" s="1550"/>
      <c r="AR30" s="1550">
        <v>235.2296</v>
      </c>
      <c r="AS30" s="1550"/>
      <c r="AT30" s="1550">
        <v>420.56209999999999</v>
      </c>
      <c r="AU30" s="1550"/>
      <c r="AV30" s="1620">
        <v>584.51</v>
      </c>
      <c r="AW30" s="1550"/>
      <c r="AX30" s="1550">
        <v>1169.02</v>
      </c>
      <c r="AY30" s="1551"/>
      <c r="AZ30" s="1549">
        <v>64.153540000000007</v>
      </c>
      <c r="BA30" s="1550"/>
      <c r="BB30" s="1620">
        <v>114.05070000000001</v>
      </c>
      <c r="BC30" s="1550"/>
      <c r="BD30" s="1550">
        <v>228.10149999999999</v>
      </c>
      <c r="BE30" s="1550"/>
      <c r="BF30" s="1550">
        <v>242.3578</v>
      </c>
      <c r="BG30" s="1550"/>
      <c r="BH30" s="1550">
        <v>441.94659999999999</v>
      </c>
      <c r="BI30" s="1551"/>
      <c r="BJ30" s="1549"/>
      <c r="BK30" s="1550"/>
      <c r="BL30" s="1550"/>
      <c r="BM30" s="1550"/>
      <c r="BN30" s="1550"/>
      <c r="BO30" s="1550"/>
      <c r="BP30" s="1550"/>
      <c r="BQ30" s="1550"/>
      <c r="BR30" s="1550"/>
      <c r="BS30" s="1551"/>
      <c r="BT30" s="253"/>
      <c r="BU30" s="253"/>
    </row>
    <row r="31" spans="1:73" x14ac:dyDescent="0.2">
      <c r="A31" s="68"/>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253"/>
      <c r="BU31" s="253"/>
    </row>
    <row r="32" spans="1:73" x14ac:dyDescent="0.2">
      <c r="A32" s="68"/>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253"/>
      <c r="BU32" s="253"/>
    </row>
    <row r="33" spans="1:73" x14ac:dyDescent="0.2">
      <c r="A33" s="71" t="s">
        <v>32</v>
      </c>
      <c r="B33" s="56"/>
      <c r="C33" s="56"/>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253"/>
      <c r="BU33" s="253"/>
    </row>
    <row r="34" spans="1:73" x14ac:dyDescent="0.2">
      <c r="A34" s="68"/>
      <c r="B34" s="58"/>
      <c r="C34" s="58"/>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253"/>
      <c r="BU34" s="253"/>
    </row>
    <row r="35" spans="1:73" x14ac:dyDescent="0.2">
      <c r="A35" s="68"/>
      <c r="B35" s="58"/>
      <c r="C35" s="58"/>
      <c r="D35" s="5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253"/>
      <c r="BU35" s="253"/>
    </row>
    <row r="36" spans="1:73" x14ac:dyDescent="0.2">
      <c r="A36" s="68"/>
      <c r="B36" s="58"/>
      <c r="C36" s="58"/>
      <c r="D36" s="59"/>
      <c r="E36" s="59"/>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253"/>
      <c r="BU36" s="253"/>
    </row>
    <row r="37" spans="1:73" x14ac:dyDescent="0.2">
      <c r="A37" s="68"/>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253"/>
      <c r="BU37" s="253"/>
    </row>
    <row r="38" spans="1:73" x14ac:dyDescent="0.2">
      <c r="A38" s="71" t="s">
        <v>33</v>
      </c>
      <c r="B38" s="56"/>
      <c r="C38" s="56"/>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253"/>
      <c r="BU38" s="253"/>
    </row>
    <row r="39" spans="1:73" x14ac:dyDescent="0.2">
      <c r="A39" s="68"/>
      <c r="B39" s="58"/>
      <c r="C39" s="58"/>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253"/>
      <c r="BU39" s="253"/>
    </row>
    <row r="40" spans="1:73" x14ac:dyDescent="0.2">
      <c r="A40" s="68"/>
      <c r="B40" s="58"/>
      <c r="C40" s="58"/>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253"/>
      <c r="BU40" s="253"/>
    </row>
    <row r="41" spans="1:73" x14ac:dyDescent="0.2">
      <c r="A41" s="68"/>
      <c r="B41" s="58"/>
      <c r="C41" s="58"/>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253"/>
      <c r="BU41" s="253"/>
    </row>
    <row r="42" spans="1:73"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253"/>
      <c r="BU42" s="253"/>
    </row>
    <row r="43" spans="1:73" x14ac:dyDescent="0.2">
      <c r="A43" s="71" t="s">
        <v>670</v>
      </c>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253"/>
      <c r="BU43" s="253"/>
    </row>
    <row r="44" spans="1:73" x14ac:dyDescent="0.2">
      <c r="A44" s="68"/>
      <c r="B44" s="54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253"/>
      <c r="BU44" s="253"/>
    </row>
    <row r="45" spans="1:73" x14ac:dyDescent="0.2">
      <c r="A45" s="570"/>
      <c r="B45" s="549"/>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253"/>
      <c r="BU45" s="253"/>
    </row>
    <row r="46" spans="1:73" x14ac:dyDescent="0.2">
      <c r="A46" s="68"/>
      <c r="B46" s="549"/>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253"/>
      <c r="BU46" s="253"/>
    </row>
    <row r="47" spans="1:73" x14ac:dyDescent="0.2">
      <c r="A47" s="68"/>
      <c r="B47" s="549"/>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253"/>
      <c r="BU47" s="253"/>
    </row>
    <row r="48" spans="1:73" x14ac:dyDescent="0.2">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253"/>
      <c r="BU48" s="253"/>
    </row>
  </sheetData>
  <sheetProtection password="CD9E" sheet="1" objects="1" scenarios="1" selectLockedCells="1"/>
  <mergeCells count="43">
    <mergeCell ref="BJ12:BS12"/>
    <mergeCell ref="BJ13:BK13"/>
    <mergeCell ref="BL13:BM13"/>
    <mergeCell ref="BN13:BO13"/>
    <mergeCell ref="BP13:BQ13"/>
    <mergeCell ref="BR13:BS13"/>
    <mergeCell ref="AZ12:BI12"/>
    <mergeCell ref="AZ13:BA13"/>
    <mergeCell ref="BB13:BC13"/>
    <mergeCell ref="BD13:BE13"/>
    <mergeCell ref="BF13:BG13"/>
    <mergeCell ref="BH13:BI13"/>
    <mergeCell ref="AP12:AY12"/>
    <mergeCell ref="AP13:AQ13"/>
    <mergeCell ref="AR13:AS13"/>
    <mergeCell ref="AT13:AU13"/>
    <mergeCell ref="AV13:AW13"/>
    <mergeCell ref="AX13:AY13"/>
    <mergeCell ref="AF12:AO12"/>
    <mergeCell ref="AF13:AG13"/>
    <mergeCell ref="AH13:AI13"/>
    <mergeCell ref="AJ13:AK13"/>
    <mergeCell ref="AL13:AM13"/>
    <mergeCell ref="AN13:AO13"/>
    <mergeCell ref="V12:AE12"/>
    <mergeCell ref="V13:W13"/>
    <mergeCell ref="X13:Y13"/>
    <mergeCell ref="Z13:AA13"/>
    <mergeCell ref="AB13:AC13"/>
    <mergeCell ref="AD13:AE13"/>
    <mergeCell ref="L12:U12"/>
    <mergeCell ref="L13:M13"/>
    <mergeCell ref="N13:O13"/>
    <mergeCell ref="P13:Q13"/>
    <mergeCell ref="R13:S13"/>
    <mergeCell ref="T13:U13"/>
    <mergeCell ref="B12:K12"/>
    <mergeCell ref="A12:A13"/>
    <mergeCell ref="B13:C13"/>
    <mergeCell ref="D13:E13"/>
    <mergeCell ref="F13:G13"/>
    <mergeCell ref="H13:I13"/>
    <mergeCell ref="J13:K13"/>
  </mergeCells>
  <dataValidations disablePrompts="1" count="1">
    <dataValidation type="list" allowBlank="1" showInputMessage="1" showErrorMessage="1" sqref="B44:B47">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1"/>
  <sheetViews>
    <sheetView zoomScaleNormal="100" workbookViewId="0">
      <selection activeCell="C23" sqref="C23:K23"/>
    </sheetView>
  </sheetViews>
  <sheetFormatPr baseColWidth="10" defaultColWidth="9.140625" defaultRowHeight="15" customHeight="1" x14ac:dyDescent="0.2"/>
  <cols>
    <col min="1" max="1" width="7.28515625" style="102" customWidth="1"/>
    <col min="2" max="2" width="2.28515625" style="102" customWidth="1"/>
    <col min="3" max="3" width="66.85546875" style="102" customWidth="1"/>
    <col min="4" max="10" width="9.140625" style="102"/>
    <col min="11" max="11" width="14.5703125" style="102" customWidth="1"/>
    <col min="12" max="16384" width="9.140625" style="102"/>
  </cols>
  <sheetData>
    <row r="1" spans="1:11" s="21" customFormat="1" ht="12" customHeight="1" x14ac:dyDescent="0.2">
      <c r="A1" s="20" t="s">
        <v>6</v>
      </c>
    </row>
    <row r="2" spans="1:11" s="23" customFormat="1" ht="12" customHeight="1" x14ac:dyDescent="0.2">
      <c r="A2" s="22" t="s">
        <v>7</v>
      </c>
    </row>
    <row r="3" spans="1:11" ht="15" customHeight="1" x14ac:dyDescent="0.25">
      <c r="A3" s="101"/>
    </row>
    <row r="4" spans="1:11" ht="15" customHeight="1" x14ac:dyDescent="0.2">
      <c r="A4" s="103"/>
      <c r="B4" s="103"/>
      <c r="C4" s="103"/>
      <c r="D4" s="103"/>
      <c r="E4" s="103"/>
      <c r="F4" s="103"/>
      <c r="G4" s="103"/>
      <c r="H4" s="103"/>
      <c r="I4" s="103"/>
      <c r="J4" s="103"/>
      <c r="K4" s="103"/>
    </row>
    <row r="5" spans="1:11" ht="15" customHeight="1" x14ac:dyDescent="0.25">
      <c r="A5" s="104" t="s">
        <v>938</v>
      </c>
      <c r="B5" s="103"/>
      <c r="C5" s="103"/>
      <c r="D5" s="103"/>
      <c r="E5" s="103"/>
      <c r="F5" s="103"/>
      <c r="G5" s="103"/>
      <c r="H5" s="103"/>
      <c r="I5" s="103"/>
      <c r="J5" s="103"/>
      <c r="K5" s="103"/>
    </row>
    <row r="6" spans="1:11" ht="15" customHeight="1" x14ac:dyDescent="0.2">
      <c r="A6" s="103"/>
      <c r="B6" s="103"/>
      <c r="C6" s="103"/>
      <c r="D6" s="103"/>
      <c r="E6" s="103"/>
      <c r="F6" s="103"/>
      <c r="G6" s="103"/>
      <c r="H6" s="103"/>
      <c r="I6" s="103"/>
      <c r="J6" s="103"/>
      <c r="K6" s="103"/>
    </row>
    <row r="7" spans="1:11" ht="15" customHeight="1" x14ac:dyDescent="0.2">
      <c r="A7" s="103"/>
      <c r="B7" s="103"/>
      <c r="C7" s="103"/>
      <c r="D7" s="103"/>
      <c r="E7" s="103"/>
      <c r="F7" s="103"/>
      <c r="G7" s="103"/>
      <c r="H7" s="103"/>
      <c r="I7" s="103"/>
      <c r="J7" s="103"/>
      <c r="K7" s="103"/>
    </row>
    <row r="8" spans="1:11" ht="15" customHeight="1" x14ac:dyDescent="0.2">
      <c r="A8" s="105" t="s">
        <v>8</v>
      </c>
      <c r="B8" s="103"/>
      <c r="C8" s="103"/>
      <c r="D8" s="103"/>
      <c r="E8" s="103"/>
      <c r="F8" s="103"/>
      <c r="G8" s="103"/>
      <c r="H8" s="103"/>
      <c r="I8" s="103"/>
      <c r="J8" s="103"/>
      <c r="K8" s="103"/>
    </row>
    <row r="9" spans="1:11" ht="15" customHeight="1" x14ac:dyDescent="0.2">
      <c r="A9" s="103"/>
      <c r="B9" s="103"/>
      <c r="C9" s="103"/>
      <c r="D9" s="103"/>
      <c r="E9" s="103"/>
      <c r="F9" s="103"/>
      <c r="G9" s="103"/>
      <c r="H9" s="103"/>
      <c r="I9" s="103"/>
      <c r="J9" s="103"/>
      <c r="K9" s="103"/>
    </row>
    <row r="10" spans="1:11" ht="15" customHeight="1" x14ac:dyDescent="0.2">
      <c r="A10" s="103"/>
      <c r="B10" s="106" t="s">
        <v>9</v>
      </c>
      <c r="C10" s="107" t="s">
        <v>763</v>
      </c>
      <c r="D10" s="103"/>
      <c r="E10" s="103"/>
      <c r="F10" s="103"/>
      <c r="G10" s="103"/>
      <c r="H10" s="103"/>
      <c r="I10" s="103"/>
      <c r="J10" s="103"/>
      <c r="K10" s="103"/>
    </row>
    <row r="11" spans="1:11" ht="15" customHeight="1" x14ac:dyDescent="0.2">
      <c r="A11" s="103"/>
      <c r="B11" s="106"/>
      <c r="C11" s="107"/>
      <c r="D11" s="103"/>
      <c r="E11" s="103"/>
      <c r="F11" s="103"/>
      <c r="G11" s="103"/>
      <c r="H11" s="103"/>
      <c r="I11" s="103"/>
      <c r="J11" s="103"/>
      <c r="K11" s="103"/>
    </row>
    <row r="12" spans="1:11" ht="15" customHeight="1" x14ac:dyDescent="0.2">
      <c r="A12" s="103"/>
      <c r="B12" s="106" t="s">
        <v>9</v>
      </c>
      <c r="C12" s="107" t="s">
        <v>768</v>
      </c>
      <c r="D12" s="103"/>
      <c r="E12" s="103"/>
      <c r="F12" s="103"/>
      <c r="G12" s="103"/>
      <c r="H12" s="103"/>
      <c r="I12" s="103"/>
      <c r="J12" s="103"/>
      <c r="K12" s="103"/>
    </row>
    <row r="13" spans="1:11" ht="15" customHeight="1" x14ac:dyDescent="0.2">
      <c r="A13" s="103"/>
      <c r="B13" s="103"/>
      <c r="C13" s="103"/>
      <c r="D13" s="103"/>
      <c r="E13" s="103"/>
      <c r="F13" s="103"/>
      <c r="G13" s="103"/>
      <c r="H13" s="103"/>
      <c r="I13" s="103"/>
      <c r="J13" s="103"/>
      <c r="K13" s="103"/>
    </row>
    <row r="14" spans="1:11" ht="15" customHeight="1" x14ac:dyDescent="0.2">
      <c r="A14" s="103"/>
      <c r="B14" s="106" t="s">
        <v>9</v>
      </c>
      <c r="C14" s="103" t="s">
        <v>654</v>
      </c>
      <c r="D14" s="103"/>
      <c r="E14" s="103"/>
      <c r="F14" s="103"/>
      <c r="G14" s="103"/>
      <c r="H14" s="103"/>
      <c r="I14" s="103"/>
      <c r="J14" s="103"/>
      <c r="K14" s="103"/>
    </row>
    <row r="15" spans="1:11" ht="15" customHeight="1" x14ac:dyDescent="0.2">
      <c r="A15" s="103"/>
      <c r="B15" s="103"/>
      <c r="C15" s="103"/>
      <c r="D15" s="103"/>
      <c r="E15" s="103"/>
      <c r="F15" s="103"/>
      <c r="G15" s="103"/>
      <c r="H15" s="103"/>
      <c r="I15" s="103"/>
      <c r="J15" s="103"/>
      <c r="K15" s="103"/>
    </row>
    <row r="16" spans="1:11" ht="15" customHeight="1" x14ac:dyDescent="0.2">
      <c r="A16" s="103"/>
      <c r="B16" s="106" t="s">
        <v>9</v>
      </c>
      <c r="C16" s="103" t="s">
        <v>579</v>
      </c>
      <c r="D16" s="103"/>
      <c r="E16" s="103"/>
      <c r="F16" s="103"/>
      <c r="G16" s="103"/>
      <c r="H16" s="103"/>
      <c r="I16" s="103"/>
      <c r="J16" s="103"/>
      <c r="K16" s="103"/>
    </row>
    <row r="17" spans="1:11" ht="15" customHeight="1" x14ac:dyDescent="0.2">
      <c r="A17" s="103"/>
      <c r="B17" s="103"/>
      <c r="C17" s="544" t="s">
        <v>766</v>
      </c>
      <c r="D17" s="103"/>
      <c r="E17" s="103"/>
      <c r="F17" s="103"/>
      <c r="G17" s="103"/>
      <c r="H17" s="103"/>
      <c r="I17" s="103"/>
      <c r="J17" s="103"/>
      <c r="K17" s="103"/>
    </row>
    <row r="18" spans="1:11" ht="15" customHeight="1" x14ac:dyDescent="0.2">
      <c r="A18" s="103"/>
      <c r="B18" s="103"/>
      <c r="C18" s="544" t="s">
        <v>764</v>
      </c>
      <c r="D18" s="103"/>
      <c r="E18" s="103"/>
      <c r="F18" s="103"/>
      <c r="G18" s="103"/>
      <c r="H18" s="103"/>
      <c r="I18" s="103"/>
      <c r="J18" s="103"/>
      <c r="K18" s="103"/>
    </row>
    <row r="19" spans="1:11" ht="15" customHeight="1" x14ac:dyDescent="0.2">
      <c r="A19" s="103"/>
      <c r="B19" s="103"/>
      <c r="C19" s="544" t="s">
        <v>765</v>
      </c>
      <c r="D19" s="103"/>
      <c r="E19" s="103"/>
      <c r="F19" s="103"/>
      <c r="G19" s="103"/>
      <c r="H19" s="103"/>
      <c r="I19" s="103"/>
      <c r="J19" s="103"/>
      <c r="K19" s="103"/>
    </row>
    <row r="20" spans="1:11" ht="15" customHeight="1" x14ac:dyDescent="0.2">
      <c r="A20" s="103"/>
      <c r="B20" s="103"/>
      <c r="C20" s="103"/>
      <c r="D20" s="103"/>
      <c r="E20" s="103"/>
      <c r="F20" s="103"/>
      <c r="G20" s="103"/>
      <c r="H20" s="103"/>
      <c r="I20" s="103"/>
      <c r="J20" s="103"/>
      <c r="K20" s="103"/>
    </row>
    <row r="21" spans="1:11" ht="15" customHeight="1" x14ac:dyDescent="0.2">
      <c r="A21" s="103"/>
      <c r="B21" s="106" t="s">
        <v>9</v>
      </c>
      <c r="C21" s="103" t="s">
        <v>580</v>
      </c>
      <c r="D21" s="103"/>
      <c r="E21" s="103"/>
      <c r="F21" s="103"/>
      <c r="G21" s="103"/>
      <c r="H21" s="103"/>
      <c r="I21" s="103"/>
      <c r="J21" s="103"/>
      <c r="K21" s="103"/>
    </row>
    <row r="22" spans="1:11" ht="15" customHeight="1" x14ac:dyDescent="0.2">
      <c r="A22" s="103"/>
      <c r="B22" s="106"/>
      <c r="C22" s="103"/>
      <c r="D22" s="103"/>
      <c r="E22" s="103"/>
      <c r="F22" s="103"/>
      <c r="G22" s="103"/>
      <c r="H22" s="103"/>
      <c r="I22" s="103"/>
      <c r="J22" s="103"/>
      <c r="K22" s="103"/>
    </row>
    <row r="23" spans="1:11" ht="43.5" customHeight="1" x14ac:dyDescent="0.2">
      <c r="A23" s="103"/>
      <c r="B23" s="1497" t="s">
        <v>9</v>
      </c>
      <c r="C23" s="1640" t="s">
        <v>936</v>
      </c>
      <c r="D23" s="1640"/>
      <c r="E23" s="1640"/>
      <c r="F23" s="1640"/>
      <c r="G23" s="1640"/>
      <c r="H23" s="1640"/>
      <c r="I23" s="1640"/>
      <c r="J23" s="1640"/>
      <c r="K23" s="1640"/>
    </row>
    <row r="24" spans="1:11" ht="15" customHeight="1" x14ac:dyDescent="0.2">
      <c r="A24" s="103"/>
      <c r="B24" s="106"/>
      <c r="C24" s="103"/>
      <c r="D24" s="103"/>
      <c r="E24" s="103"/>
      <c r="F24" s="103"/>
      <c r="G24" s="103"/>
      <c r="H24" s="103"/>
      <c r="I24" s="103"/>
      <c r="J24" s="103"/>
      <c r="K24" s="103"/>
    </row>
    <row r="25" spans="1:11" ht="15" customHeight="1" x14ac:dyDescent="0.2">
      <c r="A25" s="103"/>
      <c r="B25" s="106" t="s">
        <v>9</v>
      </c>
      <c r="C25" s="103" t="s">
        <v>767</v>
      </c>
      <c r="D25" s="103"/>
      <c r="E25" s="103"/>
      <c r="F25" s="103"/>
      <c r="G25" s="103"/>
      <c r="H25" s="103"/>
      <c r="I25" s="103"/>
      <c r="J25" s="103"/>
      <c r="K25" s="103"/>
    </row>
    <row r="26" spans="1:11" ht="15" customHeight="1" x14ac:dyDescent="0.2">
      <c r="A26" s="103"/>
      <c r="B26" s="103"/>
      <c r="C26" s="103"/>
      <c r="D26" s="103"/>
      <c r="E26" s="103"/>
      <c r="F26" s="103"/>
      <c r="G26" s="103"/>
      <c r="H26" s="103"/>
      <c r="I26" s="103"/>
      <c r="J26" s="103"/>
      <c r="K26" s="103"/>
    </row>
    <row r="27" spans="1:11" ht="15" customHeight="1" x14ac:dyDescent="0.2">
      <c r="A27" s="103"/>
      <c r="B27" s="103" t="s">
        <v>9</v>
      </c>
      <c r="C27" s="955" t="s">
        <v>655</v>
      </c>
      <c r="D27" s="103"/>
      <c r="E27" s="103"/>
      <c r="F27" s="103"/>
      <c r="G27" s="103"/>
      <c r="H27" s="103"/>
      <c r="I27" s="103"/>
      <c r="J27" s="103"/>
      <c r="K27" s="103"/>
    </row>
    <row r="28" spans="1:11" ht="14.25" customHeight="1" x14ac:dyDescent="0.2">
      <c r="A28" s="103"/>
      <c r="B28" s="103"/>
      <c r="C28" s="545"/>
      <c r="D28" s="103"/>
      <c r="E28" s="103"/>
      <c r="F28" s="103"/>
      <c r="G28" s="103"/>
      <c r="H28" s="103"/>
      <c r="I28" s="103"/>
      <c r="J28" s="103"/>
      <c r="K28" s="103"/>
    </row>
    <row r="29" spans="1:11" ht="15" customHeight="1" x14ac:dyDescent="0.2">
      <c r="A29" s="103"/>
      <c r="B29" s="103"/>
      <c r="C29" s="103"/>
      <c r="D29" s="103"/>
      <c r="E29" s="103"/>
      <c r="F29" s="103"/>
      <c r="G29" s="103"/>
      <c r="H29" s="103"/>
      <c r="I29" s="103"/>
      <c r="J29" s="103"/>
      <c r="K29" s="103"/>
    </row>
    <row r="31" spans="1:11" ht="15" customHeight="1" x14ac:dyDescent="0.2">
      <c r="C31" s="1496"/>
    </row>
  </sheetData>
  <sheetProtection selectLockedCells="1"/>
  <mergeCells count="1">
    <mergeCell ref="C23:K23"/>
  </mergeCells>
  <hyperlinks>
    <hyperlink ref="A1" location="'List of tables'!A9" display="'List of tables'!A9"/>
    <hyperlink ref="A2" location="Cntry!A1" display="Go to country metadata"/>
  </hyperlinks>
  <pageMargins left="0.75" right="0.75" top="1" bottom="1" header="0.5" footer="0.5"/>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indexed="42"/>
    <pageSetUpPr fitToPage="1"/>
  </sheetPr>
  <dimension ref="A1:AE139"/>
  <sheetViews>
    <sheetView showGridLines="0" topLeftCell="A5" zoomScale="80" zoomScaleNormal="80" workbookViewId="0">
      <selection activeCell="G14" sqref="G14"/>
    </sheetView>
  </sheetViews>
  <sheetFormatPr baseColWidth="10" defaultColWidth="9.140625" defaultRowHeight="15" customHeight="1" x14ac:dyDescent="0.2"/>
  <cols>
    <col min="1" max="1" width="19.28515625" style="31" customWidth="1"/>
    <col min="2" max="2" width="11.7109375" style="31" customWidth="1"/>
    <col min="3" max="3" width="6.7109375" style="31" customWidth="1"/>
    <col min="4" max="4" width="11.7109375" style="31" customWidth="1"/>
    <col min="5" max="5" width="6.7109375" style="31" customWidth="1"/>
    <col min="6" max="7" width="11.7109375" style="31" customWidth="1"/>
    <col min="8" max="8" width="6.7109375" style="31" customWidth="1"/>
    <col min="9" max="9" width="11.7109375" style="31" customWidth="1"/>
    <col min="10" max="10" width="6.7109375" style="31" customWidth="1"/>
    <col min="11" max="11" width="11.7109375" style="31" customWidth="1"/>
    <col min="12" max="12" width="6.7109375" style="31" customWidth="1"/>
    <col min="13" max="14" width="11.7109375" style="31" customWidth="1"/>
    <col min="15" max="15" width="6.7109375" style="31" customWidth="1"/>
    <col min="16" max="16" width="11.7109375" style="31" customWidth="1"/>
    <col min="17" max="17" width="6.7109375" style="31" customWidth="1"/>
    <col min="18" max="18" width="11.7109375" style="31" customWidth="1"/>
    <col min="19" max="19" width="6.7109375" style="31" customWidth="1"/>
    <col min="20" max="20" width="12.7109375" style="31" customWidth="1"/>
    <col min="21" max="21" width="11.7109375" style="31" customWidth="1"/>
    <col min="22" max="22" width="6.7109375" style="31" customWidth="1"/>
    <col min="23" max="23" width="11.7109375" style="31" customWidth="1"/>
    <col min="24" max="24" width="6.7109375" style="31" customWidth="1"/>
    <col min="25" max="25" width="11.7109375" style="31" customWidth="1"/>
    <col min="26" max="26" width="6.7109375" style="31" customWidth="1"/>
    <col min="27" max="27" width="14.140625" style="31" customWidth="1"/>
    <col min="28" max="28" width="11.7109375" style="31" customWidth="1"/>
    <col min="29" max="29" width="6.7109375" style="31" customWidth="1"/>
    <col min="30" max="30" width="15.7109375" style="31" customWidth="1"/>
    <col min="31" max="38" width="11.7109375" style="31" customWidth="1"/>
    <col min="39" max="16384" width="9.140625" style="31"/>
  </cols>
  <sheetData>
    <row r="1" spans="1:31" s="66" customFormat="1" ht="12" customHeight="1" x14ac:dyDescent="0.2">
      <c r="A1" s="26" t="s">
        <v>6</v>
      </c>
    </row>
    <row r="2" spans="1:31" s="66" customFormat="1" ht="12" customHeight="1" x14ac:dyDescent="0.2">
      <c r="A2" s="28" t="s">
        <v>10</v>
      </c>
    </row>
    <row r="3" spans="1:31" s="66" customFormat="1" ht="12" customHeight="1" x14ac:dyDescent="0.2">
      <c r="A3" s="28" t="s">
        <v>7</v>
      </c>
    </row>
    <row r="4" spans="1:31" ht="15" customHeight="1" x14ac:dyDescent="0.2">
      <c r="A4" s="73" t="s">
        <v>248</v>
      </c>
      <c r="B4" s="73"/>
      <c r="C4" s="73"/>
      <c r="D4" s="73"/>
      <c r="E4" s="73"/>
      <c r="F4" s="73"/>
      <c r="G4" s="73"/>
      <c r="H4" s="73"/>
      <c r="I4" s="73"/>
      <c r="J4" s="73"/>
      <c r="K4" s="73"/>
      <c r="L4" s="73"/>
      <c r="M4" s="73"/>
      <c r="N4" s="73"/>
      <c r="O4" s="73"/>
      <c r="P4" s="74"/>
      <c r="Q4" s="74"/>
      <c r="R4" s="74"/>
      <c r="S4" s="74"/>
      <c r="T4" s="74"/>
      <c r="U4" s="74"/>
      <c r="V4" s="74"/>
      <c r="W4" s="74"/>
      <c r="X4" s="74"/>
      <c r="Y4" s="74"/>
      <c r="Z4" s="74"/>
      <c r="AA4" s="74"/>
      <c r="AB4" s="74"/>
      <c r="AC4" s="74"/>
      <c r="AD4" s="75"/>
      <c r="AE4" s="75"/>
    </row>
    <row r="5" spans="1:31" s="131" customFormat="1" ht="15" customHeight="1" x14ac:dyDescent="0.2"/>
    <row r="6" spans="1:31" s="131" customFormat="1" ht="15" customHeight="1" x14ac:dyDescent="0.2">
      <c r="A6" s="206"/>
      <c r="B6" s="206"/>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c r="AE6" s="206"/>
    </row>
    <row r="7" spans="1:31" ht="15" customHeight="1" x14ac:dyDescent="0.25">
      <c r="A7" s="76" t="s">
        <v>798</v>
      </c>
      <c r="B7" s="75"/>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row>
    <row r="8" spans="1:31" ht="15" customHeight="1" x14ac:dyDescent="0.2">
      <c r="A8" s="77" t="s">
        <v>21</v>
      </c>
      <c r="B8" s="75"/>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row>
    <row r="9" spans="1:31" ht="15" customHeight="1" x14ac:dyDescent="0.2">
      <c r="A9" s="75"/>
      <c r="B9" s="207" t="s">
        <v>34</v>
      </c>
      <c r="C9" s="207"/>
      <c r="D9" s="510">
        <v>2014</v>
      </c>
      <c r="E9" s="75"/>
      <c r="F9" s="75"/>
      <c r="G9" s="75"/>
      <c r="H9" s="75"/>
      <c r="I9" s="75"/>
      <c r="J9" s="75"/>
      <c r="K9" s="75"/>
      <c r="L9" s="75"/>
      <c r="M9" s="75"/>
      <c r="N9" s="75"/>
      <c r="O9" s="75"/>
      <c r="P9" s="75"/>
      <c r="Q9" s="75"/>
      <c r="R9" s="75"/>
      <c r="S9" s="75"/>
      <c r="T9" s="75"/>
      <c r="U9" s="75"/>
      <c r="V9" s="75"/>
      <c r="W9" s="75"/>
      <c r="X9" s="75"/>
      <c r="Y9" s="75"/>
      <c r="Z9" s="75"/>
      <c r="AA9" s="75"/>
      <c r="AB9" s="75"/>
      <c r="AC9" s="75"/>
      <c r="AD9" s="75"/>
      <c r="AE9" s="75"/>
    </row>
    <row r="10" spans="1:31" ht="15" customHeight="1" x14ac:dyDescent="0.2">
      <c r="A10" s="225"/>
      <c r="B10" s="225"/>
      <c r="C10" s="225"/>
      <c r="D10" s="225"/>
      <c r="E10" s="225"/>
      <c r="F10" s="225"/>
      <c r="G10" s="225"/>
      <c r="H10" s="225"/>
      <c r="I10" s="225"/>
      <c r="J10" s="225"/>
      <c r="K10" s="225"/>
      <c r="L10" s="225"/>
      <c r="M10" s="225"/>
      <c r="N10" s="225"/>
      <c r="O10" s="225"/>
      <c r="P10" s="225"/>
      <c r="Q10" s="225"/>
      <c r="R10" s="225"/>
      <c r="S10" s="225"/>
      <c r="T10" s="225"/>
      <c r="U10" s="225"/>
      <c r="V10" s="225"/>
      <c r="W10" s="75"/>
      <c r="X10" s="75"/>
      <c r="Y10" s="75"/>
      <c r="Z10" s="75"/>
      <c r="AA10" s="75"/>
      <c r="AB10" s="75"/>
      <c r="AC10" s="75"/>
      <c r="AD10" s="75"/>
      <c r="AE10" s="75"/>
    </row>
    <row r="11" spans="1:31" s="226" customFormat="1" ht="15" customHeight="1" x14ac:dyDescent="0.2">
      <c r="A11" s="246"/>
      <c r="B11" s="209" t="s">
        <v>249</v>
      </c>
      <c r="C11" s="210"/>
      <c r="D11" s="210"/>
      <c r="E11" s="210"/>
      <c r="F11" s="210"/>
      <c r="G11" s="210"/>
      <c r="H11" s="210"/>
      <c r="I11" s="210"/>
      <c r="J11" s="210"/>
      <c r="K11" s="210"/>
      <c r="L11" s="210"/>
      <c r="M11" s="210"/>
      <c r="N11" s="210"/>
      <c r="O11" s="210"/>
      <c r="P11" s="210"/>
      <c r="Q11" s="210"/>
      <c r="R11" s="210"/>
      <c r="S11" s="210"/>
      <c r="T11" s="210"/>
      <c r="U11" s="211"/>
      <c r="V11" s="209"/>
      <c r="W11" s="1750" t="s">
        <v>250</v>
      </c>
      <c r="X11" s="1751"/>
      <c r="Y11" s="1751" t="s">
        <v>251</v>
      </c>
      <c r="Z11" s="1751"/>
      <c r="AA11" s="229" t="s">
        <v>252</v>
      </c>
      <c r="AB11" s="1739" t="s">
        <v>42</v>
      </c>
      <c r="AC11" s="1740"/>
      <c r="AD11" s="225"/>
      <c r="AE11" s="225"/>
    </row>
    <row r="12" spans="1:31" s="226" customFormat="1" ht="21.75" customHeight="1" x14ac:dyDescent="0.2">
      <c r="A12" s="247" t="s">
        <v>253</v>
      </c>
      <c r="B12" s="213" t="s">
        <v>254</v>
      </c>
      <c r="C12" s="214"/>
      <c r="D12" s="214"/>
      <c r="E12" s="214"/>
      <c r="F12" s="214"/>
      <c r="G12" s="211"/>
      <c r="H12" s="214"/>
      <c r="I12" s="209" t="s">
        <v>255</v>
      </c>
      <c r="J12" s="214"/>
      <c r="K12" s="214"/>
      <c r="L12" s="214"/>
      <c r="M12" s="214"/>
      <c r="N12" s="211"/>
      <c r="O12" s="214"/>
      <c r="P12" s="209" t="s">
        <v>256</v>
      </c>
      <c r="Q12" s="214"/>
      <c r="R12" s="214"/>
      <c r="S12" s="214"/>
      <c r="T12" s="214"/>
      <c r="U12" s="211"/>
      <c r="V12" s="209"/>
      <c r="W12" s="1244"/>
      <c r="X12" s="231"/>
      <c r="Y12" s="232"/>
      <c r="Z12" s="232"/>
      <c r="AA12" s="233" t="s">
        <v>257</v>
      </c>
      <c r="AB12" s="1741"/>
      <c r="AC12" s="1742"/>
      <c r="AD12" s="225"/>
      <c r="AE12" s="225"/>
    </row>
    <row r="13" spans="1:31" s="226" customFormat="1" ht="38.25" customHeight="1" x14ac:dyDescent="0.2">
      <c r="A13" s="248" t="s">
        <v>258</v>
      </c>
      <c r="B13" s="1745" t="s">
        <v>733</v>
      </c>
      <c r="C13" s="1746"/>
      <c r="D13" s="1746" t="s">
        <v>734</v>
      </c>
      <c r="E13" s="1746"/>
      <c r="F13" s="234" t="s">
        <v>259</v>
      </c>
      <c r="G13" s="1747" t="s">
        <v>42</v>
      </c>
      <c r="H13" s="1746"/>
      <c r="I13" s="1745" t="s">
        <v>260</v>
      </c>
      <c r="J13" s="1746"/>
      <c r="K13" s="1746" t="s">
        <v>261</v>
      </c>
      <c r="L13" s="1746"/>
      <c r="M13" s="234" t="s">
        <v>262</v>
      </c>
      <c r="N13" s="1747" t="s">
        <v>42</v>
      </c>
      <c r="O13" s="1746"/>
      <c r="P13" s="1745" t="s">
        <v>263</v>
      </c>
      <c r="Q13" s="1746"/>
      <c r="R13" s="1746" t="s">
        <v>264</v>
      </c>
      <c r="S13" s="1746"/>
      <c r="T13" s="234" t="s">
        <v>265</v>
      </c>
      <c r="U13" s="1748" t="s">
        <v>42</v>
      </c>
      <c r="V13" s="1749"/>
      <c r="W13" s="1245"/>
      <c r="X13" s="235"/>
      <c r="Y13" s="235"/>
      <c r="Z13" s="235"/>
      <c r="AA13" s="236" t="s">
        <v>266</v>
      </c>
      <c r="AB13" s="1743"/>
      <c r="AC13" s="1744"/>
      <c r="AD13" s="225"/>
      <c r="AE13" s="225"/>
    </row>
    <row r="14" spans="1:31" s="226" customFormat="1" ht="31.5" customHeight="1" x14ac:dyDescent="0.2">
      <c r="A14" s="600" t="s">
        <v>837</v>
      </c>
      <c r="B14" s="601">
        <f>SUM(B15:B16)</f>
        <v>9059.9052038999998</v>
      </c>
      <c r="C14" s="602"/>
      <c r="D14" s="602">
        <f>SUM(D15:D16)</f>
        <v>933.79039090000003</v>
      </c>
      <c r="E14" s="602"/>
      <c r="F14" s="601"/>
      <c r="G14" s="1165">
        <f>SUM(G15:G16)</f>
        <v>9993.6955947999995</v>
      </c>
      <c r="H14" s="1181"/>
      <c r="I14" s="601">
        <f>SUM(I15:I16)</f>
        <v>6714.7370430000001</v>
      </c>
      <c r="J14" s="602"/>
      <c r="K14" s="602">
        <f>SUM(K15:K16)</f>
        <v>3278.9585430000002</v>
      </c>
      <c r="L14" s="602"/>
      <c r="M14" s="601"/>
      <c r="N14" s="1165">
        <f>SUM(I14,K14)</f>
        <v>9993.6955859999998</v>
      </c>
      <c r="O14" s="1181"/>
      <c r="P14" s="601">
        <f>SUM(P15:P16)</f>
        <v>8824.6755720000001</v>
      </c>
      <c r="Q14" s="602"/>
      <c r="R14" s="602">
        <f>SUM(R15:R16)</f>
        <v>1169.0199229999998</v>
      </c>
      <c r="S14" s="602"/>
      <c r="T14" s="601"/>
      <c r="U14" s="1165">
        <f>SUM(P14,R14)</f>
        <v>9993.6954949999999</v>
      </c>
      <c r="V14" s="1181"/>
      <c r="W14" s="1214">
        <f>SUM(W15:W16)</f>
        <v>377.79305949999991</v>
      </c>
      <c r="X14" s="1198"/>
      <c r="Y14" s="1227">
        <f>SUM(Y15:Y16)</f>
        <v>78.409880299999998</v>
      </c>
      <c r="Z14" s="1198"/>
      <c r="AA14" s="601">
        <f>SUM(AA15:AA16)</f>
        <v>142.56341829999997</v>
      </c>
      <c r="AB14" s="1165">
        <f>SUM(AB15:AB16)</f>
        <v>598.76635809999993</v>
      </c>
      <c r="AC14" s="1181"/>
      <c r="AD14" s="586"/>
      <c r="AE14" s="75"/>
    </row>
    <row r="15" spans="1:31" s="226" customFormat="1" ht="15" customHeight="1" x14ac:dyDescent="0.2">
      <c r="A15" s="704" t="s">
        <v>793</v>
      </c>
      <c r="B15" s="705">
        <f>7.1281709+ 14.256342+14.256342+28.512684+14.256342+21.384513+42.769025+14.256342+ 35.640854+64.153538+71.281709+49.897196+ 49.897196+42.769025+78.40988 + 114.05073</f>
        <v>662.91988890000005</v>
      </c>
      <c r="C15" s="706"/>
      <c r="D15" s="706">
        <f>7.1281709+7.1281709+ 7.1281709+7.1281709+ 7.1281709</f>
        <v>35.640854499999996</v>
      </c>
      <c r="E15" s="706"/>
      <c r="F15" s="1005"/>
      <c r="G15" s="1166">
        <f>SUM(F15,D15,B15)</f>
        <v>698.56074340000009</v>
      </c>
      <c r="H15" s="1182"/>
      <c r="I15" s="1162">
        <f>7.128171+14.25634 + 7.128171 +28.51268 + 14.25634+ 21.38451  +42.76903+ 7.128171+ 35.64085+64.15354+71.28171+49.8972  +49.8972 + 42.76903+ 64.15354 +114.0507</f>
        <v>634.40718300000003</v>
      </c>
      <c r="J15" s="706"/>
      <c r="K15" s="706">
        <f>7.128171+ 7.128171+ 7.128171+7.128171+7.128171 + 7.128171 + 7.128171  +14.25634</f>
        <v>64.153537</v>
      </c>
      <c r="L15" s="706"/>
      <c r="M15" s="1005"/>
      <c r="N15" s="1166">
        <f t="shared" ref="N15:N78" si="0">SUM(I15,K15)</f>
        <v>698.56072000000006</v>
      </c>
      <c r="O15" s="1182"/>
      <c r="P15" s="706">
        <f>7.128171+14.25634+ 7.128171+ 21.38451+ 14.25634+21.38451+35.64085+14.25634+35.64085+57.02537+78.40988+ 49.8972+ 42.76903+ 49.8972+78.40988+92.66622</f>
        <v>620.15086199999996</v>
      </c>
      <c r="Q15" s="706"/>
      <c r="R15" s="706">
        <f xml:space="preserve"> 7.128171+7.128171 +7.128171 + 7.128171+7.128171+7.128171+7.128171 +7.128171  + 21.38451</f>
        <v>78.409878000000006</v>
      </c>
      <c r="S15" s="706"/>
      <c r="T15" s="1005"/>
      <c r="U15" s="1166">
        <f t="shared" ref="U15:U78" si="1">SUM(P15,R15)</f>
        <v>698.56074000000001</v>
      </c>
      <c r="V15" s="1197"/>
      <c r="W15" s="705">
        <v>7.1281708999999998</v>
      </c>
      <c r="X15" s="1163"/>
      <c r="Y15" s="1228">
        <f>7.1281709+7.1281709+7.1281709</f>
        <v>21.384512699999998</v>
      </c>
      <c r="Z15" s="1163"/>
      <c r="AA15" s="1006">
        <v>7.1281708999999998</v>
      </c>
      <c r="AB15" s="1166">
        <f>SUM(AA15,Y15,W15)</f>
        <v>35.640854499999996</v>
      </c>
      <c r="AC15" s="1182"/>
      <c r="AD15" s="586"/>
      <c r="AE15" s="75"/>
    </row>
    <row r="16" spans="1:31" s="226" customFormat="1" ht="15" customHeight="1" x14ac:dyDescent="0.2">
      <c r="A16" s="629" t="s">
        <v>678</v>
      </c>
      <c r="B16" s="514">
        <f>SUM(B17:B39)+819.73965+563.1255</f>
        <v>8396.9853149999999</v>
      </c>
      <c r="C16" s="515"/>
      <c r="D16" s="515">
        <f>SUM(D17:D39)+235.22964+149.69159</f>
        <v>898.14953639999999</v>
      </c>
      <c r="E16" s="515"/>
      <c r="F16" s="514"/>
      <c r="G16" s="1167">
        <f>SUM(F16,D16,B16)</f>
        <v>9295.1348514000001</v>
      </c>
      <c r="H16" s="1183"/>
      <c r="I16" s="514">
        <f>SUM(I17:I40)+420.5621+270.8705</f>
        <v>6080.3298599999998</v>
      </c>
      <c r="J16" s="515"/>
      <c r="K16" s="515">
        <f>SUM(K17:K39)+513.2283+342.1522 +121.1789+99.79439</f>
        <v>3214.805006</v>
      </c>
      <c r="L16" s="515"/>
      <c r="M16" s="514"/>
      <c r="N16" s="1167">
        <f t="shared" si="0"/>
        <v>9295.1348660000003</v>
      </c>
      <c r="O16" s="1183"/>
      <c r="P16" s="514">
        <f>SUM(P17:P40)+ 869.6368+541.741</f>
        <v>8204.5247099999997</v>
      </c>
      <c r="Q16" s="515"/>
      <c r="R16" s="515">
        <f>SUM(R17:R39)+185.3324 +171.0761</f>
        <v>1090.6100449999999</v>
      </c>
      <c r="S16" s="515"/>
      <c r="T16" s="514"/>
      <c r="U16" s="1167">
        <f t="shared" si="1"/>
        <v>9295.1347549999991</v>
      </c>
      <c r="V16" s="1183"/>
      <c r="W16" s="1215">
        <f>SUM(W17:W40)+57.025367+ 149.69159</f>
        <v>370.66488859999993</v>
      </c>
      <c r="X16" s="1199"/>
      <c r="Y16" s="1229">
        <f>SUM(Y17:Y40)+7.1281709 +28.512684</f>
        <v>57.025367599999996</v>
      </c>
      <c r="Z16" s="1199"/>
      <c r="AA16" s="514">
        <f>SUM(AA17:AA40)+28.512684+35.640854</f>
        <v>135.43524739999998</v>
      </c>
      <c r="AB16" s="1167">
        <f t="shared" ref="AB16:AB40" si="2">SUM(AA16,Y16,W16)</f>
        <v>563.12550359999989</v>
      </c>
      <c r="AC16" s="1183"/>
      <c r="AD16" s="225"/>
      <c r="AE16" s="75"/>
    </row>
    <row r="17" spans="1:31" s="226" customFormat="1" ht="15" customHeight="1" x14ac:dyDescent="0.2">
      <c r="A17" s="632">
        <v>1990</v>
      </c>
      <c r="B17" s="581">
        <v>121.17891</v>
      </c>
      <c r="C17" s="582"/>
      <c r="D17" s="582">
        <v>7.1281708999999998</v>
      </c>
      <c r="E17" s="582"/>
      <c r="F17" s="581"/>
      <c r="G17" s="1168">
        <f t="shared" ref="G17:G40" si="3">SUM(F17,D17,B17)</f>
        <v>128.30708089999999</v>
      </c>
      <c r="H17" s="1184"/>
      <c r="I17" s="581">
        <v>128.30709999999999</v>
      </c>
      <c r="J17" s="582"/>
      <c r="K17" s="582">
        <v>0</v>
      </c>
      <c r="L17" s="582"/>
      <c r="M17" s="581"/>
      <c r="N17" s="1168">
        <f t="shared" si="0"/>
        <v>128.30709999999999</v>
      </c>
      <c r="O17" s="1184"/>
      <c r="P17" s="581">
        <v>114.05070000000001</v>
      </c>
      <c r="Q17" s="582"/>
      <c r="R17" s="582">
        <v>14.25634</v>
      </c>
      <c r="S17" s="582"/>
      <c r="T17" s="581"/>
      <c r="U17" s="1168">
        <f t="shared" si="1"/>
        <v>128.30704</v>
      </c>
      <c r="V17" s="1184"/>
      <c r="W17" s="1216">
        <v>0</v>
      </c>
      <c r="X17" s="1200"/>
      <c r="Y17" s="1230">
        <v>0</v>
      </c>
      <c r="Z17" s="1200"/>
      <c r="AA17" s="581">
        <v>0</v>
      </c>
      <c r="AB17" s="1168">
        <f t="shared" si="2"/>
        <v>0</v>
      </c>
      <c r="AC17" s="1184"/>
      <c r="AD17" s="225"/>
      <c r="AE17" s="75"/>
    </row>
    <row r="18" spans="1:31" s="226" customFormat="1" ht="15" customHeight="1" x14ac:dyDescent="0.2">
      <c r="A18" s="632">
        <v>1991</v>
      </c>
      <c r="B18" s="581">
        <v>135.435247</v>
      </c>
      <c r="C18" s="582"/>
      <c r="D18" s="582">
        <v>14.256342</v>
      </c>
      <c r="E18" s="582"/>
      <c r="F18" s="581"/>
      <c r="G18" s="1168">
        <f t="shared" si="3"/>
        <v>149.69158899999999</v>
      </c>
      <c r="H18" s="1184"/>
      <c r="I18" s="581">
        <v>121.1789</v>
      </c>
      <c r="J18" s="582"/>
      <c r="K18" s="582">
        <v>28.51268</v>
      </c>
      <c r="L18" s="582"/>
      <c r="M18" s="581"/>
      <c r="N18" s="1168">
        <f t="shared" si="0"/>
        <v>149.69157999999999</v>
      </c>
      <c r="O18" s="1184"/>
      <c r="P18" s="581">
        <v>128.30709999999999</v>
      </c>
      <c r="Q18" s="582"/>
      <c r="R18" s="582">
        <v>21.384509999999999</v>
      </c>
      <c r="S18" s="582"/>
      <c r="T18" s="581"/>
      <c r="U18" s="1168">
        <f t="shared" si="1"/>
        <v>149.69161</v>
      </c>
      <c r="V18" s="1184"/>
      <c r="W18" s="1216">
        <v>0</v>
      </c>
      <c r="X18" s="1200"/>
      <c r="Y18" s="1230">
        <v>0</v>
      </c>
      <c r="Z18" s="1200"/>
      <c r="AA18" s="581">
        <v>0</v>
      </c>
      <c r="AB18" s="1168">
        <f t="shared" si="2"/>
        <v>0</v>
      </c>
      <c r="AC18" s="1184"/>
      <c r="AD18" s="586"/>
      <c r="AE18" s="75"/>
    </row>
    <row r="19" spans="1:31" s="226" customFormat="1" ht="15" customHeight="1" x14ac:dyDescent="0.2">
      <c r="A19" s="632">
        <v>1992</v>
      </c>
      <c r="B19" s="581">
        <v>121.17891</v>
      </c>
      <c r="C19" s="582"/>
      <c r="D19" s="582">
        <v>7.1281708999999998</v>
      </c>
      <c r="E19" s="582"/>
      <c r="F19" s="581"/>
      <c r="G19" s="1168">
        <f t="shared" si="3"/>
        <v>128.30708089999999</v>
      </c>
      <c r="H19" s="1184"/>
      <c r="I19" s="581">
        <v>114.05070000000001</v>
      </c>
      <c r="J19" s="582"/>
      <c r="K19" s="582">
        <v>14.25634</v>
      </c>
      <c r="L19" s="582"/>
      <c r="M19" s="581"/>
      <c r="N19" s="1168">
        <f t="shared" si="0"/>
        <v>128.30704</v>
      </c>
      <c r="O19" s="1184"/>
      <c r="P19" s="581">
        <v>121.1789</v>
      </c>
      <c r="Q19" s="582"/>
      <c r="R19" s="582">
        <v>7.128171</v>
      </c>
      <c r="S19" s="582"/>
      <c r="T19" s="581"/>
      <c r="U19" s="1168">
        <f t="shared" si="1"/>
        <v>128.30707100000001</v>
      </c>
      <c r="V19" s="1184"/>
      <c r="W19" s="1216">
        <v>0</v>
      </c>
      <c r="X19" s="1200"/>
      <c r="Y19" s="1230">
        <v>0</v>
      </c>
      <c r="Z19" s="1200"/>
      <c r="AA19" s="581">
        <v>7.1281708999999998</v>
      </c>
      <c r="AB19" s="1168">
        <f t="shared" si="2"/>
        <v>7.1281708999999998</v>
      </c>
      <c r="AC19" s="1184"/>
      <c r="AD19" s="225"/>
      <c r="AE19" s="75"/>
    </row>
    <row r="20" spans="1:31" s="226" customFormat="1" ht="15" customHeight="1" x14ac:dyDescent="0.2">
      <c r="A20" s="632">
        <v>1993</v>
      </c>
      <c r="B20" s="581">
        <v>106.92256</v>
      </c>
      <c r="C20" s="582"/>
      <c r="D20" s="582">
        <v>7.1281708999999998</v>
      </c>
      <c r="E20" s="582"/>
      <c r="F20" s="581"/>
      <c r="G20" s="1168">
        <f t="shared" si="3"/>
        <v>114.0507309</v>
      </c>
      <c r="H20" s="1184"/>
      <c r="I20" s="581">
        <v>106.9226</v>
      </c>
      <c r="J20" s="582"/>
      <c r="K20" s="582">
        <v>7.128171</v>
      </c>
      <c r="L20" s="582"/>
      <c r="M20" s="581"/>
      <c r="N20" s="1168">
        <f t="shared" si="0"/>
        <v>114.050771</v>
      </c>
      <c r="O20" s="1184"/>
      <c r="P20" s="581">
        <v>106.9226</v>
      </c>
      <c r="Q20" s="582"/>
      <c r="R20" s="582">
        <v>7.128171</v>
      </c>
      <c r="S20" s="582"/>
      <c r="T20" s="581"/>
      <c r="U20" s="1168">
        <f t="shared" si="1"/>
        <v>114.050771</v>
      </c>
      <c r="V20" s="1184"/>
      <c r="W20" s="1216">
        <v>0</v>
      </c>
      <c r="X20" s="1200"/>
      <c r="Y20" s="1230">
        <v>0</v>
      </c>
      <c r="Z20" s="1200"/>
      <c r="AA20" s="581">
        <v>7.1281708999999998</v>
      </c>
      <c r="AB20" s="1168">
        <f t="shared" si="2"/>
        <v>7.1281708999999998</v>
      </c>
      <c r="AC20" s="1184"/>
      <c r="AD20" s="75"/>
      <c r="AE20" s="75"/>
    </row>
    <row r="21" spans="1:31" s="226" customFormat="1" ht="15" customHeight="1" x14ac:dyDescent="0.2">
      <c r="A21" s="632">
        <v>1994</v>
      </c>
      <c r="B21" s="581">
        <v>99.794392999999999</v>
      </c>
      <c r="C21" s="582"/>
      <c r="D21" s="582">
        <v>7.1281708999999998</v>
      </c>
      <c r="E21" s="582"/>
      <c r="F21" s="581"/>
      <c r="G21" s="1168">
        <f t="shared" si="3"/>
        <v>106.9225639</v>
      </c>
      <c r="H21" s="1184"/>
      <c r="I21" s="581">
        <v>99.794390000000007</v>
      </c>
      <c r="J21" s="582"/>
      <c r="K21" s="582">
        <v>7.128171</v>
      </c>
      <c r="L21" s="582"/>
      <c r="M21" s="581"/>
      <c r="N21" s="1168">
        <f t="shared" si="0"/>
        <v>106.922561</v>
      </c>
      <c r="O21" s="1184"/>
      <c r="P21" s="581">
        <v>99.794390000000007</v>
      </c>
      <c r="Q21" s="582"/>
      <c r="R21" s="582">
        <v>7.128171</v>
      </c>
      <c r="S21" s="582"/>
      <c r="T21" s="581"/>
      <c r="U21" s="1168">
        <f t="shared" si="1"/>
        <v>106.922561</v>
      </c>
      <c r="V21" s="1184"/>
      <c r="W21" s="1216">
        <v>0</v>
      </c>
      <c r="X21" s="1200"/>
      <c r="Y21" s="1230">
        <v>0</v>
      </c>
      <c r="Z21" s="1200"/>
      <c r="AA21" s="581">
        <v>0</v>
      </c>
      <c r="AB21" s="1168">
        <f t="shared" si="2"/>
        <v>0</v>
      </c>
      <c r="AC21" s="1184"/>
      <c r="AD21" s="75"/>
      <c r="AE21" s="75"/>
    </row>
    <row r="22" spans="1:31" s="226" customFormat="1" ht="15" customHeight="1" x14ac:dyDescent="0.2">
      <c r="A22" s="632">
        <v>1995</v>
      </c>
      <c r="B22" s="581">
        <v>142.56342000000001</v>
      </c>
      <c r="C22" s="582"/>
      <c r="D22" s="582">
        <v>0</v>
      </c>
      <c r="E22" s="582"/>
      <c r="F22" s="581"/>
      <c r="G22" s="1168">
        <f t="shared" si="3"/>
        <v>142.56342000000001</v>
      </c>
      <c r="H22" s="1184"/>
      <c r="I22" s="581">
        <v>121.1789</v>
      </c>
      <c r="J22" s="582"/>
      <c r="K22" s="582">
        <v>21.384509999999999</v>
      </c>
      <c r="L22" s="582"/>
      <c r="M22" s="581"/>
      <c r="N22" s="1168">
        <f t="shared" si="0"/>
        <v>142.56341</v>
      </c>
      <c r="O22" s="1184"/>
      <c r="P22" s="581">
        <v>135.43520000000001</v>
      </c>
      <c r="Q22" s="582"/>
      <c r="R22" s="582">
        <v>7.128171</v>
      </c>
      <c r="S22" s="582"/>
      <c r="T22" s="581"/>
      <c r="U22" s="1168">
        <f t="shared" si="1"/>
        <v>142.56337100000002</v>
      </c>
      <c r="V22" s="1184"/>
      <c r="W22" s="1216">
        <v>14.256342</v>
      </c>
      <c r="X22" s="1200"/>
      <c r="Y22" s="1230">
        <v>0</v>
      </c>
      <c r="Z22" s="1200"/>
      <c r="AA22" s="581">
        <v>0</v>
      </c>
      <c r="AB22" s="1168">
        <f t="shared" si="2"/>
        <v>14.256342</v>
      </c>
      <c r="AC22" s="1184"/>
      <c r="AD22" s="75"/>
      <c r="AE22" s="75"/>
    </row>
    <row r="23" spans="1:31" s="226" customFormat="1" ht="15" customHeight="1" x14ac:dyDescent="0.2">
      <c r="A23" s="632">
        <v>1996</v>
      </c>
      <c r="B23" s="581">
        <v>92.666222000000005</v>
      </c>
      <c r="C23" s="582"/>
      <c r="D23" s="582">
        <v>14.256342</v>
      </c>
      <c r="E23" s="582"/>
      <c r="F23" s="581"/>
      <c r="G23" s="1168">
        <f t="shared" si="3"/>
        <v>106.92256400000001</v>
      </c>
      <c r="H23" s="1184"/>
      <c r="I23" s="581">
        <v>78.409880000000001</v>
      </c>
      <c r="J23" s="582"/>
      <c r="K23" s="582">
        <v>28.51268</v>
      </c>
      <c r="L23" s="582"/>
      <c r="M23" s="581"/>
      <c r="N23" s="1168">
        <f t="shared" si="0"/>
        <v>106.92256</v>
      </c>
      <c r="O23" s="1184"/>
      <c r="P23" s="581">
        <v>92.666219999999996</v>
      </c>
      <c r="Q23" s="582"/>
      <c r="R23" s="582">
        <v>14.25634</v>
      </c>
      <c r="S23" s="582"/>
      <c r="T23" s="581"/>
      <c r="U23" s="1168">
        <f t="shared" si="1"/>
        <v>106.92255999999999</v>
      </c>
      <c r="V23" s="1184"/>
      <c r="W23" s="1216">
        <v>7.1281708999999998</v>
      </c>
      <c r="X23" s="1200"/>
      <c r="Y23" s="1230">
        <v>0</v>
      </c>
      <c r="Z23" s="1200"/>
      <c r="AA23" s="581">
        <v>0</v>
      </c>
      <c r="AB23" s="1168">
        <f t="shared" si="2"/>
        <v>7.1281708999999998</v>
      </c>
      <c r="AC23" s="1184"/>
      <c r="AD23" s="75"/>
      <c r="AE23" s="75"/>
    </row>
    <row r="24" spans="1:31" s="226" customFormat="1" ht="15" customHeight="1" x14ac:dyDescent="0.2">
      <c r="A24" s="632">
        <v>1997</v>
      </c>
      <c r="B24" s="581">
        <v>128.30708000000001</v>
      </c>
      <c r="C24" s="582"/>
      <c r="D24" s="582">
        <v>0</v>
      </c>
      <c r="E24" s="582"/>
      <c r="F24" s="581"/>
      <c r="G24" s="1168">
        <f t="shared" si="3"/>
        <v>128.30708000000001</v>
      </c>
      <c r="H24" s="1184"/>
      <c r="I24" s="581">
        <v>106.9226</v>
      </c>
      <c r="J24" s="582"/>
      <c r="K24" s="582">
        <f>14.25634 +7.128171</f>
        <v>21.384511</v>
      </c>
      <c r="L24" s="582"/>
      <c r="M24" s="581"/>
      <c r="N24" s="1168">
        <f t="shared" si="0"/>
        <v>128.30711099999999</v>
      </c>
      <c r="O24" s="1184"/>
      <c r="P24" s="581">
        <v>128.30709999999999</v>
      </c>
      <c r="Q24" s="582"/>
      <c r="R24" s="582">
        <v>0</v>
      </c>
      <c r="S24" s="582"/>
      <c r="T24" s="581"/>
      <c r="U24" s="1168">
        <f t="shared" si="1"/>
        <v>128.30709999999999</v>
      </c>
      <c r="V24" s="1184"/>
      <c r="W24" s="1216">
        <v>0</v>
      </c>
      <c r="X24" s="1200"/>
      <c r="Y24" s="1230">
        <v>0</v>
      </c>
      <c r="Z24" s="1200"/>
      <c r="AA24" s="581">
        <v>0</v>
      </c>
      <c r="AB24" s="1168">
        <f t="shared" si="2"/>
        <v>0</v>
      </c>
      <c r="AC24" s="1184"/>
      <c r="AD24" s="75"/>
      <c r="AE24" s="75"/>
    </row>
    <row r="25" spans="1:31" s="226" customFormat="1" ht="15" customHeight="1" x14ac:dyDescent="0.2">
      <c r="A25" s="632">
        <v>1998</v>
      </c>
      <c r="B25" s="581">
        <v>106.92256</v>
      </c>
      <c r="C25" s="582"/>
      <c r="D25" s="582">
        <v>14.256342</v>
      </c>
      <c r="E25" s="582"/>
      <c r="F25" s="581"/>
      <c r="G25" s="1168">
        <f t="shared" si="3"/>
        <v>121.17890200000001</v>
      </c>
      <c r="H25" s="1184"/>
      <c r="I25" s="581">
        <v>99.794390000000007</v>
      </c>
      <c r="J25" s="582"/>
      <c r="K25" s="582">
        <f>14.25634+ 7.128171</f>
        <v>21.384511</v>
      </c>
      <c r="L25" s="582"/>
      <c r="M25" s="581"/>
      <c r="N25" s="1168">
        <f t="shared" si="0"/>
        <v>121.17890100000001</v>
      </c>
      <c r="O25" s="1184"/>
      <c r="P25" s="581">
        <v>114.05070000000001</v>
      </c>
      <c r="Q25" s="582"/>
      <c r="R25" s="582">
        <v>7.128171</v>
      </c>
      <c r="S25" s="582"/>
      <c r="T25" s="581"/>
      <c r="U25" s="1168">
        <f t="shared" si="1"/>
        <v>121.178871</v>
      </c>
      <c r="V25" s="1184"/>
      <c r="W25" s="1216">
        <v>7.1281708999999998</v>
      </c>
      <c r="X25" s="1200"/>
      <c r="Y25" s="1230">
        <v>0</v>
      </c>
      <c r="Z25" s="1200"/>
      <c r="AA25" s="581">
        <v>7.1281708999999998</v>
      </c>
      <c r="AB25" s="1168">
        <f t="shared" si="2"/>
        <v>14.2563418</v>
      </c>
      <c r="AC25" s="1184"/>
      <c r="AD25" s="75"/>
      <c r="AE25" s="75"/>
    </row>
    <row r="26" spans="1:31" s="226" customFormat="1" ht="15" customHeight="1" x14ac:dyDescent="0.2">
      <c r="A26" s="632">
        <v>1999</v>
      </c>
      <c r="B26" s="581">
        <v>149.69158999999999</v>
      </c>
      <c r="C26" s="582"/>
      <c r="D26" s="582">
        <v>0</v>
      </c>
      <c r="E26" s="582"/>
      <c r="F26" s="581"/>
      <c r="G26" s="1168">
        <f t="shared" si="3"/>
        <v>149.69158999999999</v>
      </c>
      <c r="H26" s="1184"/>
      <c r="I26" s="581">
        <v>142.5634</v>
      </c>
      <c r="J26" s="582"/>
      <c r="K26" s="582">
        <v>7.128171</v>
      </c>
      <c r="L26" s="582"/>
      <c r="M26" s="581"/>
      <c r="N26" s="1168">
        <f t="shared" si="0"/>
        <v>149.69157100000001</v>
      </c>
      <c r="O26" s="1184"/>
      <c r="P26" s="581">
        <v>149.69159999999999</v>
      </c>
      <c r="Q26" s="582"/>
      <c r="R26" s="582">
        <v>0</v>
      </c>
      <c r="S26" s="582"/>
      <c r="T26" s="581"/>
      <c r="U26" s="1168">
        <f t="shared" si="1"/>
        <v>149.69159999999999</v>
      </c>
      <c r="V26" s="1184"/>
      <c r="W26" s="1216">
        <v>7.1281708999999998</v>
      </c>
      <c r="X26" s="1200"/>
      <c r="Y26" s="1230">
        <v>0</v>
      </c>
      <c r="Z26" s="1200"/>
      <c r="AA26" s="581">
        <v>0</v>
      </c>
      <c r="AB26" s="1168">
        <f t="shared" si="2"/>
        <v>7.1281708999999998</v>
      </c>
      <c r="AC26" s="1184"/>
      <c r="AD26" s="75"/>
      <c r="AE26" s="75"/>
    </row>
    <row r="27" spans="1:31" s="226" customFormat="1" ht="15" customHeight="1" x14ac:dyDescent="0.2">
      <c r="A27" s="632">
        <v>2000</v>
      </c>
      <c r="B27" s="514">
        <v>242.35781</v>
      </c>
      <c r="C27" s="515"/>
      <c r="D27" s="515">
        <v>0</v>
      </c>
      <c r="E27" s="515"/>
      <c r="F27" s="514"/>
      <c r="G27" s="1167">
        <f t="shared" si="3"/>
        <v>242.35781</v>
      </c>
      <c r="H27" s="1183"/>
      <c r="I27" s="514">
        <v>213.8451</v>
      </c>
      <c r="J27" s="515"/>
      <c r="K27" s="515">
        <v>28.51268</v>
      </c>
      <c r="L27" s="515"/>
      <c r="M27" s="514"/>
      <c r="N27" s="1167">
        <f t="shared" si="0"/>
        <v>242.35777999999999</v>
      </c>
      <c r="O27" s="1183"/>
      <c r="P27" s="514">
        <v>220.97329999999999</v>
      </c>
      <c r="Q27" s="515"/>
      <c r="R27" s="515">
        <v>21.384509999999999</v>
      </c>
      <c r="S27" s="515"/>
      <c r="T27" s="514"/>
      <c r="U27" s="1167">
        <f t="shared" si="1"/>
        <v>242.35781</v>
      </c>
      <c r="V27" s="1183"/>
      <c r="W27" s="1215">
        <v>7.1281708999999998</v>
      </c>
      <c r="X27" s="1199"/>
      <c r="Y27" s="1229">
        <v>0</v>
      </c>
      <c r="Z27" s="1199"/>
      <c r="AA27" s="514">
        <v>0</v>
      </c>
      <c r="AB27" s="1167">
        <f t="shared" si="2"/>
        <v>7.1281708999999998</v>
      </c>
      <c r="AC27" s="1183"/>
      <c r="AD27" s="75"/>
      <c r="AE27" s="75"/>
    </row>
    <row r="28" spans="1:31" s="226" customFormat="1" ht="15" customHeight="1" x14ac:dyDescent="0.2">
      <c r="A28" s="632">
        <v>2001</v>
      </c>
      <c r="B28" s="514">
        <v>178.20427000000001</v>
      </c>
      <c r="C28" s="513"/>
      <c r="D28" s="513">
        <v>7.1281708999999998</v>
      </c>
      <c r="E28" s="513"/>
      <c r="F28" s="512"/>
      <c r="G28" s="1169">
        <f t="shared" si="3"/>
        <v>185.33244089999999</v>
      </c>
      <c r="H28" s="1185"/>
      <c r="I28" s="512">
        <v>156.81979999999999</v>
      </c>
      <c r="J28" s="513"/>
      <c r="K28" s="513">
        <v>28.51268</v>
      </c>
      <c r="L28" s="513"/>
      <c r="M28" s="512"/>
      <c r="N28" s="1169">
        <f t="shared" si="0"/>
        <v>185.33247999999998</v>
      </c>
      <c r="O28" s="1185"/>
      <c r="P28" s="512">
        <v>163.9479</v>
      </c>
      <c r="Q28" s="513"/>
      <c r="R28" s="513">
        <v>21.384509999999999</v>
      </c>
      <c r="S28" s="513"/>
      <c r="T28" s="512"/>
      <c r="U28" s="1169">
        <f t="shared" si="1"/>
        <v>185.33241000000001</v>
      </c>
      <c r="V28" s="1185"/>
      <c r="W28" s="1217">
        <v>0</v>
      </c>
      <c r="X28" s="1201"/>
      <c r="Y28" s="1231">
        <v>0</v>
      </c>
      <c r="Z28" s="1201"/>
      <c r="AA28" s="512">
        <v>7.1281708999999998</v>
      </c>
      <c r="AB28" s="1169">
        <f t="shared" si="2"/>
        <v>7.1281708999999998</v>
      </c>
      <c r="AC28" s="1185"/>
      <c r="AD28" s="75"/>
      <c r="AE28" s="75"/>
    </row>
    <row r="29" spans="1:31" s="226" customFormat="1" ht="15" customHeight="1" x14ac:dyDescent="0.2">
      <c r="A29" s="632">
        <v>2002</v>
      </c>
      <c r="B29" s="514">
        <v>192.46061</v>
      </c>
      <c r="C29" s="584"/>
      <c r="D29" s="584">
        <v>0</v>
      </c>
      <c r="E29" s="584"/>
      <c r="F29" s="585"/>
      <c r="G29" s="1170">
        <f t="shared" si="3"/>
        <v>192.46061</v>
      </c>
      <c r="H29" s="1186"/>
      <c r="I29" s="585">
        <v>178.20429999999999</v>
      </c>
      <c r="J29" s="584"/>
      <c r="K29" s="584">
        <v>14.25634</v>
      </c>
      <c r="L29" s="584"/>
      <c r="M29" s="585"/>
      <c r="N29" s="1170">
        <f t="shared" si="0"/>
        <v>192.46063999999998</v>
      </c>
      <c r="O29" s="1186"/>
      <c r="P29" s="585">
        <v>192.4606</v>
      </c>
      <c r="Q29" s="584"/>
      <c r="R29" s="584">
        <v>0</v>
      </c>
      <c r="S29" s="584"/>
      <c r="T29" s="585"/>
      <c r="U29" s="1170">
        <f t="shared" si="1"/>
        <v>192.4606</v>
      </c>
      <c r="V29" s="1186"/>
      <c r="W29" s="1218">
        <v>0</v>
      </c>
      <c r="X29" s="1202"/>
      <c r="Y29" s="1232">
        <v>0</v>
      </c>
      <c r="Z29" s="1202"/>
      <c r="AA29" s="585">
        <v>0</v>
      </c>
      <c r="AB29" s="1170">
        <f t="shared" si="2"/>
        <v>0</v>
      </c>
      <c r="AC29" s="1186"/>
      <c r="AD29" s="75"/>
      <c r="AE29" s="75"/>
    </row>
    <row r="30" spans="1:31" s="226" customFormat="1" ht="15" customHeight="1" x14ac:dyDescent="0.2">
      <c r="A30" s="632">
        <v>2003</v>
      </c>
      <c r="B30" s="514">
        <v>292.25501000000003</v>
      </c>
      <c r="C30" s="584"/>
      <c r="D30" s="584">
        <v>21.384512999999998</v>
      </c>
      <c r="E30" s="584"/>
      <c r="F30" s="585"/>
      <c r="G30" s="1170">
        <f t="shared" si="3"/>
        <v>313.63952300000005</v>
      </c>
      <c r="H30" s="1186"/>
      <c r="I30" s="585">
        <v>270.87049999999999</v>
      </c>
      <c r="J30" s="584"/>
      <c r="K30" s="584">
        <v>42.769030000000001</v>
      </c>
      <c r="L30" s="584"/>
      <c r="M30" s="585"/>
      <c r="N30" s="1170">
        <f t="shared" si="0"/>
        <v>313.63952999999998</v>
      </c>
      <c r="O30" s="1186"/>
      <c r="P30" s="585">
        <v>292.255</v>
      </c>
      <c r="Q30" s="584"/>
      <c r="R30" s="584">
        <v>21.384509999999999</v>
      </c>
      <c r="S30" s="584"/>
      <c r="T30" s="585"/>
      <c r="U30" s="1170">
        <f t="shared" si="1"/>
        <v>313.63950999999997</v>
      </c>
      <c r="V30" s="1186"/>
      <c r="W30" s="1218">
        <v>0</v>
      </c>
      <c r="X30" s="1202"/>
      <c r="Y30" s="1232">
        <v>0</v>
      </c>
      <c r="Z30" s="1202"/>
      <c r="AA30" s="585">
        <v>0</v>
      </c>
      <c r="AB30" s="1170">
        <f t="shared" si="2"/>
        <v>0</v>
      </c>
      <c r="AC30" s="1186"/>
      <c r="AD30" s="75"/>
      <c r="AE30" s="75"/>
    </row>
    <row r="31" spans="1:31" s="226" customFormat="1" ht="15" customHeight="1" x14ac:dyDescent="0.2">
      <c r="A31" s="632">
        <v>2004</v>
      </c>
      <c r="B31" s="514">
        <v>249.48598000000001</v>
      </c>
      <c r="C31" s="584"/>
      <c r="D31" s="584">
        <v>14.256342</v>
      </c>
      <c r="E31" s="584"/>
      <c r="F31" s="585"/>
      <c r="G31" s="1170">
        <f t="shared" si="3"/>
        <v>263.742322</v>
      </c>
      <c r="H31" s="1186"/>
      <c r="I31" s="585">
        <v>171.0761</v>
      </c>
      <c r="J31" s="584"/>
      <c r="K31" s="584">
        <v>92.666219999999996</v>
      </c>
      <c r="L31" s="584"/>
      <c r="M31" s="585"/>
      <c r="N31" s="1170">
        <f t="shared" si="0"/>
        <v>263.74232000000001</v>
      </c>
      <c r="O31" s="1186"/>
      <c r="P31" s="585">
        <v>249.48599999999999</v>
      </c>
      <c r="Q31" s="584"/>
      <c r="R31" s="584">
        <v>14.25634</v>
      </c>
      <c r="S31" s="584"/>
      <c r="T31" s="585"/>
      <c r="U31" s="1170">
        <f t="shared" si="1"/>
        <v>263.74234000000001</v>
      </c>
      <c r="V31" s="1186"/>
      <c r="W31" s="1218">
        <v>0</v>
      </c>
      <c r="X31" s="1202"/>
      <c r="Y31" s="1232">
        <v>0</v>
      </c>
      <c r="Z31" s="1202"/>
      <c r="AA31" s="585">
        <v>0</v>
      </c>
      <c r="AB31" s="1170">
        <f t="shared" si="2"/>
        <v>0</v>
      </c>
      <c r="AC31" s="1186"/>
      <c r="AD31" s="75"/>
      <c r="AE31" s="75"/>
    </row>
    <row r="32" spans="1:31" s="226" customFormat="1" ht="15" customHeight="1" x14ac:dyDescent="0.2">
      <c r="A32" s="632">
        <v>2005</v>
      </c>
      <c r="B32" s="514">
        <v>363.53672</v>
      </c>
      <c r="C32" s="584"/>
      <c r="D32" s="584">
        <v>0</v>
      </c>
      <c r="E32" s="584"/>
      <c r="F32" s="585"/>
      <c r="G32" s="1170">
        <f t="shared" si="3"/>
        <v>363.53672</v>
      </c>
      <c r="H32" s="1186"/>
      <c r="I32" s="585">
        <v>256.61419999999998</v>
      </c>
      <c r="J32" s="584"/>
      <c r="K32" s="584">
        <v>106.9226</v>
      </c>
      <c r="L32" s="584"/>
      <c r="M32" s="585"/>
      <c r="N32" s="1170">
        <f t="shared" si="0"/>
        <v>363.53679999999997</v>
      </c>
      <c r="O32" s="1186"/>
      <c r="P32" s="585">
        <v>327.89589999999998</v>
      </c>
      <c r="Q32" s="584"/>
      <c r="R32" s="584">
        <v>35.64085</v>
      </c>
      <c r="S32" s="584"/>
      <c r="T32" s="585"/>
      <c r="U32" s="1170">
        <f t="shared" si="1"/>
        <v>363.53674999999998</v>
      </c>
      <c r="V32" s="1186"/>
      <c r="W32" s="1218">
        <v>0</v>
      </c>
      <c r="X32" s="1202"/>
      <c r="Y32" s="1232">
        <v>0</v>
      </c>
      <c r="Z32" s="1202"/>
      <c r="AA32" s="585">
        <v>0</v>
      </c>
      <c r="AB32" s="1170">
        <f t="shared" si="2"/>
        <v>0</v>
      </c>
      <c r="AC32" s="1186"/>
      <c r="AD32" s="75"/>
      <c r="AE32" s="75"/>
    </row>
    <row r="33" spans="1:31" s="226" customFormat="1" ht="15" customHeight="1" x14ac:dyDescent="0.2">
      <c r="A33" s="632">
        <v>2006</v>
      </c>
      <c r="B33" s="514">
        <v>427.69024999999999</v>
      </c>
      <c r="C33" s="584"/>
      <c r="D33" s="584">
        <v>7.1281708999999998</v>
      </c>
      <c r="E33" s="584"/>
      <c r="F33" s="585"/>
      <c r="G33" s="1170">
        <f t="shared" si="3"/>
        <v>434.81842089999998</v>
      </c>
      <c r="H33" s="1186"/>
      <c r="I33" s="585">
        <v>349.28039999999999</v>
      </c>
      <c r="J33" s="584"/>
      <c r="K33" s="584">
        <v>85.538049999999998</v>
      </c>
      <c r="L33" s="584"/>
      <c r="M33" s="585"/>
      <c r="N33" s="1170">
        <f t="shared" si="0"/>
        <v>434.81844999999998</v>
      </c>
      <c r="O33" s="1186"/>
      <c r="P33" s="585">
        <v>413.43389999999999</v>
      </c>
      <c r="Q33" s="584"/>
      <c r="R33" s="584">
        <v>21.384509999999999</v>
      </c>
      <c r="S33" s="584"/>
      <c r="T33" s="585"/>
      <c r="U33" s="1170">
        <f t="shared" si="1"/>
        <v>434.81840999999997</v>
      </c>
      <c r="V33" s="1186"/>
      <c r="W33" s="1218">
        <v>0</v>
      </c>
      <c r="X33" s="1202"/>
      <c r="Y33" s="1232">
        <v>0</v>
      </c>
      <c r="Z33" s="1202"/>
      <c r="AA33" s="585">
        <v>0</v>
      </c>
      <c r="AB33" s="1170">
        <f t="shared" si="2"/>
        <v>0</v>
      </c>
      <c r="AC33" s="1186"/>
      <c r="AD33" s="75"/>
      <c r="AE33" s="75"/>
    </row>
    <row r="34" spans="1:31" s="226" customFormat="1" ht="15" customHeight="1" x14ac:dyDescent="0.2">
      <c r="A34" s="632">
        <v>2007</v>
      </c>
      <c r="B34" s="514">
        <v>384.92122999999998</v>
      </c>
      <c r="C34" s="584"/>
      <c r="D34" s="584">
        <v>21.384512999999998</v>
      </c>
      <c r="E34" s="584"/>
      <c r="F34" s="585"/>
      <c r="G34" s="1170">
        <f t="shared" si="3"/>
        <v>406.30574300000001</v>
      </c>
      <c r="H34" s="1186"/>
      <c r="I34" s="585">
        <v>320.76769999999999</v>
      </c>
      <c r="J34" s="584"/>
      <c r="K34" s="584">
        <f>71.28171+ 14.25634</f>
        <v>85.538049999999998</v>
      </c>
      <c r="L34" s="584"/>
      <c r="M34" s="585"/>
      <c r="N34" s="1170">
        <f t="shared" si="0"/>
        <v>406.30574999999999</v>
      </c>
      <c r="O34" s="1186"/>
      <c r="P34" s="585">
        <v>363.5367</v>
      </c>
      <c r="Q34" s="584"/>
      <c r="R34" s="584">
        <v>42.769030000000001</v>
      </c>
      <c r="S34" s="584"/>
      <c r="T34" s="585"/>
      <c r="U34" s="1170">
        <f t="shared" si="1"/>
        <v>406.30572999999998</v>
      </c>
      <c r="V34" s="1186"/>
      <c r="W34" s="1218">
        <v>14.256342</v>
      </c>
      <c r="X34" s="1202"/>
      <c r="Y34" s="1232">
        <v>0</v>
      </c>
      <c r="Z34" s="1202"/>
      <c r="AA34" s="585">
        <v>0</v>
      </c>
      <c r="AB34" s="1170">
        <f t="shared" si="2"/>
        <v>14.256342</v>
      </c>
      <c r="AC34" s="1186"/>
      <c r="AD34" s="75"/>
      <c r="AE34" s="75"/>
    </row>
    <row r="35" spans="1:31" s="226" customFormat="1" ht="15" customHeight="1" x14ac:dyDescent="0.2">
      <c r="A35" s="632">
        <v>2008</v>
      </c>
      <c r="B35" s="514">
        <v>506.10012999999998</v>
      </c>
      <c r="C35" s="584"/>
      <c r="D35" s="584">
        <v>28.512684</v>
      </c>
      <c r="E35" s="584"/>
      <c r="F35" s="585"/>
      <c r="G35" s="1170">
        <f t="shared" si="3"/>
        <v>534.61281399999996</v>
      </c>
      <c r="H35" s="1186"/>
      <c r="I35" s="585">
        <v>399.17759999999998</v>
      </c>
      <c r="J35" s="584"/>
      <c r="K35" s="584">
        <f>106.9226+28.51268</f>
        <v>135.43528000000001</v>
      </c>
      <c r="L35" s="584"/>
      <c r="M35" s="585"/>
      <c r="N35" s="1170">
        <f t="shared" si="0"/>
        <v>534.61288000000002</v>
      </c>
      <c r="O35" s="1186"/>
      <c r="P35" s="585">
        <v>470.45929999999998</v>
      </c>
      <c r="Q35" s="584"/>
      <c r="R35" s="584">
        <v>64.153540000000007</v>
      </c>
      <c r="S35" s="584"/>
      <c r="T35" s="585"/>
      <c r="U35" s="1170">
        <f t="shared" si="1"/>
        <v>534.61284000000001</v>
      </c>
      <c r="V35" s="1186"/>
      <c r="W35" s="1218">
        <v>0</v>
      </c>
      <c r="X35" s="1202"/>
      <c r="Y35" s="1232">
        <v>7.1281708999999998</v>
      </c>
      <c r="Z35" s="1202"/>
      <c r="AA35" s="585">
        <v>0</v>
      </c>
      <c r="AB35" s="1170">
        <f t="shared" si="2"/>
        <v>7.1281708999999998</v>
      </c>
      <c r="AC35" s="1186"/>
      <c r="AD35" s="586"/>
      <c r="AE35" s="75"/>
    </row>
    <row r="36" spans="1:31" s="226" customFormat="1" ht="15" customHeight="1" x14ac:dyDescent="0.2">
      <c r="A36" s="632">
        <v>2009</v>
      </c>
      <c r="B36" s="668">
        <v>513.22829999999999</v>
      </c>
      <c r="C36" s="584"/>
      <c r="D36" s="584">
        <v>21.384512999999998</v>
      </c>
      <c r="E36" s="584"/>
      <c r="F36" s="585"/>
      <c r="G36" s="1170">
        <f t="shared" si="3"/>
        <v>534.61281299999996</v>
      </c>
      <c r="H36" s="1186"/>
      <c r="I36" s="585">
        <v>406.3057</v>
      </c>
      <c r="J36" s="584"/>
      <c r="K36" s="584">
        <f>121.1789+7.128171</f>
        <v>128.30707100000001</v>
      </c>
      <c r="L36" s="584"/>
      <c r="M36" s="585"/>
      <c r="N36" s="1170">
        <f t="shared" si="0"/>
        <v>534.61277100000007</v>
      </c>
      <c r="O36" s="1186"/>
      <c r="P36" s="585">
        <v>491.84379999999999</v>
      </c>
      <c r="Q36" s="584"/>
      <c r="R36" s="584">
        <v>42.769030000000001</v>
      </c>
      <c r="S36" s="584"/>
      <c r="T36" s="585"/>
      <c r="U36" s="1170">
        <f t="shared" si="1"/>
        <v>534.61283000000003</v>
      </c>
      <c r="V36" s="1186"/>
      <c r="W36" s="1218">
        <v>21.384512999999998</v>
      </c>
      <c r="X36" s="1202"/>
      <c r="Y36" s="1232">
        <v>0</v>
      </c>
      <c r="Z36" s="1202"/>
      <c r="AA36" s="585">
        <v>0</v>
      </c>
      <c r="AB36" s="1170">
        <f t="shared" si="2"/>
        <v>21.384512999999998</v>
      </c>
      <c r="AC36" s="1186"/>
      <c r="AD36" s="586"/>
      <c r="AE36" s="75"/>
    </row>
    <row r="37" spans="1:31" s="226" customFormat="1" ht="15" customHeight="1" x14ac:dyDescent="0.2">
      <c r="A37" s="632">
        <v>2010</v>
      </c>
      <c r="B37" s="668">
        <v>762.71429000000001</v>
      </c>
      <c r="C37" s="584"/>
      <c r="D37" s="584">
        <v>35.640853999999997</v>
      </c>
      <c r="E37" s="584"/>
      <c r="F37" s="585"/>
      <c r="G37" s="1170">
        <f t="shared" si="3"/>
        <v>798.355144</v>
      </c>
      <c r="H37" s="1186"/>
      <c r="I37" s="585">
        <v>506.1001</v>
      </c>
      <c r="J37" s="584"/>
      <c r="K37" s="584">
        <f>263.7423+ 28.51268</f>
        <v>292.25497999999999</v>
      </c>
      <c r="L37" s="584"/>
      <c r="M37" s="585"/>
      <c r="N37" s="1170">
        <f t="shared" si="0"/>
        <v>798.35508000000004</v>
      </c>
      <c r="O37" s="1186"/>
      <c r="P37" s="585">
        <v>662.91989999999998</v>
      </c>
      <c r="Q37" s="584"/>
      <c r="R37" s="584">
        <v>135.43520000000001</v>
      </c>
      <c r="S37" s="584"/>
      <c r="T37" s="585"/>
      <c r="U37" s="1170">
        <f t="shared" si="1"/>
        <v>798.35509999999999</v>
      </c>
      <c r="V37" s="1186"/>
      <c r="W37" s="1218">
        <v>42.769024999999999</v>
      </c>
      <c r="X37" s="1202"/>
      <c r="Y37" s="1232">
        <v>7.1281708999999998</v>
      </c>
      <c r="Z37" s="1202"/>
      <c r="AA37" s="585">
        <v>7.1281708999999998</v>
      </c>
      <c r="AB37" s="1170">
        <f t="shared" si="2"/>
        <v>57.0253668</v>
      </c>
      <c r="AC37" s="1186"/>
      <c r="AD37" s="586"/>
      <c r="AE37" s="75"/>
    </row>
    <row r="38" spans="1:31" s="226" customFormat="1" ht="15" customHeight="1" x14ac:dyDescent="0.2">
      <c r="A38" s="632">
        <v>2011</v>
      </c>
      <c r="B38" s="668">
        <v>741.32977300000005</v>
      </c>
      <c r="C38" s="584"/>
      <c r="D38" s="584">
        <v>85.538050999999996</v>
      </c>
      <c r="E38" s="584"/>
      <c r="F38" s="585"/>
      <c r="G38" s="1170">
        <f t="shared" si="3"/>
        <v>826.86782400000004</v>
      </c>
      <c r="H38" s="1186"/>
      <c r="I38" s="585">
        <v>456.2029</v>
      </c>
      <c r="J38" s="584"/>
      <c r="K38" s="584">
        <f>335.024+ 35.64085</f>
        <v>370.66485</v>
      </c>
      <c r="L38" s="584"/>
      <c r="M38" s="585"/>
      <c r="N38" s="1170">
        <f t="shared" si="0"/>
        <v>826.86775</v>
      </c>
      <c r="O38" s="1186"/>
      <c r="P38" s="585">
        <v>769.84249999999997</v>
      </c>
      <c r="Q38" s="584"/>
      <c r="R38" s="584">
        <v>57.025370000000002</v>
      </c>
      <c r="S38" s="584"/>
      <c r="T38" s="585"/>
      <c r="U38" s="1170">
        <f t="shared" si="1"/>
        <v>826.86786999999993</v>
      </c>
      <c r="V38" s="1186"/>
      <c r="W38" s="1218">
        <v>28.512684</v>
      </c>
      <c r="X38" s="1202"/>
      <c r="Y38" s="1232">
        <v>0</v>
      </c>
      <c r="Z38" s="1202"/>
      <c r="AA38" s="585">
        <v>7.1281708999999998</v>
      </c>
      <c r="AB38" s="1170">
        <f t="shared" si="2"/>
        <v>35.640854900000001</v>
      </c>
      <c r="AC38" s="1186"/>
      <c r="AD38" s="586"/>
      <c r="AE38" s="75"/>
    </row>
    <row r="39" spans="1:31" s="226" customFormat="1" ht="15" customHeight="1" x14ac:dyDescent="0.2">
      <c r="A39" s="632">
        <v>2012</v>
      </c>
      <c r="B39" s="668">
        <v>955.17489999999998</v>
      </c>
      <c r="C39" s="584"/>
      <c r="D39" s="584">
        <v>199.588785</v>
      </c>
      <c r="E39" s="584"/>
      <c r="F39" s="585"/>
      <c r="G39" s="1170">
        <f t="shared" si="3"/>
        <v>1154.7636849999999</v>
      </c>
      <c r="H39" s="1186"/>
      <c r="I39" s="585">
        <v>584.51</v>
      </c>
      <c r="J39" s="584"/>
      <c r="K39" s="584">
        <f>506.1001+64.15354</f>
        <v>570.25364000000002</v>
      </c>
      <c r="L39" s="584"/>
      <c r="M39" s="585"/>
      <c r="N39" s="1170">
        <f t="shared" si="0"/>
        <v>1154.7636400000001</v>
      </c>
      <c r="O39" s="1186"/>
      <c r="P39" s="585">
        <v>983.68759999999997</v>
      </c>
      <c r="Q39" s="584"/>
      <c r="R39" s="584">
        <v>171.0761</v>
      </c>
      <c r="S39" s="584"/>
      <c r="T39" s="585"/>
      <c r="U39" s="1170">
        <f t="shared" si="1"/>
        <v>1154.7637</v>
      </c>
      <c r="V39" s="1186"/>
      <c r="W39" s="1218">
        <v>14.256342</v>
      </c>
      <c r="X39" s="1202"/>
      <c r="Y39" s="1232">
        <v>7.1281708999999998</v>
      </c>
      <c r="Z39" s="1202"/>
      <c r="AA39" s="585">
        <v>28.512684</v>
      </c>
      <c r="AB39" s="1170">
        <f t="shared" si="2"/>
        <v>49.897196899999997</v>
      </c>
      <c r="AC39" s="1186"/>
      <c r="AD39" s="586"/>
      <c r="AE39" s="75"/>
    </row>
    <row r="40" spans="1:31" s="226" customFormat="1" ht="15" customHeight="1" x14ac:dyDescent="0.2">
      <c r="A40" s="633" t="s">
        <v>310</v>
      </c>
      <c r="B40" s="587"/>
      <c r="C40" s="588"/>
      <c r="D40" s="588"/>
      <c r="E40" s="588"/>
      <c r="F40" s="589"/>
      <c r="G40" s="1171">
        <f t="shared" si="3"/>
        <v>0</v>
      </c>
      <c r="H40" s="1187"/>
      <c r="I40" s="589"/>
      <c r="J40" s="588"/>
      <c r="K40" s="588"/>
      <c r="L40" s="588"/>
      <c r="M40" s="589"/>
      <c r="N40" s="1171">
        <f t="shared" si="0"/>
        <v>0</v>
      </c>
      <c r="O40" s="1187"/>
      <c r="P40" s="589"/>
      <c r="Q40" s="588"/>
      <c r="R40" s="588"/>
      <c r="S40" s="588"/>
      <c r="T40" s="589"/>
      <c r="U40" s="1171">
        <f t="shared" si="1"/>
        <v>0</v>
      </c>
      <c r="V40" s="1187"/>
      <c r="W40" s="587"/>
      <c r="X40" s="1203"/>
      <c r="Y40" s="1233"/>
      <c r="Z40" s="1203"/>
      <c r="AA40" s="589"/>
      <c r="AB40" s="1171">
        <f t="shared" si="2"/>
        <v>0</v>
      </c>
      <c r="AC40" s="1187"/>
      <c r="AD40" s="225"/>
      <c r="AE40" s="78"/>
    </row>
    <row r="41" spans="1:31" s="226" customFormat="1" ht="31.5" customHeight="1" x14ac:dyDescent="0.2">
      <c r="A41" s="600" t="s">
        <v>671</v>
      </c>
      <c r="B41" s="518">
        <f>SUM(B42:B43)</f>
        <v>6066.0734228000001</v>
      </c>
      <c r="C41" s="519"/>
      <c r="D41" s="519">
        <f>SUM(D42:D43)</f>
        <v>470.45928099999998</v>
      </c>
      <c r="E41" s="519"/>
      <c r="F41" s="518"/>
      <c r="G41" s="1172">
        <f>SUM(B41,D41)</f>
        <v>6536.5327038000005</v>
      </c>
      <c r="H41" s="1188"/>
      <c r="I41" s="518">
        <f>SUM(I42:I43)</f>
        <v>4704.5926639999998</v>
      </c>
      <c r="J41" s="519"/>
      <c r="K41" s="519">
        <f>SUM(K42:K43)</f>
        <v>1831.9398519999997</v>
      </c>
      <c r="L41" s="519"/>
      <c r="M41" s="518"/>
      <c r="N41" s="1172">
        <f t="shared" si="0"/>
        <v>6536.5325159999993</v>
      </c>
      <c r="O41" s="1188"/>
      <c r="P41" s="518">
        <f>SUM(P42:P43)</f>
        <v>6009.0478829999993</v>
      </c>
      <c r="Q41" s="519"/>
      <c r="R41" s="519">
        <f>SUM(R42:R43)</f>
        <v>527.48463000000004</v>
      </c>
      <c r="S41" s="519"/>
      <c r="T41" s="518"/>
      <c r="U41" s="1172">
        <f t="shared" si="1"/>
        <v>6536.5325129999992</v>
      </c>
      <c r="V41" s="1188"/>
      <c r="W41" s="1219">
        <f>SUM(W42:W43)</f>
        <v>213.84512759999998</v>
      </c>
      <c r="X41" s="1204"/>
      <c r="Y41" s="1234">
        <f>SUM(Y42:Y43)</f>
        <v>35.640854499999996</v>
      </c>
      <c r="Z41" s="1204"/>
      <c r="AA41" s="518">
        <f>SUM(AA42:AA43)</f>
        <v>106.92256450000001</v>
      </c>
      <c r="AB41" s="1172">
        <f>SUM(AA41,Y41,W41)</f>
        <v>356.40854660000002</v>
      </c>
      <c r="AC41" s="1188"/>
      <c r="AD41" s="225"/>
      <c r="AE41" s="225"/>
    </row>
    <row r="42" spans="1:31" s="226" customFormat="1" ht="15" customHeight="1" x14ac:dyDescent="0.2">
      <c r="A42" s="704" t="s">
        <v>793</v>
      </c>
      <c r="B42" s="705">
        <f>7.1281709+14.256342 +14.256342+ 28.512684+ 7.1281709+21.384513+35.640854+14.256342+35.640854+64.153538+57.025367+ 42.769025+42.769025+42.769025+64.153538+71.281709</f>
        <v>563.12549979999994</v>
      </c>
      <c r="C42" s="706"/>
      <c r="D42" s="706">
        <f>7.1281709+7.1281709+7.1281709+7.1281709</f>
        <v>28.512683599999999</v>
      </c>
      <c r="E42" s="706"/>
      <c r="F42" s="1005"/>
      <c r="G42" s="1166">
        <f t="shared" ref="G42:G67" si="4">SUM(B42,D42)</f>
        <v>591.63818339999989</v>
      </c>
      <c r="H42" s="1182"/>
      <c r="I42" s="1162">
        <f>7.128171+14.25634+ 7.128171+28.51268 +7.128171 +21.38451  +35.64085+7.128171+35.64085+64.15354 + 57.02537 +42.76903+42.76903+ 42.76903 +57.02537+71.28171</f>
        <v>541.740994</v>
      </c>
      <c r="J42" s="706"/>
      <c r="K42" s="706">
        <f xml:space="preserve"> 7.128171+ 7.128171+7.128171+7.128171+7.128171+7.128171+7.128171</f>
        <v>49.897197000000006</v>
      </c>
      <c r="L42" s="706"/>
      <c r="M42" s="1005"/>
      <c r="N42" s="1166">
        <f t="shared" si="0"/>
        <v>591.63819100000001</v>
      </c>
      <c r="O42" s="1182"/>
      <c r="P42" s="706">
        <f xml:space="preserve"> 7.128171+14.25634+ 7.128171+ 21.38451+7.128171+21.38451+ 28.51268+14.25634+35.64085+57.02537+64.15354+42.76903+35.64085+49.8972+64.15354+ 57.02537</f>
        <v>527.48464300000001</v>
      </c>
      <c r="Q42" s="706"/>
      <c r="R42" s="706">
        <f>7.128171 + 7.128171 +7.128171 +7.128171 + 7.128171+ 7.128171  + 7.128171 + 14.25634</f>
        <v>64.153537</v>
      </c>
      <c r="S42" s="706"/>
      <c r="T42" s="1005"/>
      <c r="U42" s="1166">
        <f t="shared" si="1"/>
        <v>591.63818000000003</v>
      </c>
      <c r="V42" s="1197"/>
      <c r="W42" s="705">
        <f>7.1281709</f>
        <v>7.1281708999999998</v>
      </c>
      <c r="X42" s="1163"/>
      <c r="Y42" s="1228">
        <f xml:space="preserve"> 7.1281709+7.1281709+7.1281709</f>
        <v>21.384512699999998</v>
      </c>
      <c r="Z42" s="1163"/>
      <c r="AA42" s="1006">
        <f xml:space="preserve"> 7.1281709</f>
        <v>7.1281708999999998</v>
      </c>
      <c r="AB42" s="1166">
        <f t="shared" ref="AB42:AB67" si="5">SUM(AA42,Y42,W42)</f>
        <v>35.640854499999996</v>
      </c>
      <c r="AC42" s="1182"/>
      <c r="AD42" s="225"/>
      <c r="AE42" s="225"/>
    </row>
    <row r="43" spans="1:31" s="603" customFormat="1" ht="15" customHeight="1" x14ac:dyDescent="0.2">
      <c r="A43" s="630" t="s">
        <v>678</v>
      </c>
      <c r="B43" s="607">
        <f>SUM(B44:B66)+506.10013+ 349.28037</f>
        <v>5502.9479229999997</v>
      </c>
      <c r="C43" s="608"/>
      <c r="D43" s="608">
        <f>SUM(D44:D67)+92.666222+ 71.281709</f>
        <v>441.94659739999997</v>
      </c>
      <c r="E43" s="608"/>
      <c r="F43" s="607"/>
      <c r="G43" s="1173">
        <f t="shared" si="4"/>
        <v>5944.8945203999992</v>
      </c>
      <c r="H43" s="1189"/>
      <c r="I43" s="607">
        <f>SUM(I44:I67)+285.1268+185.3324</f>
        <v>4162.85167</v>
      </c>
      <c r="J43" s="608"/>
      <c r="K43" s="608">
        <f>SUM(K44:K66)+313.6395+235.2296</f>
        <v>1782.0426549999997</v>
      </c>
      <c r="L43" s="608"/>
      <c r="M43" s="607"/>
      <c r="N43" s="1173">
        <f t="shared" si="0"/>
        <v>5944.8943249999993</v>
      </c>
      <c r="O43" s="1189"/>
      <c r="P43" s="607">
        <f>SUM(P44:P67)+534.6128+ 363.5367</f>
        <v>5481.5632399999995</v>
      </c>
      <c r="Q43" s="608"/>
      <c r="R43" s="608">
        <f>SUM(R44:R66)+64.15354+57.02537</f>
        <v>463.33109300000001</v>
      </c>
      <c r="S43" s="608"/>
      <c r="T43" s="607"/>
      <c r="U43" s="1173">
        <f t="shared" si="1"/>
        <v>5944.8943329999993</v>
      </c>
      <c r="V43" s="1189"/>
      <c r="W43" s="1220">
        <f>SUM(W44:W67)+ 35.640854 +71.281709</f>
        <v>206.7169567</v>
      </c>
      <c r="X43" s="1205"/>
      <c r="Y43" s="1235">
        <f>SUM(Y44:Y66)+7.1281709</f>
        <v>14.2563418</v>
      </c>
      <c r="Z43" s="1205"/>
      <c r="AA43" s="607">
        <f>SUM(AA44:AA67)+21.384513+28.512684</f>
        <v>99.794393600000006</v>
      </c>
      <c r="AB43" s="1173">
        <f t="shared" si="5"/>
        <v>320.76769209999998</v>
      </c>
      <c r="AC43" s="1189"/>
      <c r="AD43" s="606"/>
      <c r="AE43" s="606"/>
    </row>
    <row r="44" spans="1:31" s="226" customFormat="1" ht="15" customHeight="1" x14ac:dyDescent="0.2">
      <c r="A44" s="583">
        <v>1990</v>
      </c>
      <c r="B44" s="581">
        <v>106.92256</v>
      </c>
      <c r="C44" s="582"/>
      <c r="D44" s="582">
        <v>7.1281708999999998</v>
      </c>
      <c r="E44" s="582"/>
      <c r="F44" s="581"/>
      <c r="G44" s="1168">
        <f t="shared" si="4"/>
        <v>114.0507309</v>
      </c>
      <c r="H44" s="1184"/>
      <c r="I44" s="581">
        <v>114.05070000000001</v>
      </c>
      <c r="J44" s="582"/>
      <c r="K44" s="582">
        <v>0</v>
      </c>
      <c r="L44" s="582"/>
      <c r="M44" s="581"/>
      <c r="N44" s="1168">
        <f t="shared" si="0"/>
        <v>114.05070000000001</v>
      </c>
      <c r="O44" s="1184"/>
      <c r="P44" s="581">
        <v>99.794390000000007</v>
      </c>
      <c r="Q44" s="582"/>
      <c r="R44" s="582">
        <v>14.25634</v>
      </c>
      <c r="S44" s="582"/>
      <c r="T44" s="581"/>
      <c r="U44" s="1168">
        <f t="shared" si="1"/>
        <v>114.05073</v>
      </c>
      <c r="V44" s="1184"/>
      <c r="W44" s="1216">
        <v>0</v>
      </c>
      <c r="X44" s="1200"/>
      <c r="Y44" s="1230">
        <v>0</v>
      </c>
      <c r="Z44" s="1200"/>
      <c r="AA44" s="581">
        <v>0</v>
      </c>
      <c r="AB44" s="1168">
        <f t="shared" si="5"/>
        <v>0</v>
      </c>
      <c r="AC44" s="1184"/>
      <c r="AD44" s="225"/>
      <c r="AE44" s="225"/>
    </row>
    <row r="45" spans="1:31" s="226" customFormat="1" ht="15" customHeight="1" x14ac:dyDescent="0.2">
      <c r="A45" s="583">
        <v>1991</v>
      </c>
      <c r="B45" s="581">
        <v>114.05073</v>
      </c>
      <c r="C45" s="582"/>
      <c r="D45" s="582">
        <v>7.1281708999999998</v>
      </c>
      <c r="E45" s="582"/>
      <c r="F45" s="581"/>
      <c r="G45" s="1168">
        <f t="shared" si="4"/>
        <v>121.1789009</v>
      </c>
      <c r="H45" s="1184"/>
      <c r="I45" s="581">
        <v>106.9226</v>
      </c>
      <c r="J45" s="582"/>
      <c r="K45" s="582">
        <v>14.25634</v>
      </c>
      <c r="L45" s="582"/>
      <c r="M45" s="581"/>
      <c r="N45" s="1168">
        <f t="shared" si="0"/>
        <v>121.17894</v>
      </c>
      <c r="O45" s="1184"/>
      <c r="P45" s="581">
        <v>99.794390000000007</v>
      </c>
      <c r="Q45" s="582"/>
      <c r="R45" s="582">
        <v>21.384509999999999</v>
      </c>
      <c r="S45" s="582"/>
      <c r="T45" s="581"/>
      <c r="U45" s="1168">
        <f t="shared" si="1"/>
        <v>121.1789</v>
      </c>
      <c r="V45" s="1184"/>
      <c r="W45" s="1216">
        <v>0</v>
      </c>
      <c r="X45" s="1200"/>
      <c r="Y45" s="1230">
        <v>0</v>
      </c>
      <c r="Z45" s="1200"/>
      <c r="AA45" s="581">
        <v>0</v>
      </c>
      <c r="AB45" s="1168">
        <f t="shared" si="5"/>
        <v>0</v>
      </c>
      <c r="AC45" s="1184"/>
      <c r="AD45" s="225"/>
      <c r="AE45" s="225"/>
    </row>
    <row r="46" spans="1:31" s="226" customFormat="1" ht="15" customHeight="1" x14ac:dyDescent="0.2">
      <c r="A46" s="583">
        <v>1992</v>
      </c>
      <c r="B46" s="581">
        <v>99.794392999999999</v>
      </c>
      <c r="C46" s="582"/>
      <c r="D46" s="582"/>
      <c r="E46" s="582"/>
      <c r="F46" s="581"/>
      <c r="G46" s="1168">
        <f t="shared" si="4"/>
        <v>99.794392999999999</v>
      </c>
      <c r="H46" s="1184"/>
      <c r="I46" s="581">
        <v>92.666219999999996</v>
      </c>
      <c r="J46" s="582"/>
      <c r="K46" s="582">
        <v>7.128171</v>
      </c>
      <c r="L46" s="582"/>
      <c r="M46" s="581"/>
      <c r="N46" s="1168">
        <f t="shared" si="0"/>
        <v>99.79439099999999</v>
      </c>
      <c r="O46" s="1184"/>
      <c r="P46" s="581">
        <v>92.666219999999996</v>
      </c>
      <c r="Q46" s="582"/>
      <c r="R46" s="582">
        <v>7.128171</v>
      </c>
      <c r="S46" s="582"/>
      <c r="T46" s="581"/>
      <c r="U46" s="1168">
        <f t="shared" si="1"/>
        <v>99.79439099999999</v>
      </c>
      <c r="V46" s="1184"/>
      <c r="W46" s="1216">
        <v>0</v>
      </c>
      <c r="X46" s="1200"/>
      <c r="Y46" s="1230">
        <v>0</v>
      </c>
      <c r="Z46" s="1200"/>
      <c r="AA46" s="581">
        <v>7.1281708999999998</v>
      </c>
      <c r="AB46" s="1168">
        <f t="shared" si="5"/>
        <v>7.1281708999999998</v>
      </c>
      <c r="AC46" s="1184"/>
      <c r="AD46" s="225"/>
      <c r="AE46" s="225"/>
    </row>
    <row r="47" spans="1:31" s="226" customFormat="1" ht="15" customHeight="1" x14ac:dyDescent="0.2">
      <c r="A47" s="583">
        <v>1993</v>
      </c>
      <c r="B47" s="581">
        <v>78.409880000000001</v>
      </c>
      <c r="C47" s="582"/>
      <c r="D47" s="582"/>
      <c r="E47" s="582"/>
      <c r="F47" s="581"/>
      <c r="G47" s="1168">
        <f t="shared" si="4"/>
        <v>78.409880000000001</v>
      </c>
      <c r="H47" s="1184"/>
      <c r="I47" s="581">
        <v>78.409880000000001</v>
      </c>
      <c r="J47" s="582"/>
      <c r="K47" s="582">
        <v>0</v>
      </c>
      <c r="L47" s="582"/>
      <c r="M47" s="581"/>
      <c r="N47" s="1168">
        <f t="shared" si="0"/>
        <v>78.409880000000001</v>
      </c>
      <c r="O47" s="1184"/>
      <c r="P47" s="581">
        <v>78.409880000000001</v>
      </c>
      <c r="Q47" s="582"/>
      <c r="R47" s="582">
        <v>0</v>
      </c>
      <c r="S47" s="582"/>
      <c r="T47" s="581"/>
      <c r="U47" s="1168">
        <f t="shared" si="1"/>
        <v>78.409880000000001</v>
      </c>
      <c r="V47" s="1184"/>
      <c r="W47" s="1216">
        <v>0</v>
      </c>
      <c r="X47" s="1200"/>
      <c r="Y47" s="1230">
        <v>0</v>
      </c>
      <c r="Z47" s="1200"/>
      <c r="AA47" s="581">
        <v>0</v>
      </c>
      <c r="AB47" s="1168">
        <f t="shared" si="5"/>
        <v>0</v>
      </c>
      <c r="AC47" s="1184"/>
      <c r="AD47" s="250"/>
      <c r="AE47" s="250"/>
    </row>
    <row r="48" spans="1:31" s="226" customFormat="1" ht="15" customHeight="1" x14ac:dyDescent="0.2">
      <c r="A48" s="583">
        <v>1994</v>
      </c>
      <c r="B48" s="581">
        <v>64.153537999999998</v>
      </c>
      <c r="C48" s="582"/>
      <c r="D48" s="582">
        <v>7.1281708999999998</v>
      </c>
      <c r="E48" s="582"/>
      <c r="F48" s="581"/>
      <c r="G48" s="1168">
        <f t="shared" si="4"/>
        <v>71.281708899999998</v>
      </c>
      <c r="H48" s="1184"/>
      <c r="I48" s="581">
        <v>64.153540000000007</v>
      </c>
      <c r="J48" s="582"/>
      <c r="K48" s="582">
        <v>7.128171</v>
      </c>
      <c r="L48" s="582"/>
      <c r="M48" s="581"/>
      <c r="N48" s="1168">
        <f t="shared" si="0"/>
        <v>71.281711000000001</v>
      </c>
      <c r="O48" s="1184"/>
      <c r="P48" s="581">
        <v>64.153540000000007</v>
      </c>
      <c r="Q48" s="582"/>
      <c r="R48" s="582">
        <v>7.128171</v>
      </c>
      <c r="S48" s="582"/>
      <c r="T48" s="581"/>
      <c r="U48" s="1168">
        <f t="shared" si="1"/>
        <v>71.281711000000001</v>
      </c>
      <c r="V48" s="1184"/>
      <c r="W48" s="1216">
        <v>0</v>
      </c>
      <c r="X48" s="1200"/>
      <c r="Y48" s="1230">
        <v>0</v>
      </c>
      <c r="Z48" s="1200"/>
      <c r="AA48" s="581">
        <v>0</v>
      </c>
      <c r="AB48" s="1168">
        <f t="shared" si="5"/>
        <v>0</v>
      </c>
      <c r="AC48" s="1184"/>
      <c r="AD48" s="225"/>
      <c r="AE48" s="225"/>
    </row>
    <row r="49" spans="1:31" s="226" customFormat="1" ht="15" customHeight="1" x14ac:dyDescent="0.2">
      <c r="A49" s="583">
        <v>1995</v>
      </c>
      <c r="B49" s="581">
        <v>114.05073</v>
      </c>
      <c r="C49" s="582"/>
      <c r="D49" s="582"/>
      <c r="E49" s="582"/>
      <c r="F49" s="581"/>
      <c r="G49" s="1168">
        <f t="shared" si="4"/>
        <v>114.05073</v>
      </c>
      <c r="H49" s="1184"/>
      <c r="I49" s="581">
        <v>92.666219999999996</v>
      </c>
      <c r="J49" s="582"/>
      <c r="K49" s="582">
        <v>21.384509999999999</v>
      </c>
      <c r="L49" s="582"/>
      <c r="M49" s="581"/>
      <c r="N49" s="1168">
        <f t="shared" si="0"/>
        <v>114.05072999999999</v>
      </c>
      <c r="O49" s="1184"/>
      <c r="P49" s="581">
        <v>114.05070000000001</v>
      </c>
      <c r="Q49" s="582"/>
      <c r="R49" s="582">
        <v>0</v>
      </c>
      <c r="S49" s="582"/>
      <c r="T49" s="581"/>
      <c r="U49" s="1168">
        <f t="shared" si="1"/>
        <v>114.05070000000001</v>
      </c>
      <c r="V49" s="1184"/>
      <c r="W49" s="1216">
        <f>14.256342</f>
        <v>14.256342</v>
      </c>
      <c r="X49" s="1200"/>
      <c r="Y49" s="1230">
        <v>0</v>
      </c>
      <c r="Z49" s="1200"/>
      <c r="AA49" s="581">
        <v>0</v>
      </c>
      <c r="AB49" s="1168">
        <f t="shared" si="5"/>
        <v>14.256342</v>
      </c>
      <c r="AC49" s="1184"/>
      <c r="AD49" s="225"/>
      <c r="AE49" s="225"/>
    </row>
    <row r="50" spans="1:31" s="226" customFormat="1" ht="15" customHeight="1" x14ac:dyDescent="0.2">
      <c r="A50" s="583">
        <v>1996</v>
      </c>
      <c r="B50" s="581">
        <v>57.025367000000003</v>
      </c>
      <c r="C50" s="582"/>
      <c r="D50" s="582">
        <v>14.256342</v>
      </c>
      <c r="E50" s="582"/>
      <c r="F50" s="581"/>
      <c r="G50" s="1168">
        <f t="shared" si="4"/>
        <v>71.281709000000006</v>
      </c>
      <c r="H50" s="1184"/>
      <c r="I50" s="581">
        <v>49.897199999999998</v>
      </c>
      <c r="J50" s="582"/>
      <c r="K50" s="582">
        <v>21.384509999999999</v>
      </c>
      <c r="L50" s="582"/>
      <c r="M50" s="581"/>
      <c r="N50" s="1168">
        <f t="shared" si="0"/>
        <v>71.281710000000004</v>
      </c>
      <c r="O50" s="1184"/>
      <c r="P50" s="581">
        <v>57.025370000000002</v>
      </c>
      <c r="Q50" s="582"/>
      <c r="R50" s="582">
        <v>14.25634</v>
      </c>
      <c r="S50" s="582"/>
      <c r="T50" s="581"/>
      <c r="U50" s="1168">
        <f t="shared" si="1"/>
        <v>71.281710000000004</v>
      </c>
      <c r="V50" s="1184"/>
      <c r="W50" s="1216">
        <v>7.1281708999999998</v>
      </c>
      <c r="X50" s="1200"/>
      <c r="Y50" s="1230">
        <v>0</v>
      </c>
      <c r="Z50" s="1200"/>
      <c r="AA50" s="581">
        <v>0</v>
      </c>
      <c r="AB50" s="1168">
        <f t="shared" si="5"/>
        <v>7.1281708999999998</v>
      </c>
      <c r="AC50" s="1184"/>
      <c r="AD50" s="225"/>
      <c r="AE50" s="225"/>
    </row>
    <row r="51" spans="1:31" s="226" customFormat="1" ht="15" customHeight="1" x14ac:dyDescent="0.2">
      <c r="A51" s="583">
        <v>1997</v>
      </c>
      <c r="B51" s="581">
        <v>92.666222000000005</v>
      </c>
      <c r="C51" s="582"/>
      <c r="D51" s="582"/>
      <c r="E51" s="582"/>
      <c r="F51" s="581"/>
      <c r="G51" s="1168">
        <f t="shared" si="4"/>
        <v>92.666222000000005</v>
      </c>
      <c r="H51" s="1184"/>
      <c r="I51" s="581">
        <v>85.538049999999998</v>
      </c>
      <c r="J51" s="582"/>
      <c r="K51" s="582">
        <v>7.128171</v>
      </c>
      <c r="L51" s="582"/>
      <c r="M51" s="581"/>
      <c r="N51" s="1168">
        <f t="shared" si="0"/>
        <v>92.666220999999993</v>
      </c>
      <c r="O51" s="1184"/>
      <c r="P51" s="581">
        <v>92.666219999999996</v>
      </c>
      <c r="Q51" s="582"/>
      <c r="R51" s="582">
        <v>0</v>
      </c>
      <c r="S51" s="582"/>
      <c r="T51" s="581"/>
      <c r="U51" s="1168">
        <f t="shared" si="1"/>
        <v>92.666219999999996</v>
      </c>
      <c r="V51" s="1184"/>
      <c r="W51" s="1216">
        <v>0</v>
      </c>
      <c r="X51" s="1200"/>
      <c r="Y51" s="1230">
        <v>0</v>
      </c>
      <c r="Z51" s="1200"/>
      <c r="AA51" s="581">
        <v>0</v>
      </c>
      <c r="AB51" s="1168">
        <f t="shared" si="5"/>
        <v>0</v>
      </c>
      <c r="AC51" s="1184"/>
      <c r="AD51" s="225"/>
      <c r="AE51" s="225"/>
    </row>
    <row r="52" spans="1:31" s="226" customFormat="1" ht="15" customHeight="1" x14ac:dyDescent="0.2">
      <c r="A52" s="583">
        <v>1998</v>
      </c>
      <c r="B52" s="581">
        <v>78.409880000000001</v>
      </c>
      <c r="C52" s="582"/>
      <c r="D52" s="582"/>
      <c r="E52" s="582"/>
      <c r="F52" s="581"/>
      <c r="G52" s="1168">
        <f t="shared" si="4"/>
        <v>78.409880000000001</v>
      </c>
      <c r="H52" s="1184"/>
      <c r="I52" s="581">
        <v>78.409880000000001</v>
      </c>
      <c r="J52" s="582"/>
      <c r="K52" s="582">
        <v>0</v>
      </c>
      <c r="L52" s="582"/>
      <c r="M52" s="581"/>
      <c r="N52" s="1168">
        <f t="shared" si="0"/>
        <v>78.409880000000001</v>
      </c>
      <c r="O52" s="1184"/>
      <c r="P52" s="581">
        <v>78.409880000000001</v>
      </c>
      <c r="Q52" s="582"/>
      <c r="R52" s="582">
        <v>0</v>
      </c>
      <c r="S52" s="582"/>
      <c r="T52" s="581"/>
      <c r="U52" s="1168">
        <f t="shared" si="1"/>
        <v>78.409880000000001</v>
      </c>
      <c r="V52" s="1184"/>
      <c r="W52" s="1216">
        <v>7.1281708999999998</v>
      </c>
      <c r="X52" s="1200"/>
      <c r="Y52" s="1230">
        <v>0</v>
      </c>
      <c r="Z52" s="1200"/>
      <c r="AA52" s="581">
        <v>7.1281708999999998</v>
      </c>
      <c r="AB52" s="1168">
        <f t="shared" si="5"/>
        <v>14.2563418</v>
      </c>
      <c r="AC52" s="1184"/>
      <c r="AD52" s="225"/>
      <c r="AE52" s="225"/>
    </row>
    <row r="53" spans="1:31" s="226" customFormat="1" ht="15" customHeight="1" x14ac:dyDescent="0.2">
      <c r="A53" s="583">
        <v>1999</v>
      </c>
      <c r="B53" s="581">
        <v>85.538050999999996</v>
      </c>
      <c r="C53" s="582"/>
      <c r="D53" s="582"/>
      <c r="E53" s="582"/>
      <c r="F53" s="581"/>
      <c r="G53" s="1168">
        <f t="shared" si="4"/>
        <v>85.538050999999996</v>
      </c>
      <c r="H53" s="1184"/>
      <c r="I53" s="581">
        <v>78.409880000000001</v>
      </c>
      <c r="J53" s="582"/>
      <c r="K53" s="582">
        <v>7.128171</v>
      </c>
      <c r="L53" s="582"/>
      <c r="M53" s="581"/>
      <c r="N53" s="1168">
        <f t="shared" si="0"/>
        <v>85.538050999999996</v>
      </c>
      <c r="O53" s="1184"/>
      <c r="P53" s="581">
        <v>85.538049999999998</v>
      </c>
      <c r="Q53" s="582"/>
      <c r="R53" s="582">
        <v>0</v>
      </c>
      <c r="S53" s="582"/>
      <c r="T53" s="581"/>
      <c r="U53" s="1168">
        <f t="shared" si="1"/>
        <v>85.538049999999998</v>
      </c>
      <c r="V53" s="1184"/>
      <c r="W53" s="1216">
        <v>0</v>
      </c>
      <c r="X53" s="1200"/>
      <c r="Y53" s="1230">
        <v>0</v>
      </c>
      <c r="Z53" s="1200"/>
      <c r="AA53" s="581">
        <v>0</v>
      </c>
      <c r="AB53" s="1168">
        <f t="shared" si="5"/>
        <v>0</v>
      </c>
      <c r="AC53" s="1184"/>
      <c r="AD53" s="225"/>
      <c r="AE53" s="225"/>
    </row>
    <row r="54" spans="1:31" s="226" customFormat="1" ht="15" customHeight="1" x14ac:dyDescent="0.2">
      <c r="A54" s="583">
        <v>2000</v>
      </c>
      <c r="B54" s="514">
        <v>163.94793000000001</v>
      </c>
      <c r="C54" s="515"/>
      <c r="D54" s="515"/>
      <c r="E54" s="515"/>
      <c r="F54" s="514"/>
      <c r="G54" s="1167">
        <f t="shared" si="4"/>
        <v>163.94793000000001</v>
      </c>
      <c r="H54" s="1183"/>
      <c r="I54" s="514">
        <v>135.43520000000001</v>
      </c>
      <c r="J54" s="515"/>
      <c r="K54" s="515">
        <v>28.51268</v>
      </c>
      <c r="L54" s="515"/>
      <c r="M54" s="514"/>
      <c r="N54" s="1167">
        <f t="shared" si="0"/>
        <v>163.94788</v>
      </c>
      <c r="O54" s="1183"/>
      <c r="P54" s="514">
        <v>163.9479</v>
      </c>
      <c r="Q54" s="515"/>
      <c r="R54" s="515">
        <v>0</v>
      </c>
      <c r="S54" s="515"/>
      <c r="T54" s="514"/>
      <c r="U54" s="1167">
        <f t="shared" si="1"/>
        <v>163.9479</v>
      </c>
      <c r="V54" s="1183"/>
      <c r="W54" s="1215">
        <v>0</v>
      </c>
      <c r="X54" s="1199"/>
      <c r="Y54" s="1229">
        <v>0</v>
      </c>
      <c r="Z54" s="1199"/>
      <c r="AA54" s="514">
        <v>0</v>
      </c>
      <c r="AB54" s="1167">
        <f t="shared" si="5"/>
        <v>0</v>
      </c>
      <c r="AC54" s="1183"/>
      <c r="AD54" s="225"/>
      <c r="AE54" s="225"/>
    </row>
    <row r="55" spans="1:31" s="226" customFormat="1" ht="15" customHeight="1" x14ac:dyDescent="0.2">
      <c r="A55" s="583">
        <v>2001</v>
      </c>
      <c r="B55" s="514">
        <v>142.56342000000001</v>
      </c>
      <c r="C55" s="513"/>
      <c r="D55" s="513">
        <v>7.1281708999999998</v>
      </c>
      <c r="E55" s="513"/>
      <c r="F55" s="512"/>
      <c r="G55" s="1169">
        <f t="shared" si="4"/>
        <v>149.69159089999999</v>
      </c>
      <c r="H55" s="1185"/>
      <c r="I55" s="512">
        <v>121.1789</v>
      </c>
      <c r="J55" s="513"/>
      <c r="K55" s="513">
        <v>28.51268</v>
      </c>
      <c r="L55" s="513"/>
      <c r="M55" s="512"/>
      <c r="N55" s="1169">
        <f t="shared" si="0"/>
        <v>149.69157999999999</v>
      </c>
      <c r="O55" s="1185"/>
      <c r="P55" s="512">
        <v>135.43520000000001</v>
      </c>
      <c r="Q55" s="513"/>
      <c r="R55" s="513">
        <v>14.25634</v>
      </c>
      <c r="S55" s="513"/>
      <c r="T55" s="512"/>
      <c r="U55" s="1169">
        <f t="shared" si="1"/>
        <v>149.69154</v>
      </c>
      <c r="V55" s="1185"/>
      <c r="W55" s="1217">
        <v>0</v>
      </c>
      <c r="X55" s="1201"/>
      <c r="Y55" s="1231">
        <v>0</v>
      </c>
      <c r="Z55" s="1201"/>
      <c r="AA55" s="512">
        <v>7.1281708999999998</v>
      </c>
      <c r="AB55" s="1169">
        <f t="shared" si="5"/>
        <v>7.1281708999999998</v>
      </c>
      <c r="AC55" s="1185"/>
      <c r="AD55" s="225"/>
      <c r="AE55" s="225"/>
    </row>
    <row r="56" spans="1:31" s="226" customFormat="1" ht="15" customHeight="1" x14ac:dyDescent="0.2">
      <c r="A56" s="583">
        <v>2002</v>
      </c>
      <c r="B56" s="514">
        <v>163.94793000000001</v>
      </c>
      <c r="C56" s="584"/>
      <c r="D56" s="584"/>
      <c r="E56" s="584"/>
      <c r="F56" s="585"/>
      <c r="G56" s="1170">
        <f t="shared" si="4"/>
        <v>163.94793000000001</v>
      </c>
      <c r="H56" s="1186"/>
      <c r="I56" s="585">
        <v>156.81979999999999</v>
      </c>
      <c r="J56" s="584"/>
      <c r="K56" s="584">
        <v>7.128171</v>
      </c>
      <c r="L56" s="584"/>
      <c r="M56" s="585"/>
      <c r="N56" s="1170">
        <f t="shared" si="0"/>
        <v>163.947971</v>
      </c>
      <c r="O56" s="1186"/>
      <c r="P56" s="585">
        <v>163.9479</v>
      </c>
      <c r="Q56" s="584"/>
      <c r="R56" s="584">
        <v>0</v>
      </c>
      <c r="S56" s="584"/>
      <c r="T56" s="585"/>
      <c r="U56" s="1170">
        <f t="shared" si="1"/>
        <v>163.9479</v>
      </c>
      <c r="V56" s="1186"/>
      <c r="W56" s="1218">
        <v>0</v>
      </c>
      <c r="X56" s="1202"/>
      <c r="Y56" s="1232">
        <v>0</v>
      </c>
      <c r="Z56" s="1202"/>
      <c r="AA56" s="585">
        <v>0</v>
      </c>
      <c r="AB56" s="1170">
        <f t="shared" si="5"/>
        <v>0</v>
      </c>
      <c r="AC56" s="1186"/>
      <c r="AD56" s="225"/>
      <c r="AE56" s="225"/>
    </row>
    <row r="57" spans="1:31" s="226" customFormat="1" ht="15" customHeight="1" x14ac:dyDescent="0.2">
      <c r="A57" s="583">
        <v>2003</v>
      </c>
      <c r="B57" s="514">
        <v>206.71696</v>
      </c>
      <c r="C57" s="584"/>
      <c r="D57" s="584">
        <v>14.256342</v>
      </c>
      <c r="E57" s="584"/>
      <c r="F57" s="585"/>
      <c r="G57" s="1170">
        <f t="shared" si="4"/>
        <v>220.97330199999999</v>
      </c>
      <c r="H57" s="1186"/>
      <c r="I57" s="585">
        <v>199.58879999999999</v>
      </c>
      <c r="J57" s="584"/>
      <c r="K57" s="584">
        <v>21.384509999999999</v>
      </c>
      <c r="L57" s="584"/>
      <c r="M57" s="585"/>
      <c r="N57" s="1170">
        <f t="shared" si="0"/>
        <v>220.97331</v>
      </c>
      <c r="O57" s="1186"/>
      <c r="P57" s="585">
        <v>206.71700000000001</v>
      </c>
      <c r="Q57" s="584"/>
      <c r="R57" s="584">
        <v>14.25634</v>
      </c>
      <c r="S57" s="584"/>
      <c r="T57" s="585"/>
      <c r="U57" s="1170">
        <f t="shared" si="1"/>
        <v>220.97334000000001</v>
      </c>
      <c r="V57" s="1186"/>
      <c r="W57" s="1218">
        <v>0</v>
      </c>
      <c r="X57" s="1202"/>
      <c r="Y57" s="1232">
        <v>0</v>
      </c>
      <c r="Z57" s="1202"/>
      <c r="AA57" s="585">
        <v>0</v>
      </c>
      <c r="AB57" s="1170">
        <f t="shared" si="5"/>
        <v>0</v>
      </c>
      <c r="AC57" s="1186"/>
      <c r="AD57" s="225"/>
      <c r="AE57" s="225"/>
    </row>
    <row r="58" spans="1:31" s="226" customFormat="1" ht="15" customHeight="1" x14ac:dyDescent="0.2">
      <c r="A58" s="583">
        <v>2004</v>
      </c>
      <c r="B58" s="514">
        <v>178.20427000000001</v>
      </c>
      <c r="C58" s="584"/>
      <c r="D58" s="584">
        <v>14.256342</v>
      </c>
      <c r="E58" s="584"/>
      <c r="F58" s="585"/>
      <c r="G58" s="1170">
        <f t="shared" si="4"/>
        <v>192.460612</v>
      </c>
      <c r="H58" s="1186"/>
      <c r="I58" s="585">
        <v>128.30709999999999</v>
      </c>
      <c r="J58" s="584"/>
      <c r="K58" s="584">
        <v>64.153540000000007</v>
      </c>
      <c r="L58" s="584"/>
      <c r="M58" s="585"/>
      <c r="N58" s="1170">
        <f t="shared" si="0"/>
        <v>192.46064000000001</v>
      </c>
      <c r="O58" s="1186"/>
      <c r="P58" s="585">
        <v>178.20429999999999</v>
      </c>
      <c r="Q58" s="584"/>
      <c r="R58" s="584">
        <v>14.25634</v>
      </c>
      <c r="S58" s="584"/>
      <c r="T58" s="585"/>
      <c r="U58" s="1170">
        <f t="shared" si="1"/>
        <v>192.46063999999998</v>
      </c>
      <c r="V58" s="1186"/>
      <c r="W58" s="1218">
        <v>0</v>
      </c>
      <c r="X58" s="1202"/>
      <c r="Y58" s="1232">
        <v>0</v>
      </c>
      <c r="Z58" s="1202"/>
      <c r="AA58" s="585">
        <v>0</v>
      </c>
      <c r="AB58" s="1170">
        <f t="shared" si="5"/>
        <v>0</v>
      </c>
      <c r="AC58" s="1186"/>
      <c r="AD58" s="225"/>
      <c r="AE58" s="225"/>
    </row>
    <row r="59" spans="1:31" s="226" customFormat="1" ht="15" customHeight="1" x14ac:dyDescent="0.2">
      <c r="A59" s="583">
        <v>2005</v>
      </c>
      <c r="B59" s="514">
        <v>249.48598000000001</v>
      </c>
      <c r="C59" s="584"/>
      <c r="D59" s="584"/>
      <c r="E59" s="584"/>
      <c r="F59" s="585"/>
      <c r="G59" s="1170">
        <f t="shared" si="4"/>
        <v>249.48598000000001</v>
      </c>
      <c r="H59" s="1186"/>
      <c r="I59" s="585">
        <v>171.0761</v>
      </c>
      <c r="J59" s="584"/>
      <c r="K59" s="584">
        <v>78.409880000000001</v>
      </c>
      <c r="L59" s="584"/>
      <c r="M59" s="585"/>
      <c r="N59" s="1170">
        <f t="shared" si="0"/>
        <v>249.48597999999998</v>
      </c>
      <c r="O59" s="1186"/>
      <c r="P59" s="585">
        <v>220.97329999999999</v>
      </c>
      <c r="Q59" s="584"/>
      <c r="R59" s="584">
        <v>28.51268</v>
      </c>
      <c r="S59" s="584"/>
      <c r="T59" s="585"/>
      <c r="U59" s="1170">
        <f t="shared" si="1"/>
        <v>249.48597999999998</v>
      </c>
      <c r="V59" s="1186"/>
      <c r="W59" s="1218">
        <v>0</v>
      </c>
      <c r="X59" s="1202"/>
      <c r="Y59" s="1232">
        <v>0</v>
      </c>
      <c r="Z59" s="1202"/>
      <c r="AA59" s="585">
        <v>0</v>
      </c>
      <c r="AB59" s="1170">
        <f t="shared" si="5"/>
        <v>0</v>
      </c>
      <c r="AC59" s="1186"/>
      <c r="AD59" s="225"/>
      <c r="AE59" s="225"/>
    </row>
    <row r="60" spans="1:31" s="226" customFormat="1" ht="15" customHeight="1" x14ac:dyDescent="0.2">
      <c r="A60" s="583">
        <v>2006</v>
      </c>
      <c r="B60" s="514">
        <v>306.51134999999999</v>
      </c>
      <c r="C60" s="584"/>
      <c r="D60" s="584"/>
      <c r="E60" s="584"/>
      <c r="F60" s="585"/>
      <c r="G60" s="1170">
        <f t="shared" si="4"/>
        <v>306.51134999999999</v>
      </c>
      <c r="H60" s="1186"/>
      <c r="I60" s="585">
        <v>249.48599999999999</v>
      </c>
      <c r="J60" s="584"/>
      <c r="K60" s="584">
        <v>57.025370000000002</v>
      </c>
      <c r="L60" s="584"/>
      <c r="M60" s="585"/>
      <c r="N60" s="1170">
        <f t="shared" si="0"/>
        <v>306.51137</v>
      </c>
      <c r="O60" s="1186"/>
      <c r="P60" s="585">
        <v>299.38319999999999</v>
      </c>
      <c r="Q60" s="584"/>
      <c r="R60" s="584">
        <v>7.128171</v>
      </c>
      <c r="S60" s="584"/>
      <c r="T60" s="585"/>
      <c r="U60" s="1170">
        <f t="shared" si="1"/>
        <v>306.511371</v>
      </c>
      <c r="V60" s="1186"/>
      <c r="W60" s="1218">
        <v>0</v>
      </c>
      <c r="X60" s="1202"/>
      <c r="Y60" s="1232">
        <v>0</v>
      </c>
      <c r="Z60" s="1202"/>
      <c r="AA60" s="585">
        <v>0</v>
      </c>
      <c r="AB60" s="1170">
        <f t="shared" si="5"/>
        <v>0</v>
      </c>
      <c r="AC60" s="1186"/>
      <c r="AD60" s="225"/>
      <c r="AE60" s="225"/>
    </row>
    <row r="61" spans="1:31" s="226" customFormat="1" ht="15" customHeight="1" x14ac:dyDescent="0.2">
      <c r="A61" s="583">
        <v>2007</v>
      </c>
      <c r="B61" s="514">
        <v>242.35781</v>
      </c>
      <c r="C61" s="584"/>
      <c r="D61" s="584">
        <v>7.1281708999999998</v>
      </c>
      <c r="E61" s="584"/>
      <c r="F61" s="585"/>
      <c r="G61" s="1170">
        <f t="shared" si="4"/>
        <v>249.48598089999999</v>
      </c>
      <c r="H61" s="1186"/>
      <c r="I61" s="585">
        <v>213.8451</v>
      </c>
      <c r="J61" s="584"/>
      <c r="K61" s="584">
        <v>35.64085</v>
      </c>
      <c r="L61" s="584"/>
      <c r="M61" s="585"/>
      <c r="N61" s="1170">
        <f t="shared" si="0"/>
        <v>249.48595</v>
      </c>
      <c r="O61" s="1186"/>
      <c r="P61" s="585">
        <v>235.2296</v>
      </c>
      <c r="Q61" s="584"/>
      <c r="R61" s="584">
        <v>14.25634</v>
      </c>
      <c r="S61" s="584"/>
      <c r="T61" s="585"/>
      <c r="U61" s="1170">
        <f t="shared" si="1"/>
        <v>249.48594</v>
      </c>
      <c r="V61" s="1186"/>
      <c r="W61" s="1218">
        <v>7.1281708999999998</v>
      </c>
      <c r="X61" s="1202"/>
      <c r="Y61" s="1232">
        <v>0</v>
      </c>
      <c r="Z61" s="1202"/>
      <c r="AA61" s="585">
        <v>0</v>
      </c>
      <c r="AB61" s="1170">
        <f t="shared" si="5"/>
        <v>7.1281708999999998</v>
      </c>
      <c r="AC61" s="1186"/>
      <c r="AD61" s="225"/>
      <c r="AE61" s="225"/>
    </row>
    <row r="62" spans="1:31" s="226" customFormat="1" ht="15" customHeight="1" x14ac:dyDescent="0.2">
      <c r="A62" s="583">
        <v>2008</v>
      </c>
      <c r="B62" s="514">
        <v>299.38317999999998</v>
      </c>
      <c r="C62" s="584"/>
      <c r="D62" s="584">
        <v>21.384512999999998</v>
      </c>
      <c r="E62" s="584"/>
      <c r="F62" s="585"/>
      <c r="G62" s="1170">
        <f t="shared" si="4"/>
        <v>320.76769300000001</v>
      </c>
      <c r="H62" s="1186"/>
      <c r="I62" s="585">
        <v>242.3578</v>
      </c>
      <c r="J62" s="584"/>
      <c r="K62" s="584">
        <v>78.409880000000001</v>
      </c>
      <c r="L62" s="584"/>
      <c r="M62" s="585"/>
      <c r="N62" s="1170">
        <f t="shared" si="0"/>
        <v>320.76767999999998</v>
      </c>
      <c r="O62" s="1186"/>
      <c r="P62" s="585">
        <v>285.1268</v>
      </c>
      <c r="Q62" s="584"/>
      <c r="R62" s="584">
        <v>35.64085</v>
      </c>
      <c r="S62" s="584"/>
      <c r="T62" s="585"/>
      <c r="U62" s="1170">
        <f t="shared" si="1"/>
        <v>320.76765</v>
      </c>
      <c r="V62" s="1186"/>
      <c r="W62" s="1218">
        <v>0</v>
      </c>
      <c r="X62" s="1202"/>
      <c r="Y62" s="1232">
        <v>7.1281708999999998</v>
      </c>
      <c r="Z62" s="1202"/>
      <c r="AA62" s="585">
        <v>0</v>
      </c>
      <c r="AB62" s="1170">
        <f t="shared" si="5"/>
        <v>7.1281708999999998</v>
      </c>
      <c r="AC62" s="1186"/>
      <c r="AD62" s="225"/>
      <c r="AE62" s="225"/>
    </row>
    <row r="63" spans="1:31" s="226" customFormat="1" ht="15" customHeight="1" x14ac:dyDescent="0.2">
      <c r="A63" s="583">
        <v>2009</v>
      </c>
      <c r="B63" s="668">
        <v>335.02403199999998</v>
      </c>
      <c r="C63" s="584"/>
      <c r="D63" s="584">
        <v>21.384512999999998</v>
      </c>
      <c r="E63" s="584"/>
      <c r="F63" s="585"/>
      <c r="G63" s="1170">
        <f t="shared" si="4"/>
        <v>356.408545</v>
      </c>
      <c r="H63" s="1186"/>
      <c r="I63" s="585">
        <v>270.87049999999999</v>
      </c>
      <c r="J63" s="584"/>
      <c r="K63" s="584">
        <v>85.538049999999998</v>
      </c>
      <c r="L63" s="584"/>
      <c r="M63" s="585"/>
      <c r="N63" s="1170">
        <f t="shared" si="0"/>
        <v>356.40854999999999</v>
      </c>
      <c r="O63" s="1186"/>
      <c r="P63" s="585">
        <v>342.15219999999999</v>
      </c>
      <c r="Q63" s="584"/>
      <c r="R63" s="584">
        <v>14.25634</v>
      </c>
      <c r="S63" s="584"/>
      <c r="T63" s="585"/>
      <c r="U63" s="1170">
        <f t="shared" si="1"/>
        <v>356.40854000000002</v>
      </c>
      <c r="V63" s="1186"/>
      <c r="W63" s="1218">
        <v>14.256342</v>
      </c>
      <c r="X63" s="1202"/>
      <c r="Y63" s="1232">
        <v>0</v>
      </c>
      <c r="Z63" s="1202"/>
      <c r="AA63" s="585">
        <v>0</v>
      </c>
      <c r="AB63" s="1170">
        <f t="shared" si="5"/>
        <v>14.256342</v>
      </c>
      <c r="AC63" s="1186"/>
      <c r="AD63" s="225"/>
      <c r="AE63" s="225"/>
    </row>
    <row r="64" spans="1:31" s="226" customFormat="1" ht="15" customHeight="1" x14ac:dyDescent="0.2">
      <c r="A64" s="583">
        <v>2010</v>
      </c>
      <c r="B64" s="668">
        <v>449.07477</v>
      </c>
      <c r="C64" s="584"/>
      <c r="D64" s="584">
        <v>7.1281708999999998</v>
      </c>
      <c r="E64" s="584"/>
      <c r="F64" s="585"/>
      <c r="G64" s="1170">
        <f t="shared" si="4"/>
        <v>456.20294089999999</v>
      </c>
      <c r="H64" s="1186"/>
      <c r="I64" s="585">
        <v>306.51130000000001</v>
      </c>
      <c r="J64" s="584"/>
      <c r="K64" s="584">
        <v>149.69159999999999</v>
      </c>
      <c r="L64" s="584"/>
      <c r="M64" s="585"/>
      <c r="N64" s="1170">
        <f t="shared" si="0"/>
        <v>456.2029</v>
      </c>
      <c r="O64" s="1186"/>
      <c r="P64" s="585">
        <v>413.43389999999999</v>
      </c>
      <c r="Q64" s="584"/>
      <c r="R64" s="584">
        <v>42.769030000000001</v>
      </c>
      <c r="S64" s="584"/>
      <c r="T64" s="585"/>
      <c r="U64" s="1170">
        <f t="shared" si="1"/>
        <v>456.20292999999998</v>
      </c>
      <c r="V64" s="1186"/>
      <c r="W64" s="1218">
        <v>28.512684</v>
      </c>
      <c r="X64" s="1202"/>
      <c r="Y64" s="1232">
        <v>0</v>
      </c>
      <c r="Z64" s="1202"/>
      <c r="AA64" s="585">
        <v>0</v>
      </c>
      <c r="AB64" s="1170">
        <f t="shared" si="5"/>
        <v>28.512684</v>
      </c>
      <c r="AC64" s="1186"/>
      <c r="AD64" s="225"/>
      <c r="AE64" s="225"/>
    </row>
    <row r="65" spans="1:31" s="226" customFormat="1" ht="15" customHeight="1" x14ac:dyDescent="0.2">
      <c r="A65" s="583">
        <v>2011</v>
      </c>
      <c r="B65" s="668">
        <v>456.20294000000001</v>
      </c>
      <c r="C65" s="584"/>
      <c r="D65" s="584">
        <v>49.897196000000001</v>
      </c>
      <c r="E65" s="584"/>
      <c r="F65" s="585"/>
      <c r="G65" s="1170">
        <f t="shared" si="4"/>
        <v>506.10013600000002</v>
      </c>
      <c r="H65" s="1186"/>
      <c r="I65" s="585">
        <v>299.38319999999999</v>
      </c>
      <c r="J65" s="584"/>
      <c r="K65" s="584">
        <v>206.71700000000001</v>
      </c>
      <c r="L65" s="584"/>
      <c r="M65" s="585"/>
      <c r="N65" s="1170">
        <f t="shared" si="0"/>
        <v>506.10019999999997</v>
      </c>
      <c r="O65" s="1186"/>
      <c r="P65" s="585">
        <v>477.5874</v>
      </c>
      <c r="Q65" s="584"/>
      <c r="R65" s="584">
        <v>28.51268</v>
      </c>
      <c r="S65" s="584"/>
      <c r="T65" s="585"/>
      <c r="U65" s="1170">
        <f t="shared" si="1"/>
        <v>506.10007999999999</v>
      </c>
      <c r="V65" s="1186"/>
      <c r="W65" s="1218">
        <v>21.384512999999998</v>
      </c>
      <c r="X65" s="1202"/>
      <c r="Y65" s="1232">
        <v>0</v>
      </c>
      <c r="Z65" s="1202"/>
      <c r="AA65" s="585">
        <v>7.1281708999999998</v>
      </c>
      <c r="AB65" s="1170">
        <f t="shared" si="5"/>
        <v>28.512683899999999</v>
      </c>
      <c r="AC65" s="1186"/>
      <c r="AD65" s="225"/>
      <c r="AE65" s="225"/>
    </row>
    <row r="66" spans="1:31" s="226" customFormat="1" ht="15" customHeight="1" x14ac:dyDescent="0.2">
      <c r="A66" s="583">
        <v>2012</v>
      </c>
      <c r="B66" s="668">
        <v>563.12549999999999</v>
      </c>
      <c r="C66" s="584"/>
      <c r="D66" s="584">
        <v>99.794392999999999</v>
      </c>
      <c r="E66" s="584"/>
      <c r="F66" s="585"/>
      <c r="G66" s="1170">
        <f t="shared" si="4"/>
        <v>662.919893</v>
      </c>
      <c r="H66" s="1186"/>
      <c r="I66" s="585">
        <v>356.4085</v>
      </c>
      <c r="J66" s="584"/>
      <c r="K66" s="584">
        <v>306.51130000000001</v>
      </c>
      <c r="L66" s="584"/>
      <c r="M66" s="585"/>
      <c r="N66" s="1170">
        <f t="shared" si="0"/>
        <v>662.91980000000001</v>
      </c>
      <c r="O66" s="1186"/>
      <c r="P66" s="585">
        <v>598.76639999999998</v>
      </c>
      <c r="Q66" s="584"/>
      <c r="R66" s="584">
        <v>64.153540000000007</v>
      </c>
      <c r="S66" s="584"/>
      <c r="T66" s="585"/>
      <c r="U66" s="1170">
        <f t="shared" si="1"/>
        <v>662.91994</v>
      </c>
      <c r="V66" s="1186"/>
      <c r="W66" s="1218">
        <v>0</v>
      </c>
      <c r="X66" s="1202"/>
      <c r="Y66" s="1232">
        <v>0</v>
      </c>
      <c r="Z66" s="1202"/>
      <c r="AA66" s="585">
        <v>21.384512999999998</v>
      </c>
      <c r="AB66" s="1170">
        <f t="shared" si="5"/>
        <v>21.384512999999998</v>
      </c>
      <c r="AC66" s="1186"/>
      <c r="AD66" s="225"/>
      <c r="AE66" s="225"/>
    </row>
    <row r="67" spans="1:31" s="226" customFormat="1" ht="15" customHeight="1" x14ac:dyDescent="0.2">
      <c r="A67" s="599" t="s">
        <v>310</v>
      </c>
      <c r="B67" s="587"/>
      <c r="C67" s="588"/>
      <c r="D67" s="588"/>
      <c r="E67" s="588"/>
      <c r="F67" s="589"/>
      <c r="G67" s="1171">
        <f t="shared" si="4"/>
        <v>0</v>
      </c>
      <c r="H67" s="1187"/>
      <c r="I67" s="589"/>
      <c r="J67" s="588"/>
      <c r="K67" s="588"/>
      <c r="L67" s="588"/>
      <c r="M67" s="589"/>
      <c r="N67" s="1171">
        <f t="shared" si="0"/>
        <v>0</v>
      </c>
      <c r="O67" s="1187"/>
      <c r="P67" s="589"/>
      <c r="Q67" s="588"/>
      <c r="R67" s="588"/>
      <c r="S67" s="588"/>
      <c r="T67" s="589"/>
      <c r="U67" s="1171">
        <f t="shared" si="1"/>
        <v>0</v>
      </c>
      <c r="V67" s="1187"/>
      <c r="W67" s="587"/>
      <c r="X67" s="1203"/>
      <c r="Y67" s="1233"/>
      <c r="Z67" s="1203"/>
      <c r="AA67" s="589"/>
      <c r="AB67" s="1171">
        <f t="shared" si="5"/>
        <v>0</v>
      </c>
      <c r="AC67" s="1187"/>
      <c r="AD67" s="225"/>
      <c r="AE67" s="78"/>
    </row>
    <row r="68" spans="1:31" s="226" customFormat="1" ht="31.5" customHeight="1" x14ac:dyDescent="0.2">
      <c r="A68" s="600" t="s">
        <v>672</v>
      </c>
      <c r="B68" s="518">
        <f>SUM(B69:B70)</f>
        <v>3000.9599576999999</v>
      </c>
      <c r="C68" s="519"/>
      <c r="D68" s="519">
        <f>SUM(D69:D70)</f>
        <v>463.33111129999998</v>
      </c>
      <c r="E68" s="519"/>
      <c r="F68" s="518"/>
      <c r="G68" s="1172">
        <f>SUM(B68,D68)</f>
        <v>3464.2910689999999</v>
      </c>
      <c r="H68" s="1188"/>
      <c r="I68" s="518">
        <f>SUM(I69:I70)</f>
        <v>2010.1442350000002</v>
      </c>
      <c r="J68" s="519"/>
      <c r="K68" s="519">
        <f>SUM(K69:K70)</f>
        <v>1447.0186659999999</v>
      </c>
      <c r="L68" s="519"/>
      <c r="M68" s="518"/>
      <c r="N68" s="1172">
        <f t="shared" si="0"/>
        <v>3457.1629010000001</v>
      </c>
      <c r="O68" s="1188"/>
      <c r="P68" s="518">
        <f>SUM(P69:P70)</f>
        <v>2815.627434</v>
      </c>
      <c r="Q68" s="519"/>
      <c r="R68" s="519">
        <f>SUM(R69:R70)</f>
        <v>641.53535799999997</v>
      </c>
      <c r="S68" s="519"/>
      <c r="T68" s="518"/>
      <c r="U68" s="1172">
        <f t="shared" si="1"/>
        <v>3457.1627920000001</v>
      </c>
      <c r="V68" s="1188"/>
      <c r="W68" s="1219">
        <f>SUM(W69:W70)</f>
        <v>163.94793149999998</v>
      </c>
      <c r="X68" s="1204"/>
      <c r="Y68" s="1234">
        <f>SUM(Y69:Y70)</f>
        <v>42.7690257</v>
      </c>
      <c r="Z68" s="1204"/>
      <c r="AA68" s="518">
        <f>SUM(AA69:AA70)</f>
        <v>35.640854499999996</v>
      </c>
      <c r="AB68" s="1172">
        <f>SUM(AA68,Y68,W68)</f>
        <v>242.35781169999998</v>
      </c>
      <c r="AC68" s="1188"/>
      <c r="AD68" s="225"/>
      <c r="AE68" s="225"/>
    </row>
    <row r="69" spans="1:31" s="226" customFormat="1" ht="15" customHeight="1" x14ac:dyDescent="0.2">
      <c r="A69" s="704" t="s">
        <v>793</v>
      </c>
      <c r="B69" s="705">
        <f>7.1281709+7.1281709+14.256342+14.256342+7.1281709+14.256342+42.769025</f>
        <v>106.9225637</v>
      </c>
      <c r="C69" s="706"/>
      <c r="D69" s="706">
        <f>7.1281709</f>
        <v>7.1281708999999998</v>
      </c>
      <c r="E69" s="706"/>
      <c r="F69" s="1005"/>
      <c r="G69" s="1166">
        <f t="shared" ref="G69:G93" si="6">SUM(B69,D69)</f>
        <v>114.0507346</v>
      </c>
      <c r="H69" s="1182"/>
      <c r="I69" s="1162">
        <f>7.128171+7.128171 +14.25634+7.128171+7.128171 +7.128171+42.76903</f>
        <v>92.666224999999997</v>
      </c>
      <c r="J69" s="706"/>
      <c r="K69" s="706">
        <f>7.128171+7.128171</f>
        <v>14.256342</v>
      </c>
      <c r="L69" s="706"/>
      <c r="M69" s="1005"/>
      <c r="N69" s="1166">
        <f t="shared" si="0"/>
        <v>106.922567</v>
      </c>
      <c r="O69" s="1182"/>
      <c r="P69" s="706">
        <f>7.128171+7.128171+14.25634+7.128171+7.128171+14.25634+35.64085</f>
        <v>92.666213999999997</v>
      </c>
      <c r="Q69" s="706"/>
      <c r="R69" s="706">
        <f>7.128171+7.128171</f>
        <v>14.256342</v>
      </c>
      <c r="S69" s="706"/>
      <c r="T69" s="1005"/>
      <c r="U69" s="1166">
        <f t="shared" si="1"/>
        <v>106.922556</v>
      </c>
      <c r="V69" s="1197"/>
      <c r="W69" s="705">
        <v>0</v>
      </c>
      <c r="X69" s="1163"/>
      <c r="Y69" s="1228">
        <v>0</v>
      </c>
      <c r="Z69" s="1163"/>
      <c r="AA69" s="1006">
        <v>0</v>
      </c>
      <c r="AB69" s="1166">
        <f t="shared" ref="AB69:AB93" si="7">SUM(AA69,Y69,W69)</f>
        <v>0</v>
      </c>
      <c r="AC69" s="1182"/>
      <c r="AD69" s="225"/>
      <c r="AE69" s="225"/>
    </row>
    <row r="70" spans="1:31" s="603" customFormat="1" ht="15" customHeight="1" x14ac:dyDescent="0.2">
      <c r="A70" s="630" t="s">
        <v>678</v>
      </c>
      <c r="B70" s="607">
        <f>SUM(B71:B94)+ 313.63952+213.84513</f>
        <v>2894.0373939999999</v>
      </c>
      <c r="C70" s="608"/>
      <c r="D70" s="608">
        <f>SUM(D71:D94)+142.56342+78.40988</f>
        <v>456.20294039999999</v>
      </c>
      <c r="E70" s="608"/>
      <c r="F70" s="607"/>
      <c r="G70" s="1173">
        <f t="shared" si="6"/>
        <v>3350.2403343999999</v>
      </c>
      <c r="H70" s="1189"/>
      <c r="I70" s="607">
        <f>SUM(I71:I94)+135.4352+85.53805</f>
        <v>1917.4780100000003</v>
      </c>
      <c r="J70" s="608"/>
      <c r="K70" s="608">
        <f>SUM(K71:K93)+ 320.7677+206.717</f>
        <v>1432.762324</v>
      </c>
      <c r="L70" s="608"/>
      <c r="M70" s="607"/>
      <c r="N70" s="1173">
        <f t="shared" si="0"/>
        <v>3350.2403340000001</v>
      </c>
      <c r="O70" s="1189"/>
      <c r="P70" s="607">
        <f>SUM(P71:P94)+335.024+178.2043</f>
        <v>2722.9612200000001</v>
      </c>
      <c r="Q70" s="608"/>
      <c r="R70" s="608">
        <f>SUM(R71:R93)+121.1789 + 114.0507</f>
        <v>627.27901599999996</v>
      </c>
      <c r="S70" s="608"/>
      <c r="T70" s="607"/>
      <c r="U70" s="1173">
        <f t="shared" si="1"/>
        <v>3350.2402360000001</v>
      </c>
      <c r="V70" s="1189"/>
      <c r="W70" s="1220">
        <f>SUM(W71:W94)+21.384513+78.40988</f>
        <v>163.94793149999998</v>
      </c>
      <c r="X70" s="1205"/>
      <c r="Y70" s="1235">
        <f>SUM(Y71:Y93)+7.1281709+21.384513</f>
        <v>42.7690257</v>
      </c>
      <c r="Z70" s="1205"/>
      <c r="AA70" s="607">
        <f>SUM(AA71:AA94)+7.1281709+7.1281709</f>
        <v>35.640854499999996</v>
      </c>
      <c r="AB70" s="1173">
        <f t="shared" si="7"/>
        <v>242.35781169999998</v>
      </c>
      <c r="AC70" s="1189"/>
      <c r="AD70" s="606"/>
      <c r="AE70" s="606"/>
    </row>
    <row r="71" spans="1:31" s="226" customFormat="1" ht="15" customHeight="1" x14ac:dyDescent="0.2">
      <c r="A71" s="583">
        <v>1990</v>
      </c>
      <c r="B71" s="581">
        <v>14.256342</v>
      </c>
      <c r="C71" s="582"/>
      <c r="D71" s="582"/>
      <c r="E71" s="582"/>
      <c r="F71" s="581"/>
      <c r="G71" s="1168">
        <f t="shared" si="6"/>
        <v>14.256342</v>
      </c>
      <c r="H71" s="1184"/>
      <c r="I71" s="581">
        <v>14.25634</v>
      </c>
      <c r="J71" s="582"/>
      <c r="K71" s="582">
        <v>0</v>
      </c>
      <c r="L71" s="582"/>
      <c r="M71" s="581"/>
      <c r="N71" s="1168">
        <f t="shared" si="0"/>
        <v>14.25634</v>
      </c>
      <c r="O71" s="1184"/>
      <c r="P71" s="581">
        <v>14.25634</v>
      </c>
      <c r="Q71" s="582"/>
      <c r="R71" s="582">
        <v>0</v>
      </c>
      <c r="S71" s="582"/>
      <c r="T71" s="581"/>
      <c r="U71" s="1168">
        <f t="shared" si="1"/>
        <v>14.25634</v>
      </c>
      <c r="V71" s="1184"/>
      <c r="W71" s="1216">
        <v>0</v>
      </c>
      <c r="X71" s="1200"/>
      <c r="Y71" s="1230">
        <v>0</v>
      </c>
      <c r="Z71" s="1200"/>
      <c r="AA71" s="581">
        <v>0</v>
      </c>
      <c r="AB71" s="1168">
        <f t="shared" si="7"/>
        <v>0</v>
      </c>
      <c r="AC71" s="1184"/>
      <c r="AD71" s="225"/>
      <c r="AE71" s="225"/>
    </row>
    <row r="72" spans="1:31" s="226" customFormat="1" ht="15" customHeight="1" x14ac:dyDescent="0.2">
      <c r="A72" s="583">
        <v>1991</v>
      </c>
      <c r="B72" s="581">
        <v>21.384512999999998</v>
      </c>
      <c r="C72" s="582"/>
      <c r="D72" s="582">
        <v>7.1281708999999998</v>
      </c>
      <c r="E72" s="582"/>
      <c r="F72" s="581"/>
      <c r="G72" s="1168">
        <f t="shared" si="6"/>
        <v>28.512683899999999</v>
      </c>
      <c r="H72" s="1184"/>
      <c r="I72" s="581">
        <v>14.25634</v>
      </c>
      <c r="J72" s="582"/>
      <c r="K72" s="582">
        <v>14.25634</v>
      </c>
      <c r="L72" s="582"/>
      <c r="M72" s="581"/>
      <c r="N72" s="1168">
        <f t="shared" si="0"/>
        <v>28.51268</v>
      </c>
      <c r="O72" s="1184"/>
      <c r="P72" s="581">
        <v>28.51268</v>
      </c>
      <c r="Q72" s="582"/>
      <c r="R72" s="582">
        <v>0</v>
      </c>
      <c r="S72" s="582"/>
      <c r="T72" s="581"/>
      <c r="U72" s="1168">
        <f t="shared" si="1"/>
        <v>28.51268</v>
      </c>
      <c r="V72" s="1184"/>
      <c r="W72" s="1216">
        <v>0</v>
      </c>
      <c r="X72" s="1200"/>
      <c r="Y72" s="1230">
        <v>0</v>
      </c>
      <c r="Z72" s="1200"/>
      <c r="AA72" s="581">
        <v>0</v>
      </c>
      <c r="AB72" s="1168">
        <f t="shared" si="7"/>
        <v>0</v>
      </c>
      <c r="AC72" s="1184"/>
      <c r="AD72" s="225"/>
      <c r="AE72" s="225"/>
    </row>
    <row r="73" spans="1:31" s="226" customFormat="1" ht="15" customHeight="1" x14ac:dyDescent="0.2">
      <c r="A73" s="583">
        <v>1992</v>
      </c>
      <c r="B73" s="581">
        <v>21.384512999999998</v>
      </c>
      <c r="C73" s="582"/>
      <c r="D73" s="582">
        <v>7.1281708999999998</v>
      </c>
      <c r="E73" s="582"/>
      <c r="F73" s="581"/>
      <c r="G73" s="1168">
        <f t="shared" si="6"/>
        <v>28.512683899999999</v>
      </c>
      <c r="H73" s="1184"/>
      <c r="I73" s="581">
        <v>21.384509999999999</v>
      </c>
      <c r="J73" s="582"/>
      <c r="K73" s="582">
        <v>7.128171</v>
      </c>
      <c r="L73" s="582"/>
      <c r="M73" s="581"/>
      <c r="N73" s="1168">
        <f t="shared" si="0"/>
        <v>28.512681000000001</v>
      </c>
      <c r="O73" s="1184"/>
      <c r="P73" s="581">
        <v>28.51268</v>
      </c>
      <c r="Q73" s="582"/>
      <c r="R73" s="582">
        <v>0</v>
      </c>
      <c r="S73" s="582"/>
      <c r="T73" s="581"/>
      <c r="U73" s="1168">
        <f t="shared" si="1"/>
        <v>28.51268</v>
      </c>
      <c r="V73" s="1184"/>
      <c r="W73" s="1216">
        <v>0</v>
      </c>
      <c r="X73" s="1200"/>
      <c r="Y73" s="1230">
        <v>0</v>
      </c>
      <c r="Z73" s="1200"/>
      <c r="AA73" s="581">
        <v>0</v>
      </c>
      <c r="AB73" s="1168">
        <f t="shared" si="7"/>
        <v>0</v>
      </c>
      <c r="AC73" s="1184"/>
      <c r="AD73" s="225"/>
      <c r="AE73" s="225"/>
    </row>
    <row r="74" spans="1:31" s="226" customFormat="1" ht="15" customHeight="1" x14ac:dyDescent="0.2">
      <c r="A74" s="583">
        <v>1993</v>
      </c>
      <c r="B74" s="581">
        <v>28.51268</v>
      </c>
      <c r="C74" s="582"/>
      <c r="D74" s="582">
        <v>7.1281708999999998</v>
      </c>
      <c r="E74" s="582"/>
      <c r="F74" s="581"/>
      <c r="G74" s="1168">
        <f t="shared" si="6"/>
        <v>35.640850899999997</v>
      </c>
      <c r="H74" s="1184"/>
      <c r="I74" s="581">
        <v>28.51268</v>
      </c>
      <c r="J74" s="582"/>
      <c r="K74" s="582">
        <v>7.128171</v>
      </c>
      <c r="L74" s="582"/>
      <c r="M74" s="581"/>
      <c r="N74" s="1168">
        <f t="shared" si="0"/>
        <v>35.640850999999998</v>
      </c>
      <c r="O74" s="1184"/>
      <c r="P74" s="581">
        <v>28.51268</v>
      </c>
      <c r="Q74" s="582"/>
      <c r="R74" s="582">
        <v>7.128171</v>
      </c>
      <c r="S74" s="582"/>
      <c r="T74" s="581"/>
      <c r="U74" s="1168">
        <f t="shared" si="1"/>
        <v>35.640850999999998</v>
      </c>
      <c r="V74" s="1184"/>
      <c r="W74" s="1216">
        <v>0</v>
      </c>
      <c r="X74" s="1200"/>
      <c r="Y74" s="1230">
        <v>0</v>
      </c>
      <c r="Z74" s="1200"/>
      <c r="AA74" s="581">
        <v>7.1281708999999998</v>
      </c>
      <c r="AB74" s="1168">
        <f t="shared" si="7"/>
        <v>7.1281708999999998</v>
      </c>
      <c r="AC74" s="1184"/>
      <c r="AD74" s="250"/>
      <c r="AE74" s="250"/>
    </row>
    <row r="75" spans="1:31" s="226" customFormat="1" ht="15" customHeight="1" x14ac:dyDescent="0.2">
      <c r="A75" s="583">
        <v>1994</v>
      </c>
      <c r="B75" s="581">
        <v>35.640853999999997</v>
      </c>
      <c r="C75" s="582"/>
      <c r="D75" s="582"/>
      <c r="E75" s="582"/>
      <c r="F75" s="581"/>
      <c r="G75" s="1168">
        <f t="shared" si="6"/>
        <v>35.640853999999997</v>
      </c>
      <c r="H75" s="1184"/>
      <c r="I75" s="581">
        <v>35.64085</v>
      </c>
      <c r="J75" s="582"/>
      <c r="K75" s="582">
        <v>0</v>
      </c>
      <c r="L75" s="582"/>
      <c r="M75" s="581"/>
      <c r="N75" s="1168">
        <f t="shared" si="0"/>
        <v>35.64085</v>
      </c>
      <c r="O75" s="1184"/>
      <c r="P75" s="581">
        <v>35.64085</v>
      </c>
      <c r="Q75" s="582"/>
      <c r="R75" s="582">
        <v>0</v>
      </c>
      <c r="S75" s="582"/>
      <c r="T75" s="581"/>
      <c r="U75" s="1168">
        <f t="shared" si="1"/>
        <v>35.64085</v>
      </c>
      <c r="V75" s="1184"/>
      <c r="W75" s="1216">
        <v>0</v>
      </c>
      <c r="X75" s="1200"/>
      <c r="Y75" s="1230">
        <v>0</v>
      </c>
      <c r="Z75" s="1200"/>
      <c r="AA75" s="581">
        <v>0</v>
      </c>
      <c r="AB75" s="1168">
        <f t="shared" si="7"/>
        <v>0</v>
      </c>
      <c r="AC75" s="1184"/>
      <c r="AD75" s="225"/>
      <c r="AE75" s="225"/>
    </row>
    <row r="76" spans="1:31" s="226" customFormat="1" ht="15" customHeight="1" x14ac:dyDescent="0.2">
      <c r="A76" s="583">
        <v>1995</v>
      </c>
      <c r="B76" s="581">
        <v>28.512684</v>
      </c>
      <c r="C76" s="582"/>
      <c r="D76" s="582"/>
      <c r="E76" s="582"/>
      <c r="F76" s="581"/>
      <c r="G76" s="1168">
        <f t="shared" si="6"/>
        <v>28.512684</v>
      </c>
      <c r="H76" s="1184"/>
      <c r="I76" s="581">
        <v>28.51268</v>
      </c>
      <c r="J76" s="582"/>
      <c r="K76" s="582">
        <v>0</v>
      </c>
      <c r="L76" s="582"/>
      <c r="M76" s="581"/>
      <c r="N76" s="1168">
        <f t="shared" si="0"/>
        <v>28.51268</v>
      </c>
      <c r="O76" s="1184"/>
      <c r="P76" s="581">
        <v>21.384509999999999</v>
      </c>
      <c r="Q76" s="582"/>
      <c r="R76" s="582">
        <v>7.128171</v>
      </c>
      <c r="S76" s="582"/>
      <c r="T76" s="581"/>
      <c r="U76" s="1168">
        <f t="shared" si="1"/>
        <v>28.512681000000001</v>
      </c>
      <c r="V76" s="1184"/>
      <c r="W76" s="1216">
        <v>0</v>
      </c>
      <c r="X76" s="1200"/>
      <c r="Y76" s="1230">
        <v>0</v>
      </c>
      <c r="Z76" s="1200"/>
      <c r="AA76" s="581">
        <v>0</v>
      </c>
      <c r="AB76" s="1168">
        <f t="shared" si="7"/>
        <v>0</v>
      </c>
      <c r="AC76" s="1184"/>
      <c r="AD76" s="225"/>
      <c r="AE76" s="225"/>
    </row>
    <row r="77" spans="1:31" s="226" customFormat="1" ht="15" customHeight="1" x14ac:dyDescent="0.2">
      <c r="A77" s="583">
        <v>1996</v>
      </c>
      <c r="B77" s="581">
        <v>35.640853999999997</v>
      </c>
      <c r="C77" s="582"/>
      <c r="D77" s="582"/>
      <c r="E77" s="582"/>
      <c r="F77" s="581"/>
      <c r="G77" s="1168">
        <f t="shared" si="6"/>
        <v>35.640853999999997</v>
      </c>
      <c r="H77" s="1184"/>
      <c r="I77" s="581">
        <v>28.51268</v>
      </c>
      <c r="J77" s="582"/>
      <c r="K77" s="582">
        <v>7.128171</v>
      </c>
      <c r="L77" s="582"/>
      <c r="M77" s="581"/>
      <c r="N77" s="1168">
        <f t="shared" si="0"/>
        <v>35.640850999999998</v>
      </c>
      <c r="O77" s="1184"/>
      <c r="P77" s="581">
        <v>35.64085</v>
      </c>
      <c r="Q77" s="582"/>
      <c r="R77" s="582">
        <v>0</v>
      </c>
      <c r="S77" s="582"/>
      <c r="T77" s="581"/>
      <c r="U77" s="1168">
        <f t="shared" si="1"/>
        <v>35.64085</v>
      </c>
      <c r="V77" s="1184"/>
      <c r="W77" s="1216">
        <v>0</v>
      </c>
      <c r="X77" s="1200"/>
      <c r="Y77" s="1230">
        <v>0</v>
      </c>
      <c r="Z77" s="1200"/>
      <c r="AA77" s="581">
        <v>0</v>
      </c>
      <c r="AB77" s="1168">
        <f t="shared" si="7"/>
        <v>0</v>
      </c>
      <c r="AC77" s="1184"/>
      <c r="AD77" s="225"/>
      <c r="AE77" s="225"/>
    </row>
    <row r="78" spans="1:31" s="226" customFormat="1" ht="15" customHeight="1" x14ac:dyDescent="0.2">
      <c r="A78" s="583">
        <v>1997</v>
      </c>
      <c r="B78" s="581">
        <v>35.640853999999997</v>
      </c>
      <c r="C78" s="582"/>
      <c r="D78" s="582"/>
      <c r="E78" s="582"/>
      <c r="F78" s="581"/>
      <c r="G78" s="1168">
        <f t="shared" si="6"/>
        <v>35.640853999999997</v>
      </c>
      <c r="H78" s="1184"/>
      <c r="I78" s="581">
        <v>21.384509999999999</v>
      </c>
      <c r="J78" s="582"/>
      <c r="K78" s="582">
        <v>14.25634</v>
      </c>
      <c r="L78" s="582"/>
      <c r="M78" s="581"/>
      <c r="N78" s="1168">
        <f t="shared" si="0"/>
        <v>35.64085</v>
      </c>
      <c r="O78" s="1184"/>
      <c r="P78" s="581">
        <v>35.64085</v>
      </c>
      <c r="Q78" s="582"/>
      <c r="R78" s="582">
        <v>0</v>
      </c>
      <c r="S78" s="582"/>
      <c r="T78" s="581"/>
      <c r="U78" s="1168">
        <f t="shared" si="1"/>
        <v>35.64085</v>
      </c>
      <c r="V78" s="1184"/>
      <c r="W78" s="1216">
        <v>0</v>
      </c>
      <c r="X78" s="1200"/>
      <c r="Y78" s="1230">
        <v>0</v>
      </c>
      <c r="Z78" s="1200"/>
      <c r="AA78" s="581">
        <v>0</v>
      </c>
      <c r="AB78" s="1168">
        <f t="shared" si="7"/>
        <v>0</v>
      </c>
      <c r="AC78" s="1184"/>
      <c r="AD78" s="225"/>
      <c r="AE78" s="225"/>
    </row>
    <row r="79" spans="1:31" s="226" customFormat="1" ht="15" customHeight="1" x14ac:dyDescent="0.2">
      <c r="A79" s="583">
        <v>1998</v>
      </c>
      <c r="B79" s="581">
        <v>28.512684</v>
      </c>
      <c r="C79" s="582"/>
      <c r="D79" s="582">
        <v>14.256342</v>
      </c>
      <c r="E79" s="582"/>
      <c r="F79" s="581"/>
      <c r="G79" s="1168">
        <f t="shared" si="6"/>
        <v>42.769025999999997</v>
      </c>
      <c r="H79" s="1184"/>
      <c r="I79" s="581">
        <v>21.384509999999999</v>
      </c>
      <c r="J79" s="582"/>
      <c r="K79" s="582">
        <v>21.384509999999999</v>
      </c>
      <c r="L79" s="582"/>
      <c r="M79" s="581"/>
      <c r="N79" s="1168">
        <f t="shared" ref="N79:N94" si="8">SUM(I79,K79)</f>
        <v>42.769019999999998</v>
      </c>
      <c r="O79" s="1184"/>
      <c r="P79" s="581">
        <v>35.64085</v>
      </c>
      <c r="Q79" s="582"/>
      <c r="R79" s="582">
        <v>7.128171</v>
      </c>
      <c r="S79" s="582"/>
      <c r="T79" s="581"/>
      <c r="U79" s="1168">
        <f t="shared" ref="U79:U94" si="9">SUM(P79,R79)</f>
        <v>42.769021000000002</v>
      </c>
      <c r="V79" s="1184"/>
      <c r="W79" s="1216">
        <v>0</v>
      </c>
      <c r="X79" s="1200"/>
      <c r="Y79" s="1230">
        <v>0</v>
      </c>
      <c r="Z79" s="1200"/>
      <c r="AA79" s="581">
        <v>0</v>
      </c>
      <c r="AB79" s="1168">
        <f t="shared" si="7"/>
        <v>0</v>
      </c>
      <c r="AC79" s="1184"/>
      <c r="AD79" s="225"/>
      <c r="AE79" s="225"/>
    </row>
    <row r="80" spans="1:31" s="226" customFormat="1" ht="15" customHeight="1" x14ac:dyDescent="0.2">
      <c r="A80" s="583">
        <v>1999</v>
      </c>
      <c r="B80" s="581">
        <v>64.153537999999998</v>
      </c>
      <c r="C80" s="582"/>
      <c r="D80" s="582"/>
      <c r="E80" s="582"/>
      <c r="F80" s="581"/>
      <c r="G80" s="1168">
        <f t="shared" si="6"/>
        <v>64.153537999999998</v>
      </c>
      <c r="H80" s="1184"/>
      <c r="I80" s="581">
        <v>64.153540000000007</v>
      </c>
      <c r="J80" s="582"/>
      <c r="K80" s="582">
        <v>0</v>
      </c>
      <c r="L80" s="582"/>
      <c r="M80" s="581"/>
      <c r="N80" s="1168">
        <f t="shared" si="8"/>
        <v>64.153540000000007</v>
      </c>
      <c r="O80" s="1184"/>
      <c r="P80" s="581">
        <v>64.153540000000007</v>
      </c>
      <c r="Q80" s="582"/>
      <c r="R80" s="582">
        <v>0</v>
      </c>
      <c r="S80" s="582"/>
      <c r="T80" s="581"/>
      <c r="U80" s="1168">
        <f t="shared" si="9"/>
        <v>64.153540000000007</v>
      </c>
      <c r="V80" s="1184"/>
      <c r="W80" s="1216">
        <v>7.1281708999999998</v>
      </c>
      <c r="X80" s="1200"/>
      <c r="Y80" s="1230">
        <v>0</v>
      </c>
      <c r="Z80" s="1200"/>
      <c r="AA80" s="581">
        <v>0</v>
      </c>
      <c r="AB80" s="1168">
        <f t="shared" si="7"/>
        <v>7.1281708999999998</v>
      </c>
      <c r="AC80" s="1184"/>
      <c r="AD80" s="225"/>
      <c r="AE80" s="225"/>
    </row>
    <row r="81" spans="1:31" s="226" customFormat="1" ht="15" customHeight="1" x14ac:dyDescent="0.2">
      <c r="A81" s="583">
        <v>2000</v>
      </c>
      <c r="B81" s="514">
        <v>78.409880000000001</v>
      </c>
      <c r="C81" s="515"/>
      <c r="D81" s="515"/>
      <c r="E81" s="515"/>
      <c r="F81" s="514"/>
      <c r="G81" s="1167">
        <f t="shared" si="6"/>
        <v>78.409880000000001</v>
      </c>
      <c r="H81" s="1183"/>
      <c r="I81" s="514">
        <v>78.409880000000001</v>
      </c>
      <c r="J81" s="515"/>
      <c r="K81" s="515">
        <v>0</v>
      </c>
      <c r="L81" s="515"/>
      <c r="M81" s="514"/>
      <c r="N81" s="1167">
        <f t="shared" si="8"/>
        <v>78.409880000000001</v>
      </c>
      <c r="O81" s="1183"/>
      <c r="P81" s="514">
        <v>57.025370000000002</v>
      </c>
      <c r="Q81" s="515"/>
      <c r="R81" s="515">
        <v>21.384509999999999</v>
      </c>
      <c r="S81" s="515"/>
      <c r="T81" s="514"/>
      <c r="U81" s="1167">
        <f t="shared" si="9"/>
        <v>78.409880000000001</v>
      </c>
      <c r="V81" s="1183"/>
      <c r="W81" s="1215">
        <v>7.1281708999999998</v>
      </c>
      <c r="X81" s="1199"/>
      <c r="Y81" s="1229">
        <v>0</v>
      </c>
      <c r="Z81" s="1199"/>
      <c r="AA81" s="514">
        <v>0</v>
      </c>
      <c r="AB81" s="1167">
        <f t="shared" si="7"/>
        <v>7.1281708999999998</v>
      </c>
      <c r="AC81" s="1183"/>
      <c r="AD81" s="225"/>
      <c r="AE81" s="225"/>
    </row>
    <row r="82" spans="1:31" s="226" customFormat="1" ht="15" customHeight="1" x14ac:dyDescent="0.2">
      <c r="A82" s="583">
        <v>2001</v>
      </c>
      <c r="B82" s="514">
        <v>35.640853999999997</v>
      </c>
      <c r="C82" s="513"/>
      <c r="D82" s="513"/>
      <c r="E82" s="513"/>
      <c r="F82" s="512"/>
      <c r="G82" s="1169">
        <f t="shared" si="6"/>
        <v>35.640853999999997</v>
      </c>
      <c r="H82" s="1185"/>
      <c r="I82" s="512">
        <v>35.64085</v>
      </c>
      <c r="J82" s="513"/>
      <c r="K82" s="513">
        <v>0</v>
      </c>
      <c r="L82" s="513"/>
      <c r="M82" s="512"/>
      <c r="N82" s="1169">
        <f t="shared" si="8"/>
        <v>35.64085</v>
      </c>
      <c r="O82" s="1185"/>
      <c r="P82" s="512">
        <v>28.51268</v>
      </c>
      <c r="Q82" s="513"/>
      <c r="R82" s="513">
        <v>7.128171</v>
      </c>
      <c r="S82" s="513"/>
      <c r="T82" s="512"/>
      <c r="U82" s="1169">
        <f t="shared" si="9"/>
        <v>35.640850999999998</v>
      </c>
      <c r="V82" s="1185"/>
      <c r="W82" s="1217">
        <v>0</v>
      </c>
      <c r="X82" s="1201"/>
      <c r="Y82" s="1231">
        <v>0</v>
      </c>
      <c r="Z82" s="1201"/>
      <c r="AA82" s="512">
        <v>0</v>
      </c>
      <c r="AB82" s="1169">
        <f t="shared" si="7"/>
        <v>0</v>
      </c>
      <c r="AC82" s="1185"/>
      <c r="AD82" s="225"/>
      <c r="AE82" s="225"/>
    </row>
    <row r="83" spans="1:31" s="226" customFormat="1" ht="15" customHeight="1" x14ac:dyDescent="0.2">
      <c r="A83" s="583">
        <v>2002</v>
      </c>
      <c r="B83" s="514">
        <v>28.512684</v>
      </c>
      <c r="C83" s="584"/>
      <c r="D83" s="584"/>
      <c r="E83" s="584"/>
      <c r="F83" s="585"/>
      <c r="G83" s="1170">
        <f t="shared" si="6"/>
        <v>28.512684</v>
      </c>
      <c r="H83" s="1186"/>
      <c r="I83" s="585">
        <v>21.384509999999999</v>
      </c>
      <c r="J83" s="584"/>
      <c r="K83" s="584">
        <v>7.128171</v>
      </c>
      <c r="L83" s="584"/>
      <c r="M83" s="585"/>
      <c r="N83" s="1170">
        <f t="shared" si="8"/>
        <v>28.512681000000001</v>
      </c>
      <c r="O83" s="1186"/>
      <c r="P83" s="585">
        <v>28.51268</v>
      </c>
      <c r="Q83" s="584"/>
      <c r="R83" s="584">
        <v>0</v>
      </c>
      <c r="S83" s="584"/>
      <c r="T83" s="585"/>
      <c r="U83" s="1170">
        <f t="shared" si="9"/>
        <v>28.51268</v>
      </c>
      <c r="V83" s="1186"/>
      <c r="W83" s="1218">
        <v>0</v>
      </c>
      <c r="X83" s="1202"/>
      <c r="Y83" s="1232">
        <v>0</v>
      </c>
      <c r="Z83" s="1202"/>
      <c r="AA83" s="585">
        <v>0</v>
      </c>
      <c r="AB83" s="1170">
        <f t="shared" si="7"/>
        <v>0</v>
      </c>
      <c r="AC83" s="1186"/>
      <c r="AD83" s="225"/>
      <c r="AE83" s="225"/>
    </row>
    <row r="84" spans="1:31" s="226" customFormat="1" ht="15" customHeight="1" x14ac:dyDescent="0.2">
      <c r="A84" s="583">
        <v>2003</v>
      </c>
      <c r="B84" s="514">
        <v>85.538050999999996</v>
      </c>
      <c r="C84" s="584"/>
      <c r="D84" s="584">
        <v>7.1281708999999998</v>
      </c>
      <c r="E84" s="584"/>
      <c r="F84" s="585"/>
      <c r="G84" s="1170">
        <f t="shared" si="6"/>
        <v>92.666221899999996</v>
      </c>
      <c r="H84" s="1186"/>
      <c r="I84" s="585">
        <v>71.281710000000004</v>
      </c>
      <c r="J84" s="584"/>
      <c r="K84" s="584">
        <v>21.384509999999999</v>
      </c>
      <c r="L84" s="584"/>
      <c r="M84" s="585"/>
      <c r="N84" s="1170">
        <f t="shared" si="8"/>
        <v>92.66622000000001</v>
      </c>
      <c r="O84" s="1186"/>
      <c r="P84" s="585">
        <v>85.538049999999998</v>
      </c>
      <c r="Q84" s="584"/>
      <c r="R84" s="584">
        <v>7.128171</v>
      </c>
      <c r="S84" s="584"/>
      <c r="T84" s="585"/>
      <c r="U84" s="1170">
        <f t="shared" si="9"/>
        <v>92.666220999999993</v>
      </c>
      <c r="V84" s="1186"/>
      <c r="W84" s="1218">
        <v>0</v>
      </c>
      <c r="X84" s="1202"/>
      <c r="Y84" s="1232">
        <v>0</v>
      </c>
      <c r="Z84" s="1202"/>
      <c r="AA84" s="585">
        <v>0</v>
      </c>
      <c r="AB84" s="1170">
        <f t="shared" si="7"/>
        <v>0</v>
      </c>
      <c r="AC84" s="1186"/>
      <c r="AD84" s="225"/>
      <c r="AE84" s="225"/>
    </row>
    <row r="85" spans="1:31" s="226" customFormat="1" ht="15" customHeight="1" x14ac:dyDescent="0.2">
      <c r="A85" s="583">
        <v>2004</v>
      </c>
      <c r="B85" s="514">
        <v>71.281709000000006</v>
      </c>
      <c r="C85" s="584"/>
      <c r="D85" s="584"/>
      <c r="E85" s="584"/>
      <c r="F85" s="585"/>
      <c r="G85" s="1170">
        <f t="shared" si="6"/>
        <v>71.281709000000006</v>
      </c>
      <c r="H85" s="1186"/>
      <c r="I85" s="585">
        <v>42.769030000000001</v>
      </c>
      <c r="J85" s="584"/>
      <c r="K85" s="584">
        <v>28.51268</v>
      </c>
      <c r="L85" s="584"/>
      <c r="M85" s="585"/>
      <c r="N85" s="1170">
        <f t="shared" si="8"/>
        <v>71.281710000000004</v>
      </c>
      <c r="O85" s="1186"/>
      <c r="P85" s="585">
        <v>71.281710000000004</v>
      </c>
      <c r="Q85" s="584"/>
      <c r="R85" s="584">
        <v>0</v>
      </c>
      <c r="S85" s="584"/>
      <c r="T85" s="585"/>
      <c r="U85" s="1170">
        <f t="shared" si="9"/>
        <v>71.281710000000004</v>
      </c>
      <c r="V85" s="1186"/>
      <c r="W85" s="1218">
        <v>0</v>
      </c>
      <c r="X85" s="1202"/>
      <c r="Y85" s="1232">
        <v>0</v>
      </c>
      <c r="Z85" s="1202"/>
      <c r="AA85" s="585">
        <v>0</v>
      </c>
      <c r="AB85" s="1170">
        <f t="shared" si="7"/>
        <v>0</v>
      </c>
      <c r="AC85" s="1186"/>
      <c r="AD85" s="225"/>
      <c r="AE85" s="225"/>
    </row>
    <row r="86" spans="1:31" s="226" customFormat="1" ht="15" customHeight="1" x14ac:dyDescent="0.2">
      <c r="A86" s="583">
        <v>2005</v>
      </c>
      <c r="B86" s="514">
        <v>114.05073</v>
      </c>
      <c r="C86" s="584"/>
      <c r="D86" s="584"/>
      <c r="E86" s="584"/>
      <c r="F86" s="585"/>
      <c r="G86" s="1170">
        <f t="shared" si="6"/>
        <v>114.05073</v>
      </c>
      <c r="H86" s="1186"/>
      <c r="I86" s="585">
        <v>85.538049999999998</v>
      </c>
      <c r="J86" s="584"/>
      <c r="K86" s="584">
        <v>28.51268</v>
      </c>
      <c r="L86" s="584"/>
      <c r="M86" s="585"/>
      <c r="N86" s="1170">
        <f t="shared" si="8"/>
        <v>114.05073</v>
      </c>
      <c r="O86" s="1186"/>
      <c r="P86" s="585">
        <v>106.9226</v>
      </c>
      <c r="Q86" s="584"/>
      <c r="R86" s="584">
        <v>7.128171</v>
      </c>
      <c r="S86" s="584"/>
      <c r="T86" s="585"/>
      <c r="U86" s="1170">
        <f t="shared" si="9"/>
        <v>114.050771</v>
      </c>
      <c r="V86" s="1186"/>
      <c r="W86" s="1218">
        <v>0</v>
      </c>
      <c r="X86" s="1202"/>
      <c r="Y86" s="1232">
        <v>0</v>
      </c>
      <c r="Z86" s="1202"/>
      <c r="AA86" s="585">
        <v>0</v>
      </c>
      <c r="AB86" s="1170">
        <f t="shared" si="7"/>
        <v>0</v>
      </c>
      <c r="AC86" s="1186"/>
      <c r="AD86" s="225"/>
      <c r="AE86" s="225"/>
    </row>
    <row r="87" spans="1:31" s="226" customFormat="1" ht="15" customHeight="1" x14ac:dyDescent="0.2">
      <c r="A87" s="583">
        <v>2006</v>
      </c>
      <c r="B87" s="514">
        <v>121.17891</v>
      </c>
      <c r="C87" s="584"/>
      <c r="D87" s="584">
        <v>7.1281708999999998</v>
      </c>
      <c r="E87" s="584"/>
      <c r="F87" s="585"/>
      <c r="G87" s="1170">
        <f t="shared" si="6"/>
        <v>128.30708089999999</v>
      </c>
      <c r="H87" s="1186"/>
      <c r="I87" s="585">
        <v>99.794390000000007</v>
      </c>
      <c r="J87" s="584"/>
      <c r="K87" s="584">
        <v>28.51268</v>
      </c>
      <c r="L87" s="584"/>
      <c r="M87" s="585"/>
      <c r="N87" s="1170">
        <f t="shared" si="8"/>
        <v>128.30707000000001</v>
      </c>
      <c r="O87" s="1186"/>
      <c r="P87" s="585">
        <v>114.05070000000001</v>
      </c>
      <c r="Q87" s="584"/>
      <c r="R87" s="584">
        <v>14.25634</v>
      </c>
      <c r="S87" s="584"/>
      <c r="T87" s="585"/>
      <c r="U87" s="1170">
        <f t="shared" si="9"/>
        <v>128.30704</v>
      </c>
      <c r="V87" s="1186"/>
      <c r="W87" s="1218">
        <v>0</v>
      </c>
      <c r="X87" s="1202"/>
      <c r="Y87" s="1232">
        <v>0</v>
      </c>
      <c r="Z87" s="1202"/>
      <c r="AA87" s="585">
        <v>0</v>
      </c>
      <c r="AB87" s="1170">
        <f t="shared" si="7"/>
        <v>0</v>
      </c>
      <c r="AC87" s="1186"/>
      <c r="AD87" s="225"/>
      <c r="AE87" s="225"/>
    </row>
    <row r="88" spans="1:31" s="226" customFormat="1" ht="15" customHeight="1" x14ac:dyDescent="0.2">
      <c r="A88" s="583">
        <v>2007</v>
      </c>
      <c r="B88" s="514">
        <v>142.56342000000001</v>
      </c>
      <c r="C88" s="584"/>
      <c r="D88" s="584">
        <v>14.256342</v>
      </c>
      <c r="E88" s="584"/>
      <c r="F88" s="585"/>
      <c r="G88" s="1170">
        <f t="shared" si="6"/>
        <v>156.819762</v>
      </c>
      <c r="H88" s="1186"/>
      <c r="I88" s="585">
        <v>106.9226</v>
      </c>
      <c r="J88" s="584"/>
      <c r="K88" s="584">
        <v>49.897199999999998</v>
      </c>
      <c r="L88" s="584"/>
      <c r="M88" s="585"/>
      <c r="N88" s="1170">
        <f t="shared" si="8"/>
        <v>156.81979999999999</v>
      </c>
      <c r="O88" s="1186"/>
      <c r="P88" s="585">
        <v>128.30709999999999</v>
      </c>
      <c r="Q88" s="584"/>
      <c r="R88" s="584">
        <v>28.51268</v>
      </c>
      <c r="S88" s="584"/>
      <c r="T88" s="585"/>
      <c r="U88" s="1170">
        <f t="shared" si="9"/>
        <v>156.81977999999998</v>
      </c>
      <c r="V88" s="1186"/>
      <c r="W88" s="1218">
        <v>7.1281708999999998</v>
      </c>
      <c r="X88" s="1202"/>
      <c r="Y88" s="1232">
        <v>0</v>
      </c>
      <c r="Z88" s="1202"/>
      <c r="AA88" s="585">
        <v>0</v>
      </c>
      <c r="AB88" s="1170">
        <f t="shared" si="7"/>
        <v>7.1281708999999998</v>
      </c>
      <c r="AC88" s="1186"/>
      <c r="AD88" s="225"/>
      <c r="AE88" s="225"/>
    </row>
    <row r="89" spans="1:31" s="226" customFormat="1" ht="15" customHeight="1" x14ac:dyDescent="0.2">
      <c r="A89" s="583">
        <v>2008</v>
      </c>
      <c r="B89" s="514">
        <v>206.71696</v>
      </c>
      <c r="C89" s="584"/>
      <c r="D89" s="584">
        <v>7.1281708999999998</v>
      </c>
      <c r="E89" s="584"/>
      <c r="F89" s="585"/>
      <c r="G89" s="1170">
        <f t="shared" si="6"/>
        <v>213.84513089999999</v>
      </c>
      <c r="H89" s="1186"/>
      <c r="I89" s="585">
        <v>156.81979999999999</v>
      </c>
      <c r="J89" s="584"/>
      <c r="K89" s="584">
        <v>57.025370000000002</v>
      </c>
      <c r="L89" s="584"/>
      <c r="M89" s="585"/>
      <c r="N89" s="1170">
        <f t="shared" si="8"/>
        <v>213.84517</v>
      </c>
      <c r="O89" s="1186"/>
      <c r="P89" s="585">
        <v>185.33240000000001</v>
      </c>
      <c r="Q89" s="584"/>
      <c r="R89" s="584">
        <v>28.51268</v>
      </c>
      <c r="S89" s="584"/>
      <c r="T89" s="585"/>
      <c r="U89" s="1170">
        <f t="shared" si="9"/>
        <v>213.84508</v>
      </c>
      <c r="V89" s="1186"/>
      <c r="W89" s="1218">
        <v>0</v>
      </c>
      <c r="X89" s="1202"/>
      <c r="Y89" s="1232">
        <v>0</v>
      </c>
      <c r="Z89" s="1202"/>
      <c r="AA89" s="585">
        <v>0</v>
      </c>
      <c r="AB89" s="1170">
        <f t="shared" si="7"/>
        <v>0</v>
      </c>
      <c r="AC89" s="1186"/>
      <c r="AD89" s="225"/>
      <c r="AE89" s="225"/>
    </row>
    <row r="90" spans="1:31" s="226" customFormat="1" ht="15" customHeight="1" x14ac:dyDescent="0.2">
      <c r="A90" s="583">
        <v>2009</v>
      </c>
      <c r="B90" s="668">
        <v>178.20427000000001</v>
      </c>
      <c r="C90" s="584"/>
      <c r="D90" s="584"/>
      <c r="E90" s="584"/>
      <c r="F90" s="585"/>
      <c r="G90" s="1170">
        <f t="shared" si="6"/>
        <v>178.20427000000001</v>
      </c>
      <c r="H90" s="1186"/>
      <c r="I90" s="585">
        <v>135.43520000000001</v>
      </c>
      <c r="J90" s="584"/>
      <c r="K90" s="584">
        <v>42.769030000000001</v>
      </c>
      <c r="L90" s="584"/>
      <c r="M90" s="585"/>
      <c r="N90" s="1170">
        <f t="shared" si="8"/>
        <v>178.20423</v>
      </c>
      <c r="O90" s="1186"/>
      <c r="P90" s="585">
        <v>149.69159999999999</v>
      </c>
      <c r="Q90" s="584"/>
      <c r="R90" s="584">
        <v>28.51268</v>
      </c>
      <c r="S90" s="584"/>
      <c r="T90" s="585"/>
      <c r="U90" s="1170">
        <f t="shared" si="9"/>
        <v>178.20427999999998</v>
      </c>
      <c r="V90" s="1186"/>
      <c r="W90" s="1218">
        <v>7.1281708999999998</v>
      </c>
      <c r="X90" s="1202"/>
      <c r="Y90" s="1232">
        <v>0</v>
      </c>
      <c r="Z90" s="1202"/>
      <c r="AA90" s="585">
        <v>0</v>
      </c>
      <c r="AB90" s="1170">
        <f t="shared" si="7"/>
        <v>7.1281708999999998</v>
      </c>
      <c r="AC90" s="1186"/>
      <c r="AD90" s="225"/>
      <c r="AE90" s="225"/>
    </row>
    <row r="91" spans="1:31" s="226" customFormat="1" ht="15" customHeight="1" x14ac:dyDescent="0.2">
      <c r="A91" s="583">
        <v>2010</v>
      </c>
      <c r="B91" s="668">
        <v>313.63952</v>
      </c>
      <c r="C91" s="584"/>
      <c r="D91" s="584">
        <v>28.512684</v>
      </c>
      <c r="E91" s="584"/>
      <c r="F91" s="585"/>
      <c r="G91" s="1170">
        <f t="shared" si="6"/>
        <v>342.15220399999998</v>
      </c>
      <c r="H91" s="1186"/>
      <c r="I91" s="585">
        <v>199.58879999999999</v>
      </c>
      <c r="J91" s="584"/>
      <c r="K91" s="584">
        <v>142.5634</v>
      </c>
      <c r="L91" s="584"/>
      <c r="M91" s="585"/>
      <c r="N91" s="1170">
        <f t="shared" si="8"/>
        <v>342.15219999999999</v>
      </c>
      <c r="O91" s="1186"/>
      <c r="P91" s="585">
        <v>249.48599999999999</v>
      </c>
      <c r="Q91" s="584"/>
      <c r="R91" s="584">
        <v>92.666219999999996</v>
      </c>
      <c r="S91" s="584"/>
      <c r="T91" s="585"/>
      <c r="U91" s="1170">
        <f t="shared" si="9"/>
        <v>342.15222</v>
      </c>
      <c r="V91" s="1186"/>
      <c r="W91" s="1218">
        <v>14.256342</v>
      </c>
      <c r="X91" s="1202"/>
      <c r="Y91" s="1232">
        <v>7.1281708999999998</v>
      </c>
      <c r="Z91" s="1202"/>
      <c r="AA91" s="585">
        <f>7.1281709</f>
        <v>7.1281708999999998</v>
      </c>
      <c r="AB91" s="1170">
        <f t="shared" si="7"/>
        <v>28.512683799999998</v>
      </c>
      <c r="AC91" s="1186"/>
      <c r="AD91" s="225"/>
      <c r="AE91" s="225"/>
    </row>
    <row r="92" spans="1:31" s="226" customFormat="1" ht="15" customHeight="1" x14ac:dyDescent="0.2">
      <c r="A92" s="583">
        <v>2011</v>
      </c>
      <c r="B92" s="668">
        <v>285.12684000000002</v>
      </c>
      <c r="C92" s="584"/>
      <c r="D92" s="584">
        <v>35.640853999999997</v>
      </c>
      <c r="E92" s="584"/>
      <c r="F92" s="585"/>
      <c r="G92" s="1170">
        <f t="shared" si="6"/>
        <v>320.76769400000001</v>
      </c>
      <c r="H92" s="1186"/>
      <c r="I92" s="585">
        <v>156.81979999999999</v>
      </c>
      <c r="J92" s="584"/>
      <c r="K92" s="584">
        <v>163.9479</v>
      </c>
      <c r="L92" s="584"/>
      <c r="M92" s="585"/>
      <c r="N92" s="1170">
        <f t="shared" si="8"/>
        <v>320.76769999999999</v>
      </c>
      <c r="O92" s="1186"/>
      <c r="P92" s="585">
        <v>292.255</v>
      </c>
      <c r="Q92" s="584"/>
      <c r="R92" s="584">
        <v>28.51268</v>
      </c>
      <c r="S92" s="584"/>
      <c r="T92" s="585"/>
      <c r="U92" s="1170">
        <f t="shared" si="9"/>
        <v>320.76767999999998</v>
      </c>
      <c r="V92" s="1186"/>
      <c r="W92" s="1218">
        <v>7.1281708999999998</v>
      </c>
      <c r="X92" s="1202"/>
      <c r="Y92" s="1232">
        <v>0</v>
      </c>
      <c r="Z92" s="1202"/>
      <c r="AA92" s="585">
        <v>0</v>
      </c>
      <c r="AB92" s="1170">
        <f t="shared" si="7"/>
        <v>7.1281708999999998</v>
      </c>
      <c r="AC92" s="1186"/>
      <c r="AD92" s="225"/>
      <c r="AE92" s="225"/>
    </row>
    <row r="93" spans="1:31" s="226" customFormat="1" ht="15" customHeight="1" x14ac:dyDescent="0.2">
      <c r="A93" s="583">
        <v>2012</v>
      </c>
      <c r="B93" s="668">
        <v>392.04939999999999</v>
      </c>
      <c r="C93" s="584"/>
      <c r="D93" s="584">
        <v>99.794392999999999</v>
      </c>
      <c r="E93" s="584"/>
      <c r="F93" s="585"/>
      <c r="G93" s="1170">
        <f t="shared" si="6"/>
        <v>491.84379300000001</v>
      </c>
      <c r="H93" s="1186"/>
      <c r="I93" s="585">
        <v>228.10149999999999</v>
      </c>
      <c r="J93" s="584"/>
      <c r="K93" s="584">
        <v>263.7423</v>
      </c>
      <c r="L93" s="584"/>
      <c r="M93" s="585"/>
      <c r="N93" s="1170">
        <f t="shared" si="8"/>
        <v>491.84379999999999</v>
      </c>
      <c r="O93" s="1186"/>
      <c r="P93" s="585">
        <v>384.9212</v>
      </c>
      <c r="Q93" s="584"/>
      <c r="R93" s="584">
        <v>106.9226</v>
      </c>
      <c r="S93" s="584"/>
      <c r="T93" s="585"/>
      <c r="U93" s="1170">
        <f t="shared" si="9"/>
        <v>491.84379999999999</v>
      </c>
      <c r="V93" s="1186"/>
      <c r="W93" s="1218">
        <v>14.256342</v>
      </c>
      <c r="X93" s="1202"/>
      <c r="Y93" s="1232">
        <v>7.1281708999999998</v>
      </c>
      <c r="Z93" s="1202"/>
      <c r="AA93" s="585">
        <v>7.1281708999999998</v>
      </c>
      <c r="AB93" s="1170">
        <f t="shared" si="7"/>
        <v>28.512683799999998</v>
      </c>
      <c r="AC93" s="1186"/>
      <c r="AD93" s="225"/>
      <c r="AE93" s="225"/>
    </row>
    <row r="94" spans="1:31" s="226" customFormat="1" ht="15" customHeight="1" x14ac:dyDescent="0.2">
      <c r="A94" s="599" t="s">
        <v>310</v>
      </c>
      <c r="B94" s="587"/>
      <c r="C94" s="588"/>
      <c r="D94" s="588"/>
      <c r="E94" s="588"/>
      <c r="F94" s="589"/>
      <c r="G94" s="1171"/>
      <c r="H94" s="1187"/>
      <c r="I94" s="589"/>
      <c r="J94" s="588"/>
      <c r="K94" s="588"/>
      <c r="L94" s="588"/>
      <c r="M94" s="589"/>
      <c r="N94" s="1171">
        <f t="shared" si="8"/>
        <v>0</v>
      </c>
      <c r="O94" s="1187"/>
      <c r="P94" s="589"/>
      <c r="Q94" s="588"/>
      <c r="R94" s="588"/>
      <c r="S94" s="588"/>
      <c r="T94" s="589"/>
      <c r="U94" s="1171">
        <f t="shared" si="9"/>
        <v>0</v>
      </c>
      <c r="V94" s="1187"/>
      <c r="W94" s="587"/>
      <c r="X94" s="1203"/>
      <c r="Y94" s="1233"/>
      <c r="Z94" s="1203"/>
      <c r="AA94" s="589"/>
      <c r="AB94" s="1171"/>
      <c r="AC94" s="1187"/>
      <c r="AD94" s="225"/>
      <c r="AE94" s="78"/>
    </row>
    <row r="95" spans="1:31" s="226" customFormat="1" ht="31.5" customHeight="1" x14ac:dyDescent="0.2">
      <c r="A95" s="636" t="s">
        <v>769</v>
      </c>
      <c r="B95" s="609"/>
      <c r="C95" s="610"/>
      <c r="D95" s="610"/>
      <c r="E95" s="610"/>
      <c r="F95" s="609"/>
      <c r="G95" s="1174"/>
      <c r="H95" s="1190"/>
      <c r="I95" s="609"/>
      <c r="J95" s="610"/>
      <c r="K95" s="610"/>
      <c r="L95" s="610"/>
      <c r="M95" s="609"/>
      <c r="N95" s="1174"/>
      <c r="O95" s="1190"/>
      <c r="P95" s="609"/>
      <c r="Q95" s="610"/>
      <c r="R95" s="610"/>
      <c r="S95" s="610"/>
      <c r="T95" s="609"/>
      <c r="U95" s="1174"/>
      <c r="V95" s="1190"/>
      <c r="W95" s="1221"/>
      <c r="X95" s="1206"/>
      <c r="Y95" s="1236"/>
      <c r="Z95" s="1206"/>
      <c r="AA95" s="609"/>
      <c r="AB95" s="1174"/>
      <c r="AC95" s="1190"/>
      <c r="AD95" s="225"/>
      <c r="AE95" s="225"/>
    </row>
    <row r="96" spans="1:31" s="226" customFormat="1" ht="15" customHeight="1" x14ac:dyDescent="0.2">
      <c r="A96" s="1007" t="s">
        <v>793</v>
      </c>
      <c r="B96" s="705"/>
      <c r="C96" s="706"/>
      <c r="D96" s="706"/>
      <c r="E96" s="706"/>
      <c r="F96" s="1005"/>
      <c r="G96" s="1166"/>
      <c r="H96" s="1182"/>
      <c r="I96" s="1162"/>
      <c r="J96" s="706"/>
      <c r="K96" s="706"/>
      <c r="L96" s="706"/>
      <c r="M96" s="1005"/>
      <c r="N96" s="1166"/>
      <c r="O96" s="1182"/>
      <c r="P96" s="706"/>
      <c r="Q96" s="706"/>
      <c r="R96" s="706"/>
      <c r="S96" s="706"/>
      <c r="T96" s="1005"/>
      <c r="U96" s="1166"/>
      <c r="V96" s="1197"/>
      <c r="W96" s="705"/>
      <c r="X96" s="1163"/>
      <c r="Y96" s="1228"/>
      <c r="Z96" s="1163"/>
      <c r="AA96" s="1006"/>
      <c r="AB96" s="1166"/>
      <c r="AC96" s="1182"/>
      <c r="AD96" s="225"/>
      <c r="AE96" s="225"/>
    </row>
    <row r="97" spans="1:31" s="603" customFormat="1" ht="15" customHeight="1" x14ac:dyDescent="0.2">
      <c r="A97" s="631" t="s">
        <v>678</v>
      </c>
      <c r="B97" s="604"/>
      <c r="C97" s="605"/>
      <c r="D97" s="605"/>
      <c r="E97" s="605"/>
      <c r="F97" s="604"/>
      <c r="G97" s="1175"/>
      <c r="H97" s="1191"/>
      <c r="I97" s="604"/>
      <c r="J97" s="605"/>
      <c r="K97" s="605"/>
      <c r="L97" s="605"/>
      <c r="M97" s="604"/>
      <c r="N97" s="1175"/>
      <c r="O97" s="1191"/>
      <c r="P97" s="604"/>
      <c r="Q97" s="605"/>
      <c r="R97" s="605"/>
      <c r="S97" s="605"/>
      <c r="T97" s="604"/>
      <c r="U97" s="1175"/>
      <c r="V97" s="1191"/>
      <c r="W97" s="1222"/>
      <c r="X97" s="1207"/>
      <c r="Y97" s="1237"/>
      <c r="Z97" s="1207"/>
      <c r="AA97" s="604"/>
      <c r="AB97" s="1175"/>
      <c r="AC97" s="1191"/>
      <c r="AD97" s="606"/>
      <c r="AE97" s="606"/>
    </row>
    <row r="98" spans="1:31" s="226" customFormat="1" ht="15" customHeight="1" x14ac:dyDescent="0.2">
      <c r="A98" s="634">
        <v>1990</v>
      </c>
      <c r="B98" s="590"/>
      <c r="C98" s="591"/>
      <c r="D98" s="591"/>
      <c r="E98" s="591"/>
      <c r="F98" s="590"/>
      <c r="G98" s="1176"/>
      <c r="H98" s="1192"/>
      <c r="I98" s="590"/>
      <c r="J98" s="591"/>
      <c r="K98" s="591"/>
      <c r="L98" s="591"/>
      <c r="M98" s="590"/>
      <c r="N98" s="1176"/>
      <c r="O98" s="1192"/>
      <c r="P98" s="590"/>
      <c r="Q98" s="591"/>
      <c r="R98" s="591"/>
      <c r="S98" s="591"/>
      <c r="T98" s="590"/>
      <c r="U98" s="1176"/>
      <c r="V98" s="1192"/>
      <c r="W98" s="1223"/>
      <c r="X98" s="1208"/>
      <c r="Y98" s="1238"/>
      <c r="Z98" s="1208"/>
      <c r="AA98" s="590"/>
      <c r="AB98" s="1176"/>
      <c r="AC98" s="1192"/>
      <c r="AD98" s="225"/>
      <c r="AE98" s="225"/>
    </row>
    <row r="99" spans="1:31" s="226" customFormat="1" ht="15" customHeight="1" x14ac:dyDescent="0.2">
      <c r="A99" s="634">
        <v>1991</v>
      </c>
      <c r="B99" s="590"/>
      <c r="C99" s="591"/>
      <c r="D99" s="591"/>
      <c r="E99" s="591"/>
      <c r="F99" s="590"/>
      <c r="G99" s="1176"/>
      <c r="H99" s="1192"/>
      <c r="I99" s="590"/>
      <c r="J99" s="591"/>
      <c r="K99" s="591"/>
      <c r="L99" s="591"/>
      <c r="M99" s="590"/>
      <c r="N99" s="1176"/>
      <c r="O99" s="1192"/>
      <c r="P99" s="590"/>
      <c r="Q99" s="591"/>
      <c r="R99" s="591"/>
      <c r="S99" s="591"/>
      <c r="T99" s="590"/>
      <c r="U99" s="1176"/>
      <c r="V99" s="1192"/>
      <c r="W99" s="1223"/>
      <c r="X99" s="1208"/>
      <c r="Y99" s="1238"/>
      <c r="Z99" s="1208"/>
      <c r="AA99" s="590"/>
      <c r="AB99" s="1176"/>
      <c r="AC99" s="1192"/>
      <c r="AD99" s="225"/>
      <c r="AE99" s="225"/>
    </row>
    <row r="100" spans="1:31" s="226" customFormat="1" ht="15" customHeight="1" x14ac:dyDescent="0.2">
      <c r="A100" s="634">
        <v>1992</v>
      </c>
      <c r="B100" s="590"/>
      <c r="C100" s="591"/>
      <c r="D100" s="591"/>
      <c r="E100" s="591"/>
      <c r="F100" s="590"/>
      <c r="G100" s="1176"/>
      <c r="H100" s="1192"/>
      <c r="I100" s="590"/>
      <c r="J100" s="591"/>
      <c r="K100" s="591"/>
      <c r="L100" s="591"/>
      <c r="M100" s="590"/>
      <c r="N100" s="1176"/>
      <c r="O100" s="1192"/>
      <c r="P100" s="590"/>
      <c r="Q100" s="591"/>
      <c r="R100" s="591"/>
      <c r="S100" s="591"/>
      <c r="T100" s="590"/>
      <c r="U100" s="1176"/>
      <c r="V100" s="1192"/>
      <c r="W100" s="1223"/>
      <c r="X100" s="1208"/>
      <c r="Y100" s="1238"/>
      <c r="Z100" s="1208"/>
      <c r="AA100" s="590"/>
      <c r="AB100" s="1176"/>
      <c r="AC100" s="1192"/>
      <c r="AD100" s="225"/>
      <c r="AE100" s="225"/>
    </row>
    <row r="101" spans="1:31" s="226" customFormat="1" ht="15" customHeight="1" x14ac:dyDescent="0.2">
      <c r="A101" s="634">
        <v>1993</v>
      </c>
      <c r="B101" s="590"/>
      <c r="C101" s="591"/>
      <c r="D101" s="591"/>
      <c r="E101" s="591"/>
      <c r="F101" s="590"/>
      <c r="G101" s="1176"/>
      <c r="H101" s="1192"/>
      <c r="I101" s="590"/>
      <c r="J101" s="591"/>
      <c r="K101" s="591"/>
      <c r="L101" s="591"/>
      <c r="M101" s="590"/>
      <c r="N101" s="1176"/>
      <c r="O101" s="1192"/>
      <c r="P101" s="590"/>
      <c r="Q101" s="591"/>
      <c r="R101" s="591"/>
      <c r="S101" s="591"/>
      <c r="T101" s="590"/>
      <c r="U101" s="1176"/>
      <c r="V101" s="1192"/>
      <c r="W101" s="1223"/>
      <c r="X101" s="1208"/>
      <c r="Y101" s="1238"/>
      <c r="Z101" s="1208"/>
      <c r="AA101" s="590"/>
      <c r="AB101" s="1176"/>
      <c r="AC101" s="1192"/>
      <c r="AD101" s="250"/>
      <c r="AE101" s="250"/>
    </row>
    <row r="102" spans="1:31" s="226" customFormat="1" ht="15" customHeight="1" x14ac:dyDescent="0.2">
      <c r="A102" s="634">
        <v>1994</v>
      </c>
      <c r="B102" s="590"/>
      <c r="C102" s="591"/>
      <c r="D102" s="591"/>
      <c r="E102" s="591"/>
      <c r="F102" s="590"/>
      <c r="G102" s="1176"/>
      <c r="H102" s="1192"/>
      <c r="I102" s="590"/>
      <c r="J102" s="591"/>
      <c r="K102" s="591"/>
      <c r="L102" s="591"/>
      <c r="M102" s="590"/>
      <c r="N102" s="1176"/>
      <c r="O102" s="1192"/>
      <c r="P102" s="590"/>
      <c r="Q102" s="591"/>
      <c r="R102" s="591"/>
      <c r="S102" s="591"/>
      <c r="T102" s="590"/>
      <c r="U102" s="1176"/>
      <c r="V102" s="1192"/>
      <c r="W102" s="1223"/>
      <c r="X102" s="1208"/>
      <c r="Y102" s="1238"/>
      <c r="Z102" s="1208"/>
      <c r="AA102" s="590"/>
      <c r="AB102" s="1176"/>
      <c r="AC102" s="1192"/>
      <c r="AD102" s="225"/>
      <c r="AE102" s="225"/>
    </row>
    <row r="103" spans="1:31" s="226" customFormat="1" ht="15" customHeight="1" x14ac:dyDescent="0.2">
      <c r="A103" s="634">
        <v>1995</v>
      </c>
      <c r="B103" s="590"/>
      <c r="C103" s="591"/>
      <c r="D103" s="591"/>
      <c r="E103" s="591"/>
      <c r="F103" s="590"/>
      <c r="G103" s="1176"/>
      <c r="H103" s="1192"/>
      <c r="I103" s="590"/>
      <c r="J103" s="591"/>
      <c r="K103" s="591"/>
      <c r="L103" s="591"/>
      <c r="M103" s="590"/>
      <c r="N103" s="1176"/>
      <c r="O103" s="1192"/>
      <c r="P103" s="590"/>
      <c r="Q103" s="591"/>
      <c r="R103" s="591"/>
      <c r="S103" s="591"/>
      <c r="T103" s="590"/>
      <c r="U103" s="1176"/>
      <c r="V103" s="1192"/>
      <c r="W103" s="1223"/>
      <c r="X103" s="1208"/>
      <c r="Y103" s="1238"/>
      <c r="Z103" s="1208"/>
      <c r="AA103" s="590"/>
      <c r="AB103" s="1176"/>
      <c r="AC103" s="1192"/>
      <c r="AD103" s="225"/>
      <c r="AE103" s="225"/>
    </row>
    <row r="104" spans="1:31" s="226" customFormat="1" ht="15" customHeight="1" x14ac:dyDescent="0.2">
      <c r="A104" s="634">
        <v>1996</v>
      </c>
      <c r="B104" s="590"/>
      <c r="C104" s="591"/>
      <c r="D104" s="591"/>
      <c r="E104" s="591"/>
      <c r="F104" s="590"/>
      <c r="G104" s="1176"/>
      <c r="H104" s="1192"/>
      <c r="I104" s="590"/>
      <c r="J104" s="591"/>
      <c r="K104" s="591"/>
      <c r="L104" s="591"/>
      <c r="M104" s="590"/>
      <c r="N104" s="1176"/>
      <c r="O104" s="1192"/>
      <c r="P104" s="590"/>
      <c r="Q104" s="591"/>
      <c r="R104" s="591"/>
      <c r="S104" s="591"/>
      <c r="T104" s="590"/>
      <c r="U104" s="1176"/>
      <c r="V104" s="1192"/>
      <c r="W104" s="1223"/>
      <c r="X104" s="1208"/>
      <c r="Y104" s="1238"/>
      <c r="Z104" s="1208"/>
      <c r="AA104" s="590"/>
      <c r="AB104" s="1176"/>
      <c r="AC104" s="1192"/>
      <c r="AD104" s="225"/>
      <c r="AE104" s="225"/>
    </row>
    <row r="105" spans="1:31" s="226" customFormat="1" ht="15" customHeight="1" x14ac:dyDescent="0.2">
      <c r="A105" s="634">
        <v>1997</v>
      </c>
      <c r="B105" s="590"/>
      <c r="C105" s="591"/>
      <c r="D105" s="591"/>
      <c r="E105" s="591"/>
      <c r="F105" s="590"/>
      <c r="G105" s="1176"/>
      <c r="H105" s="1192"/>
      <c r="I105" s="590"/>
      <c r="J105" s="591"/>
      <c r="K105" s="591"/>
      <c r="L105" s="591"/>
      <c r="M105" s="590"/>
      <c r="N105" s="1176"/>
      <c r="O105" s="1192"/>
      <c r="P105" s="590"/>
      <c r="Q105" s="591"/>
      <c r="R105" s="591"/>
      <c r="S105" s="591"/>
      <c r="T105" s="590"/>
      <c r="U105" s="1176"/>
      <c r="V105" s="1192"/>
      <c r="W105" s="1223"/>
      <c r="X105" s="1208"/>
      <c r="Y105" s="1238"/>
      <c r="Z105" s="1208"/>
      <c r="AA105" s="590"/>
      <c r="AB105" s="1176"/>
      <c r="AC105" s="1192"/>
      <c r="AD105" s="225"/>
      <c r="AE105" s="225"/>
    </row>
    <row r="106" spans="1:31" s="226" customFormat="1" ht="15" customHeight="1" x14ac:dyDescent="0.2">
      <c r="A106" s="634">
        <v>1998</v>
      </c>
      <c r="B106" s="590"/>
      <c r="C106" s="591"/>
      <c r="D106" s="591"/>
      <c r="E106" s="591"/>
      <c r="F106" s="590"/>
      <c r="G106" s="1176"/>
      <c r="H106" s="1192"/>
      <c r="I106" s="590"/>
      <c r="J106" s="591"/>
      <c r="K106" s="591"/>
      <c r="L106" s="591"/>
      <c r="M106" s="590"/>
      <c r="N106" s="1176"/>
      <c r="O106" s="1192"/>
      <c r="P106" s="590"/>
      <c r="Q106" s="591"/>
      <c r="R106" s="591"/>
      <c r="S106" s="591"/>
      <c r="T106" s="590"/>
      <c r="U106" s="1176"/>
      <c r="V106" s="1192"/>
      <c r="W106" s="1223"/>
      <c r="X106" s="1208"/>
      <c r="Y106" s="1238"/>
      <c r="Z106" s="1208"/>
      <c r="AA106" s="590"/>
      <c r="AB106" s="1176"/>
      <c r="AC106" s="1192"/>
      <c r="AD106" s="225"/>
      <c r="AE106" s="225"/>
    </row>
    <row r="107" spans="1:31" s="226" customFormat="1" ht="15" customHeight="1" x14ac:dyDescent="0.2">
      <c r="A107" s="634">
        <v>1999</v>
      </c>
      <c r="B107" s="590"/>
      <c r="C107" s="591"/>
      <c r="D107" s="591"/>
      <c r="E107" s="591"/>
      <c r="F107" s="590"/>
      <c r="G107" s="1176"/>
      <c r="H107" s="1192"/>
      <c r="I107" s="590"/>
      <c r="J107" s="591"/>
      <c r="K107" s="591"/>
      <c r="L107" s="591"/>
      <c r="M107" s="590"/>
      <c r="N107" s="1176"/>
      <c r="O107" s="1192"/>
      <c r="P107" s="590"/>
      <c r="Q107" s="591"/>
      <c r="R107" s="591"/>
      <c r="S107" s="591"/>
      <c r="T107" s="590"/>
      <c r="U107" s="1176"/>
      <c r="V107" s="1192"/>
      <c r="W107" s="1223"/>
      <c r="X107" s="1208"/>
      <c r="Y107" s="1238"/>
      <c r="Z107" s="1208"/>
      <c r="AA107" s="590"/>
      <c r="AB107" s="1176"/>
      <c r="AC107" s="1192"/>
      <c r="AD107" s="225"/>
      <c r="AE107" s="225"/>
    </row>
    <row r="108" spans="1:31" s="226" customFormat="1" ht="15" customHeight="1" x14ac:dyDescent="0.2">
      <c r="A108" s="634">
        <v>2000</v>
      </c>
      <c r="B108" s="462"/>
      <c r="C108" s="592"/>
      <c r="D108" s="592"/>
      <c r="E108" s="592"/>
      <c r="F108" s="462"/>
      <c r="G108" s="1177"/>
      <c r="H108" s="1193"/>
      <c r="I108" s="462"/>
      <c r="J108" s="592"/>
      <c r="K108" s="592"/>
      <c r="L108" s="592"/>
      <c r="M108" s="462"/>
      <c r="N108" s="1177"/>
      <c r="O108" s="1193"/>
      <c r="P108" s="462"/>
      <c r="Q108" s="592"/>
      <c r="R108" s="592"/>
      <c r="S108" s="592"/>
      <c r="T108" s="462"/>
      <c r="U108" s="1177"/>
      <c r="V108" s="1193"/>
      <c r="W108" s="1224"/>
      <c r="X108" s="1209"/>
      <c r="Y108" s="1239"/>
      <c r="Z108" s="1209"/>
      <c r="AA108" s="462"/>
      <c r="AB108" s="1177"/>
      <c r="AC108" s="1193"/>
      <c r="AD108" s="225"/>
      <c r="AE108" s="225"/>
    </row>
    <row r="109" spans="1:31" s="226" customFormat="1" ht="15" customHeight="1" x14ac:dyDescent="0.2">
      <c r="A109" s="634">
        <v>2001</v>
      </c>
      <c r="B109" s="462"/>
      <c r="C109" s="593"/>
      <c r="D109" s="593"/>
      <c r="E109" s="593"/>
      <c r="F109" s="45"/>
      <c r="G109" s="1178"/>
      <c r="H109" s="1194"/>
      <c r="I109" s="45"/>
      <c r="J109" s="593"/>
      <c r="K109" s="593"/>
      <c r="L109" s="593"/>
      <c r="M109" s="45"/>
      <c r="N109" s="1178"/>
      <c r="O109" s="1194"/>
      <c r="P109" s="45"/>
      <c r="Q109" s="593"/>
      <c r="R109" s="593"/>
      <c r="S109" s="593"/>
      <c r="T109" s="45"/>
      <c r="U109" s="1178"/>
      <c r="V109" s="1194"/>
      <c r="W109" s="1225"/>
      <c r="X109" s="1210"/>
      <c r="Y109" s="1240"/>
      <c r="Z109" s="1210"/>
      <c r="AA109" s="45"/>
      <c r="AB109" s="1178"/>
      <c r="AC109" s="1194"/>
      <c r="AD109" s="225"/>
      <c r="AE109" s="225"/>
    </row>
    <row r="110" spans="1:31" s="226" customFormat="1" ht="15" customHeight="1" x14ac:dyDescent="0.2">
      <c r="A110" s="634">
        <v>2002</v>
      </c>
      <c r="B110" s="462"/>
      <c r="C110" s="595"/>
      <c r="D110" s="595"/>
      <c r="E110" s="595"/>
      <c r="F110" s="468"/>
      <c r="G110" s="1179"/>
      <c r="H110" s="1195"/>
      <c r="I110" s="468"/>
      <c r="J110" s="595"/>
      <c r="K110" s="595"/>
      <c r="L110" s="595"/>
      <c r="M110" s="468"/>
      <c r="N110" s="1179"/>
      <c r="O110" s="1195"/>
      <c r="P110" s="468"/>
      <c r="Q110" s="595"/>
      <c r="R110" s="595"/>
      <c r="S110" s="595"/>
      <c r="T110" s="468"/>
      <c r="U110" s="1179"/>
      <c r="V110" s="1195"/>
      <c r="W110" s="1226"/>
      <c r="X110" s="1211"/>
      <c r="Y110" s="1241"/>
      <c r="Z110" s="1211"/>
      <c r="AA110" s="468"/>
      <c r="AB110" s="1179"/>
      <c r="AC110" s="1195"/>
      <c r="AD110" s="225"/>
      <c r="AE110" s="225"/>
    </row>
    <row r="111" spans="1:31" s="226" customFormat="1" ht="15" customHeight="1" x14ac:dyDescent="0.2">
      <c r="A111" s="634">
        <v>2003</v>
      </c>
      <c r="B111" s="462"/>
      <c r="C111" s="595"/>
      <c r="D111" s="595"/>
      <c r="E111" s="595"/>
      <c r="F111" s="468"/>
      <c r="G111" s="1179"/>
      <c r="H111" s="1195"/>
      <c r="I111" s="468"/>
      <c r="J111" s="595"/>
      <c r="K111" s="595"/>
      <c r="L111" s="595"/>
      <c r="M111" s="468"/>
      <c r="N111" s="1179"/>
      <c r="O111" s="1195"/>
      <c r="P111" s="468"/>
      <c r="Q111" s="595"/>
      <c r="R111" s="595"/>
      <c r="S111" s="595"/>
      <c r="T111" s="468"/>
      <c r="U111" s="1179"/>
      <c r="V111" s="1195"/>
      <c r="W111" s="1226"/>
      <c r="X111" s="1211"/>
      <c r="Y111" s="1241"/>
      <c r="Z111" s="1211"/>
      <c r="AA111" s="468"/>
      <c r="AB111" s="1179"/>
      <c r="AC111" s="1195"/>
      <c r="AD111" s="225"/>
      <c r="AE111" s="225"/>
    </row>
    <row r="112" spans="1:31" s="226" customFormat="1" ht="15" customHeight="1" x14ac:dyDescent="0.2">
      <c r="A112" s="634">
        <v>2004</v>
      </c>
      <c r="B112" s="462"/>
      <c r="C112" s="595"/>
      <c r="D112" s="595"/>
      <c r="E112" s="595"/>
      <c r="F112" s="468"/>
      <c r="G112" s="1179"/>
      <c r="H112" s="1195"/>
      <c r="I112" s="468"/>
      <c r="J112" s="595"/>
      <c r="K112" s="595"/>
      <c r="L112" s="595"/>
      <c r="M112" s="468"/>
      <c r="N112" s="1179"/>
      <c r="O112" s="1195"/>
      <c r="P112" s="468"/>
      <c r="Q112" s="595"/>
      <c r="R112" s="595"/>
      <c r="S112" s="595"/>
      <c r="T112" s="468"/>
      <c r="U112" s="1179"/>
      <c r="V112" s="1195"/>
      <c r="W112" s="1226"/>
      <c r="X112" s="1211"/>
      <c r="Y112" s="1241"/>
      <c r="Z112" s="1211"/>
      <c r="AA112" s="468"/>
      <c r="AB112" s="1179"/>
      <c r="AC112" s="1195"/>
      <c r="AD112" s="225"/>
      <c r="AE112" s="225"/>
    </row>
    <row r="113" spans="1:31" s="226" customFormat="1" ht="15" customHeight="1" x14ac:dyDescent="0.2">
      <c r="A113" s="634">
        <v>2005</v>
      </c>
      <c r="B113" s="462"/>
      <c r="C113" s="595"/>
      <c r="D113" s="595"/>
      <c r="E113" s="595"/>
      <c r="F113" s="468"/>
      <c r="G113" s="1179"/>
      <c r="H113" s="1195"/>
      <c r="I113" s="468"/>
      <c r="J113" s="595"/>
      <c r="K113" s="595"/>
      <c r="L113" s="595"/>
      <c r="M113" s="468"/>
      <c r="N113" s="1179"/>
      <c r="O113" s="1195"/>
      <c r="P113" s="468"/>
      <c r="Q113" s="595"/>
      <c r="R113" s="595"/>
      <c r="S113" s="595"/>
      <c r="T113" s="468"/>
      <c r="U113" s="1179"/>
      <c r="V113" s="1195"/>
      <c r="W113" s="1226"/>
      <c r="X113" s="1211"/>
      <c r="Y113" s="1241"/>
      <c r="Z113" s="1211"/>
      <c r="AA113" s="468"/>
      <c r="AB113" s="1179"/>
      <c r="AC113" s="1195"/>
      <c r="AD113" s="225"/>
      <c r="AE113" s="225"/>
    </row>
    <row r="114" spans="1:31" s="226" customFormat="1" ht="15" customHeight="1" x14ac:dyDescent="0.2">
      <c r="A114" s="634">
        <v>2006</v>
      </c>
      <c r="B114" s="462"/>
      <c r="C114" s="595"/>
      <c r="D114" s="595"/>
      <c r="E114" s="595"/>
      <c r="F114" s="468"/>
      <c r="G114" s="1179"/>
      <c r="H114" s="1195"/>
      <c r="I114" s="468"/>
      <c r="J114" s="595"/>
      <c r="K114" s="595"/>
      <c r="L114" s="595"/>
      <c r="M114" s="468"/>
      <c r="N114" s="1179"/>
      <c r="O114" s="1195"/>
      <c r="P114" s="468"/>
      <c r="Q114" s="595"/>
      <c r="R114" s="595"/>
      <c r="S114" s="595"/>
      <c r="T114" s="468"/>
      <c r="U114" s="1179"/>
      <c r="V114" s="1195"/>
      <c r="W114" s="1226"/>
      <c r="X114" s="1211"/>
      <c r="Y114" s="1241"/>
      <c r="Z114" s="1211"/>
      <c r="AA114" s="468"/>
      <c r="AB114" s="1179"/>
      <c r="AC114" s="1195"/>
      <c r="AD114" s="225"/>
      <c r="AE114" s="225"/>
    </row>
    <row r="115" spans="1:31" s="226" customFormat="1" ht="15" customHeight="1" x14ac:dyDescent="0.2">
      <c r="A115" s="634">
        <v>2007</v>
      </c>
      <c r="B115" s="462"/>
      <c r="C115" s="595"/>
      <c r="D115" s="595"/>
      <c r="E115" s="595"/>
      <c r="F115" s="468"/>
      <c r="G115" s="1179"/>
      <c r="H115" s="1195"/>
      <c r="I115" s="468"/>
      <c r="J115" s="595"/>
      <c r="K115" s="595"/>
      <c r="L115" s="595"/>
      <c r="M115" s="468"/>
      <c r="N115" s="1179"/>
      <c r="O115" s="1195"/>
      <c r="P115" s="468"/>
      <c r="Q115" s="595"/>
      <c r="R115" s="595"/>
      <c r="S115" s="595"/>
      <c r="T115" s="468"/>
      <c r="U115" s="1179"/>
      <c r="V115" s="1195"/>
      <c r="W115" s="1226"/>
      <c r="X115" s="1211"/>
      <c r="Y115" s="1241"/>
      <c r="Z115" s="1211"/>
      <c r="AA115" s="468"/>
      <c r="AB115" s="1179"/>
      <c r="AC115" s="1195"/>
      <c r="AD115" s="225"/>
      <c r="AE115" s="225"/>
    </row>
    <row r="116" spans="1:31" s="226" customFormat="1" ht="15" customHeight="1" x14ac:dyDescent="0.2">
      <c r="A116" s="634">
        <v>2008</v>
      </c>
      <c r="B116" s="594"/>
      <c r="C116" s="593"/>
      <c r="D116" s="593"/>
      <c r="E116" s="593"/>
      <c r="F116" s="45"/>
      <c r="G116" s="1178"/>
      <c r="H116" s="1194"/>
      <c r="I116" s="45"/>
      <c r="J116" s="593"/>
      <c r="K116" s="593"/>
      <c r="L116" s="593"/>
      <c r="M116" s="45"/>
      <c r="N116" s="1178"/>
      <c r="O116" s="1194"/>
      <c r="P116" s="45"/>
      <c r="Q116" s="593"/>
      <c r="R116" s="593"/>
      <c r="S116" s="593"/>
      <c r="T116" s="45"/>
      <c r="U116" s="1178"/>
      <c r="V116" s="1194"/>
      <c r="W116" s="1225"/>
      <c r="X116" s="1210"/>
      <c r="Y116" s="1240"/>
      <c r="Z116" s="1210"/>
      <c r="AA116" s="45"/>
      <c r="AB116" s="1178"/>
      <c r="AC116" s="1194"/>
      <c r="AD116" s="225"/>
      <c r="AE116" s="225"/>
    </row>
    <row r="117" spans="1:31" s="226" customFormat="1" ht="15" customHeight="1" x14ac:dyDescent="0.2">
      <c r="A117" s="634">
        <v>2009</v>
      </c>
      <c r="B117" s="669"/>
      <c r="C117" s="400"/>
      <c r="D117" s="400"/>
      <c r="E117" s="400"/>
      <c r="F117" s="49"/>
      <c r="G117" s="1022"/>
      <c r="H117" s="1025"/>
      <c r="I117" s="49"/>
      <c r="J117" s="400"/>
      <c r="K117" s="400"/>
      <c r="L117" s="400"/>
      <c r="M117" s="49"/>
      <c r="N117" s="1022"/>
      <c r="O117" s="1025"/>
      <c r="P117" s="49"/>
      <c r="Q117" s="400"/>
      <c r="R117" s="400"/>
      <c r="S117" s="400"/>
      <c r="T117" s="49"/>
      <c r="U117" s="1022"/>
      <c r="V117" s="1025"/>
      <c r="W117" s="47"/>
      <c r="X117" s="1212"/>
      <c r="Y117" s="1242"/>
      <c r="Z117" s="1212"/>
      <c r="AA117" s="49"/>
      <c r="AB117" s="1022"/>
      <c r="AC117" s="1025"/>
      <c r="AD117" s="225"/>
      <c r="AE117" s="225"/>
    </row>
    <row r="118" spans="1:31" s="226" customFormat="1" ht="15" customHeight="1" x14ac:dyDescent="0.2">
      <c r="A118" s="634">
        <v>2010</v>
      </c>
      <c r="B118" s="669"/>
      <c r="C118" s="400"/>
      <c r="D118" s="400"/>
      <c r="E118" s="400"/>
      <c r="F118" s="49"/>
      <c r="G118" s="1022"/>
      <c r="H118" s="1025"/>
      <c r="I118" s="49"/>
      <c r="J118" s="400"/>
      <c r="K118" s="400"/>
      <c r="L118" s="400"/>
      <c r="M118" s="49"/>
      <c r="N118" s="1022"/>
      <c r="O118" s="1025"/>
      <c r="P118" s="49"/>
      <c r="Q118" s="400"/>
      <c r="R118" s="400"/>
      <c r="S118" s="400"/>
      <c r="T118" s="49"/>
      <c r="U118" s="1022"/>
      <c r="V118" s="1025"/>
      <c r="W118" s="47"/>
      <c r="X118" s="1212"/>
      <c r="Y118" s="1242"/>
      <c r="Z118" s="1212"/>
      <c r="AA118" s="49"/>
      <c r="AB118" s="1022"/>
      <c r="AC118" s="1025"/>
      <c r="AD118" s="225"/>
      <c r="AE118" s="225"/>
    </row>
    <row r="119" spans="1:31" s="226" customFormat="1" ht="15" customHeight="1" x14ac:dyDescent="0.2">
      <c r="A119" s="634">
        <v>2011</v>
      </c>
      <c r="B119" s="669"/>
      <c r="C119" s="400"/>
      <c r="D119" s="400"/>
      <c r="E119" s="400"/>
      <c r="F119" s="49"/>
      <c r="G119" s="1022"/>
      <c r="H119" s="1025"/>
      <c r="I119" s="49"/>
      <c r="J119" s="400"/>
      <c r="K119" s="400"/>
      <c r="L119" s="400"/>
      <c r="M119" s="49"/>
      <c r="N119" s="1022"/>
      <c r="O119" s="1025"/>
      <c r="P119" s="49"/>
      <c r="Q119" s="400"/>
      <c r="R119" s="400"/>
      <c r="S119" s="400"/>
      <c r="T119" s="49"/>
      <c r="U119" s="1022"/>
      <c r="V119" s="1025"/>
      <c r="W119" s="47"/>
      <c r="X119" s="1212"/>
      <c r="Y119" s="1242"/>
      <c r="Z119" s="1212"/>
      <c r="AA119" s="49"/>
      <c r="AB119" s="1022"/>
      <c r="AC119" s="1025"/>
      <c r="AD119" s="225"/>
      <c r="AE119" s="225"/>
    </row>
    <row r="120" spans="1:31" s="226" customFormat="1" ht="15" customHeight="1" x14ac:dyDescent="0.2">
      <c r="A120" s="634">
        <v>2012</v>
      </c>
      <c r="B120" s="669"/>
      <c r="C120" s="400"/>
      <c r="D120" s="400"/>
      <c r="E120" s="400"/>
      <c r="F120" s="49"/>
      <c r="G120" s="1022"/>
      <c r="H120" s="1025"/>
      <c r="I120" s="49"/>
      <c r="J120" s="400"/>
      <c r="K120" s="400"/>
      <c r="L120" s="400"/>
      <c r="M120" s="49"/>
      <c r="N120" s="1022"/>
      <c r="O120" s="1025"/>
      <c r="P120" s="49"/>
      <c r="Q120" s="400"/>
      <c r="R120" s="400"/>
      <c r="S120" s="400"/>
      <c r="T120" s="49"/>
      <c r="U120" s="1022"/>
      <c r="V120" s="1025"/>
      <c r="W120" s="47"/>
      <c r="X120" s="1212"/>
      <c r="Y120" s="1242"/>
      <c r="Z120" s="1212"/>
      <c r="AA120" s="49"/>
      <c r="AB120" s="1022"/>
      <c r="AC120" s="1025"/>
      <c r="AD120" s="225"/>
      <c r="AE120" s="225"/>
    </row>
    <row r="121" spans="1:31" s="226" customFormat="1" ht="15" customHeight="1" x14ac:dyDescent="0.2">
      <c r="A121" s="635" t="s">
        <v>310</v>
      </c>
      <c r="B121" s="596"/>
      <c r="C121" s="597"/>
      <c r="D121" s="597"/>
      <c r="E121" s="597"/>
      <c r="F121" s="598"/>
      <c r="G121" s="1180"/>
      <c r="H121" s="1196"/>
      <c r="I121" s="598"/>
      <c r="J121" s="597"/>
      <c r="K121" s="597"/>
      <c r="L121" s="597"/>
      <c r="M121" s="598"/>
      <c r="N121" s="1180"/>
      <c r="O121" s="1196"/>
      <c r="P121" s="598"/>
      <c r="Q121" s="597"/>
      <c r="R121" s="597"/>
      <c r="S121" s="597"/>
      <c r="T121" s="598"/>
      <c r="U121" s="1180"/>
      <c r="V121" s="1196"/>
      <c r="W121" s="596"/>
      <c r="X121" s="1213"/>
      <c r="Y121" s="1243"/>
      <c r="Z121" s="1213"/>
      <c r="AA121" s="598"/>
      <c r="AB121" s="1180"/>
      <c r="AC121" s="1196"/>
      <c r="AD121" s="225"/>
      <c r="AE121" s="78"/>
    </row>
    <row r="122" spans="1:31" ht="15" customHeight="1" x14ac:dyDescent="0.2">
      <c r="A122" s="251"/>
      <c r="B122" s="225"/>
      <c r="C122" s="225"/>
      <c r="D122" s="225"/>
      <c r="E122" s="225"/>
      <c r="F122" s="252"/>
      <c r="G122" s="225"/>
      <c r="H122" s="225"/>
      <c r="I122" s="225"/>
      <c r="J122" s="225"/>
      <c r="K122" s="225"/>
      <c r="L122" s="225"/>
      <c r="M122" s="252"/>
      <c r="N122" s="225"/>
      <c r="O122" s="225"/>
      <c r="P122" s="225"/>
      <c r="Q122" s="225"/>
      <c r="R122" s="225"/>
      <c r="S122" s="225"/>
      <c r="T122" s="252"/>
      <c r="U122" s="225"/>
      <c r="V122" s="225"/>
      <c r="W122" s="225"/>
      <c r="X122" s="225"/>
      <c r="Y122" s="225"/>
      <c r="Z122" s="225"/>
      <c r="AA122" s="225"/>
      <c r="AB122" s="225"/>
      <c r="AC122" s="225"/>
      <c r="AD122" s="75"/>
      <c r="AE122" s="75"/>
    </row>
    <row r="123" spans="1:31" ht="15" customHeight="1" x14ac:dyDescent="0.2">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row>
    <row r="124" spans="1:31" ht="15" customHeight="1" x14ac:dyDescent="0.2">
      <c r="A124" s="79" t="s">
        <v>32</v>
      </c>
      <c r="B124" s="56" t="s">
        <v>1056</v>
      </c>
      <c r="C124" s="56"/>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75"/>
      <c r="AE124" s="75"/>
    </row>
    <row r="125" spans="1:31" ht="15" customHeight="1" x14ac:dyDescent="0.2">
      <c r="A125" s="75"/>
      <c r="B125" s="58" t="s">
        <v>1055</v>
      </c>
      <c r="C125" s="58"/>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c r="AB125" s="59"/>
      <c r="AC125" s="59"/>
      <c r="AD125" s="75"/>
      <c r="AE125" s="75"/>
    </row>
    <row r="126" spans="1:31" ht="15" customHeight="1" x14ac:dyDescent="0.2">
      <c r="A126" s="75"/>
      <c r="B126" s="58"/>
      <c r="C126" s="58"/>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c r="AB126" s="59"/>
      <c r="AC126" s="59"/>
      <c r="AD126" s="75"/>
      <c r="AE126" s="75"/>
    </row>
    <row r="127" spans="1:31" ht="15" customHeight="1" x14ac:dyDescent="0.2">
      <c r="A127" s="75"/>
      <c r="B127" s="58"/>
      <c r="C127" s="58"/>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c r="AB127" s="59"/>
      <c r="AC127" s="59"/>
      <c r="AD127" s="75"/>
      <c r="AE127" s="75"/>
    </row>
    <row r="128" spans="1:31" ht="15" customHeight="1" x14ac:dyDescent="0.2">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row>
    <row r="129" spans="1:31" ht="15" customHeight="1" x14ac:dyDescent="0.2">
      <c r="A129" s="79" t="s">
        <v>209</v>
      </c>
      <c r="B129" s="56"/>
      <c r="C129" s="56"/>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75"/>
      <c r="AE129" s="75"/>
    </row>
    <row r="130" spans="1:31" ht="15" customHeight="1" x14ac:dyDescent="0.2">
      <c r="A130" s="79" t="s">
        <v>268</v>
      </c>
      <c r="B130" s="58"/>
      <c r="C130" s="58"/>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c r="AB130" s="59"/>
      <c r="AC130" s="59"/>
      <c r="AD130" s="75"/>
      <c r="AE130" s="75"/>
    </row>
    <row r="131" spans="1:31" ht="15" customHeight="1" x14ac:dyDescent="0.2">
      <c r="A131" s="75"/>
      <c r="B131" s="58"/>
      <c r="C131" s="58"/>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c r="AB131" s="59"/>
      <c r="AC131" s="59"/>
      <c r="AD131" s="75"/>
      <c r="AE131" s="75"/>
    </row>
    <row r="132" spans="1:31" ht="15" customHeight="1" x14ac:dyDescent="0.2">
      <c r="A132" s="75"/>
      <c r="B132" s="58"/>
      <c r="C132" s="58"/>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c r="AB132" s="59"/>
      <c r="AC132" s="59"/>
      <c r="AD132" s="75"/>
      <c r="AE132" s="75"/>
    </row>
    <row r="133" spans="1:31" ht="15" customHeight="1" x14ac:dyDescent="0.2">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row>
    <row r="134" spans="1:31" ht="12.75" x14ac:dyDescent="0.2">
      <c r="A134" s="79" t="s">
        <v>670</v>
      </c>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row>
    <row r="135" spans="1:31" ht="12.75" x14ac:dyDescent="0.2">
      <c r="A135" s="579"/>
      <c r="B135" s="548"/>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row>
    <row r="136" spans="1:31" ht="12.75" x14ac:dyDescent="0.2">
      <c r="A136" s="75"/>
      <c r="B136" s="549"/>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row>
    <row r="137" spans="1:31" ht="12.75" x14ac:dyDescent="0.2">
      <c r="A137" s="75"/>
      <c r="B137" s="549"/>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row>
    <row r="138" spans="1:31" ht="12.75" x14ac:dyDescent="0.2">
      <c r="A138" s="75"/>
      <c r="B138" s="549"/>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row>
    <row r="139" spans="1:31" ht="15" customHeight="1" x14ac:dyDescent="0.2">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row>
  </sheetData>
  <sheetProtection password="CD9E" sheet="1" objects="1" scenarios="1" selectLockedCells="1"/>
  <mergeCells count="13">
    <mergeCell ref="AB11:AC11"/>
    <mergeCell ref="AB12:AC13"/>
    <mergeCell ref="B13:C13"/>
    <mergeCell ref="D13:E13"/>
    <mergeCell ref="G13:H13"/>
    <mergeCell ref="I13:J13"/>
    <mergeCell ref="K13:L13"/>
    <mergeCell ref="N13:O13"/>
    <mergeCell ref="P13:Q13"/>
    <mergeCell ref="R13:S13"/>
    <mergeCell ref="U13:V13"/>
    <mergeCell ref="W11:X11"/>
    <mergeCell ref="Y11:Z11"/>
  </mergeCells>
  <dataValidations disablePrompts="1" count="1">
    <dataValidation type="list" allowBlank="1" showInputMessage="1" showErrorMessage="1" sqref="B135:B138">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35433070866141736" right="0.35433070866141736" top="0.98425196850393704" bottom="0.98425196850393704" header="0.51181102362204722" footer="0.51181102362204722"/>
  <pageSetup paperSize="9" scale="37" orientation="portrait" r:id="rId1"/>
  <headerFooter alignWithMargins="0">
    <oddHeader>&amp;LCDH&amp;C &amp;F&amp;R&amp;A</oddHeader>
    <oddFooter>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indexed="42"/>
    <pageSetUpPr fitToPage="1"/>
  </sheetPr>
  <dimension ref="A1:AE39"/>
  <sheetViews>
    <sheetView showGridLines="0" zoomScale="80" zoomScaleNormal="80" workbookViewId="0">
      <selection activeCell="G14" sqref="G14"/>
    </sheetView>
  </sheetViews>
  <sheetFormatPr baseColWidth="10" defaultColWidth="9.140625" defaultRowHeight="15" customHeight="1" x14ac:dyDescent="0.2"/>
  <cols>
    <col min="1" max="1" width="28.42578125" style="31" customWidth="1"/>
    <col min="2" max="2" width="11.7109375" style="31" customWidth="1"/>
    <col min="3" max="3" width="6.7109375" style="31" customWidth="1"/>
    <col min="4" max="4" width="11.7109375" style="31" customWidth="1"/>
    <col min="5" max="5" width="6.7109375" style="31" customWidth="1"/>
    <col min="6" max="6" width="12" style="31" customWidth="1"/>
    <col min="7" max="7" width="11.7109375" style="31" customWidth="1"/>
    <col min="8" max="8" width="6.7109375" style="31" customWidth="1"/>
    <col min="9" max="9" width="11.7109375" style="31" customWidth="1"/>
    <col min="10" max="10" width="6.7109375" style="31" customWidth="1"/>
    <col min="11" max="11" width="11.7109375" style="31" customWidth="1"/>
    <col min="12" max="12" width="6.7109375" style="31" customWidth="1"/>
    <col min="13" max="13" width="11.140625" style="31" customWidth="1"/>
    <col min="14" max="14" width="11.7109375" style="31" customWidth="1"/>
    <col min="15" max="15" width="6.7109375" style="31" customWidth="1"/>
    <col min="16" max="16" width="11.7109375" style="31" customWidth="1"/>
    <col min="17" max="17" width="6.7109375" style="31" customWidth="1"/>
    <col min="18" max="18" width="11.7109375" style="31" customWidth="1"/>
    <col min="19" max="19" width="6.7109375" style="31" customWidth="1"/>
    <col min="20" max="20" width="11.140625" style="31" customWidth="1"/>
    <col min="21" max="21" width="11.7109375" style="31" customWidth="1"/>
    <col min="22" max="22" width="6.7109375" style="31" customWidth="1"/>
    <col min="23" max="23" width="11.7109375" style="31" customWidth="1"/>
    <col min="24" max="24" width="6.7109375" style="31" customWidth="1"/>
    <col min="25" max="25" width="11.7109375" style="31" customWidth="1"/>
    <col min="26" max="26" width="6.7109375" style="31" customWidth="1"/>
    <col min="27" max="27" width="13.7109375" style="31" bestFit="1" customWidth="1"/>
    <col min="28" max="28" width="11.7109375" style="31" customWidth="1"/>
    <col min="29" max="29" width="6.7109375" style="31" customWidth="1"/>
    <col min="30" max="16384" width="9.140625" style="31"/>
  </cols>
  <sheetData>
    <row r="1" spans="1:31" s="66" customFormat="1" ht="12" customHeight="1" x14ac:dyDescent="0.2">
      <c r="A1" s="26" t="s">
        <v>6</v>
      </c>
    </row>
    <row r="2" spans="1:31" s="66" customFormat="1" ht="12" customHeight="1" x14ac:dyDescent="0.2">
      <c r="A2" s="28" t="s">
        <v>10</v>
      </c>
    </row>
    <row r="3" spans="1:31" s="66" customFormat="1" ht="12" customHeight="1" x14ac:dyDescent="0.2">
      <c r="A3" s="28" t="s">
        <v>7</v>
      </c>
    </row>
    <row r="4" spans="1:31" ht="15" customHeight="1" x14ac:dyDescent="0.2">
      <c r="A4" s="73" t="s">
        <v>248</v>
      </c>
      <c r="B4" s="73"/>
      <c r="C4" s="73"/>
      <c r="D4" s="73"/>
      <c r="E4" s="73"/>
      <c r="F4" s="73"/>
      <c r="G4" s="73"/>
      <c r="H4" s="73"/>
      <c r="I4" s="73"/>
      <c r="J4" s="73"/>
      <c r="K4" s="73"/>
      <c r="L4" s="73"/>
      <c r="M4" s="73"/>
      <c r="N4" s="73"/>
      <c r="O4" s="73"/>
      <c r="P4" s="74"/>
      <c r="Q4" s="74"/>
      <c r="R4" s="74"/>
      <c r="S4" s="74"/>
      <c r="T4" s="74"/>
      <c r="U4" s="74"/>
      <c r="V4" s="74"/>
      <c r="W4" s="74"/>
      <c r="X4" s="74"/>
      <c r="Y4" s="74"/>
      <c r="Z4" s="74"/>
      <c r="AA4" s="74"/>
      <c r="AB4" s="74"/>
      <c r="AC4" s="74"/>
      <c r="AD4" s="75"/>
      <c r="AE4" s="75"/>
    </row>
    <row r="5" spans="1:31" s="131" customFormat="1" ht="15" customHeight="1" x14ac:dyDescent="0.2"/>
    <row r="6" spans="1:31" s="131" customFormat="1" ht="15" customHeight="1" x14ac:dyDescent="0.2">
      <c r="A6" s="206"/>
      <c r="B6" s="206"/>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c r="AE6" s="206"/>
    </row>
    <row r="7" spans="1:31" ht="15" customHeight="1" x14ac:dyDescent="0.25">
      <c r="A7" s="76" t="s">
        <v>799</v>
      </c>
      <c r="B7" s="75"/>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row>
    <row r="8" spans="1:31" ht="15" customHeight="1" x14ac:dyDescent="0.2">
      <c r="A8" s="77" t="s">
        <v>21</v>
      </c>
      <c r="B8" s="75"/>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row>
    <row r="9" spans="1:31" ht="15" customHeight="1" x14ac:dyDescent="0.2">
      <c r="A9" s="75"/>
      <c r="B9" s="207" t="s">
        <v>34</v>
      </c>
      <c r="C9" s="207"/>
      <c r="D9" s="510">
        <v>2014</v>
      </c>
      <c r="E9" s="75"/>
      <c r="F9" s="75"/>
      <c r="G9" s="75"/>
      <c r="H9" s="75"/>
      <c r="I9" s="75"/>
      <c r="J9" s="75"/>
      <c r="K9" s="75"/>
      <c r="L9" s="75"/>
      <c r="M9" s="75"/>
      <c r="N9" s="75"/>
      <c r="O9" s="75"/>
      <c r="P9" s="75"/>
      <c r="Q9" s="75"/>
      <c r="R9" s="75"/>
      <c r="S9" s="75"/>
      <c r="T9" s="75"/>
      <c r="U9" s="75"/>
      <c r="V9" s="75"/>
      <c r="W9" s="75"/>
      <c r="X9" s="75"/>
      <c r="Y9" s="75"/>
      <c r="Z9" s="75"/>
      <c r="AA9" s="75"/>
      <c r="AB9" s="75"/>
      <c r="AC9" s="75"/>
      <c r="AD9" s="75"/>
      <c r="AE9" s="75"/>
    </row>
    <row r="10" spans="1:31" ht="15" customHeight="1" x14ac:dyDescent="0.2">
      <c r="A10" s="227"/>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row>
    <row r="11" spans="1:31" ht="15" customHeight="1" x14ac:dyDescent="0.2">
      <c r="A11" s="228" t="s">
        <v>49</v>
      </c>
      <c r="B11" s="209" t="s">
        <v>249</v>
      </c>
      <c r="C11" s="210"/>
      <c r="D11" s="210"/>
      <c r="E11" s="210"/>
      <c r="F11" s="210"/>
      <c r="G11" s="210"/>
      <c r="H11" s="210"/>
      <c r="I11" s="210"/>
      <c r="J11" s="210"/>
      <c r="K11" s="210"/>
      <c r="L11" s="210"/>
      <c r="M11" s="210"/>
      <c r="N11" s="210"/>
      <c r="O11" s="210"/>
      <c r="P11" s="210"/>
      <c r="Q11" s="210"/>
      <c r="R11" s="210"/>
      <c r="S11" s="210"/>
      <c r="T11" s="210"/>
      <c r="U11" s="211"/>
      <c r="V11" s="209"/>
      <c r="W11" s="1750" t="s">
        <v>250</v>
      </c>
      <c r="X11" s="1751"/>
      <c r="Y11" s="1751" t="s">
        <v>251</v>
      </c>
      <c r="Z11" s="1751"/>
      <c r="AA11" s="229" t="s">
        <v>252</v>
      </c>
      <c r="AB11" s="1739" t="s">
        <v>42</v>
      </c>
      <c r="AC11" s="1740"/>
      <c r="AD11" s="75"/>
      <c r="AE11" s="75"/>
    </row>
    <row r="12" spans="1:31" ht="15" customHeight="1" x14ac:dyDescent="0.2">
      <c r="A12" s="230"/>
      <c r="B12" s="213" t="s">
        <v>254</v>
      </c>
      <c r="C12" s="214"/>
      <c r="D12" s="214"/>
      <c r="E12" s="214"/>
      <c r="F12" s="214"/>
      <c r="G12" s="211"/>
      <c r="H12" s="214"/>
      <c r="I12" s="209" t="s">
        <v>255</v>
      </c>
      <c r="J12" s="214"/>
      <c r="K12" s="214"/>
      <c r="L12" s="214"/>
      <c r="M12" s="214"/>
      <c r="N12" s="211"/>
      <c r="O12" s="214"/>
      <c r="P12" s="209" t="s">
        <v>256</v>
      </c>
      <c r="Q12" s="214"/>
      <c r="R12" s="214"/>
      <c r="S12" s="214"/>
      <c r="T12" s="214"/>
      <c r="U12" s="211"/>
      <c r="V12" s="209"/>
      <c r="W12" s="1244"/>
      <c r="X12" s="231"/>
      <c r="Y12" s="232"/>
      <c r="Z12" s="232"/>
      <c r="AA12" s="233" t="s">
        <v>257</v>
      </c>
      <c r="AB12" s="1741"/>
      <c r="AC12" s="1742"/>
      <c r="AD12" s="75"/>
      <c r="AE12" s="75"/>
    </row>
    <row r="13" spans="1:31" ht="41.25" customHeight="1" x14ac:dyDescent="0.2">
      <c r="A13" s="217" t="s">
        <v>800</v>
      </c>
      <c r="B13" s="1745" t="s">
        <v>733</v>
      </c>
      <c r="C13" s="1746"/>
      <c r="D13" s="1746" t="s">
        <v>734</v>
      </c>
      <c r="E13" s="1746"/>
      <c r="F13" s="234" t="s">
        <v>259</v>
      </c>
      <c r="G13" s="1747" t="s">
        <v>42</v>
      </c>
      <c r="H13" s="1746"/>
      <c r="I13" s="1745" t="s">
        <v>260</v>
      </c>
      <c r="J13" s="1746"/>
      <c r="K13" s="1746" t="s">
        <v>261</v>
      </c>
      <c r="L13" s="1746"/>
      <c r="M13" s="234" t="s">
        <v>262</v>
      </c>
      <c r="N13" s="1747" t="s">
        <v>42</v>
      </c>
      <c r="O13" s="1746"/>
      <c r="P13" s="1745" t="s">
        <v>263</v>
      </c>
      <c r="Q13" s="1746"/>
      <c r="R13" s="1746" t="s">
        <v>264</v>
      </c>
      <c r="S13" s="1746"/>
      <c r="T13" s="234" t="s">
        <v>265</v>
      </c>
      <c r="U13" s="1748" t="s">
        <v>42</v>
      </c>
      <c r="V13" s="1749"/>
      <c r="W13" s="1245"/>
      <c r="X13" s="235"/>
      <c r="Y13" s="235"/>
      <c r="Z13" s="235"/>
      <c r="AA13" s="236" t="s">
        <v>266</v>
      </c>
      <c r="AB13" s="1743"/>
      <c r="AC13" s="1744"/>
      <c r="AD13" s="75"/>
      <c r="AE13" s="75"/>
    </row>
    <row r="14" spans="1:31" ht="18" customHeight="1" x14ac:dyDescent="0.2">
      <c r="A14" s="245" t="s">
        <v>838</v>
      </c>
      <c r="B14" s="601">
        <v>9059.9050000000007</v>
      </c>
      <c r="C14" s="602"/>
      <c r="D14" s="602">
        <v>933.79039</v>
      </c>
      <c r="E14" s="602"/>
      <c r="F14" s="601"/>
      <c r="G14" s="1165">
        <f>SUM(B14,D14)</f>
        <v>9993.6953900000008</v>
      </c>
      <c r="H14" s="1181"/>
      <c r="I14" s="601">
        <f>SUM(I15:I21)</f>
        <v>6714.7326999999996</v>
      </c>
      <c r="J14" s="602"/>
      <c r="K14" s="602">
        <f>SUM(K15:K21)</f>
        <v>3278.9594310000002</v>
      </c>
      <c r="L14" s="602"/>
      <c r="M14" s="601"/>
      <c r="N14" s="1165">
        <f>SUM(I14,K14)</f>
        <v>9993.6921309999998</v>
      </c>
      <c r="O14" s="1181"/>
      <c r="P14" s="601">
        <f>SUM(P15:P21)</f>
        <v>8824.6767</v>
      </c>
      <c r="Q14" s="602"/>
      <c r="R14" s="602">
        <f>SUM(R15:R21)</f>
        <v>1169.0200300000001</v>
      </c>
      <c r="S14" s="602"/>
      <c r="T14" s="601"/>
      <c r="U14" s="1165">
        <f>SUM(P14,R14)</f>
        <v>9993.6967299999997</v>
      </c>
      <c r="V14" s="1181"/>
      <c r="W14" s="1214">
        <v>377.79306000000003</v>
      </c>
      <c r="X14" s="1198"/>
      <c r="Y14" s="1227">
        <v>78.409880000000001</v>
      </c>
      <c r="Z14" s="1198"/>
      <c r="AA14" s="601">
        <v>142.56342000000001</v>
      </c>
      <c r="AB14" s="1165">
        <f>SUM(AA14,Y14,W14)</f>
        <v>598.76636000000008</v>
      </c>
      <c r="AC14" s="1181"/>
      <c r="AD14" s="75"/>
      <c r="AE14" s="75"/>
    </row>
    <row r="15" spans="1:31" ht="25.5" x14ac:dyDescent="0.2">
      <c r="A15" s="237" t="s">
        <v>270</v>
      </c>
      <c r="B15" s="514">
        <v>3079.37</v>
      </c>
      <c r="C15" s="515"/>
      <c r="D15" s="515">
        <v>434.81842</v>
      </c>
      <c r="E15" s="515"/>
      <c r="F15" s="514"/>
      <c r="G15" s="1167">
        <f t="shared" ref="G15:G20" si="0">SUM(B15,D15)</f>
        <v>3514.18842</v>
      </c>
      <c r="H15" s="1183"/>
      <c r="I15" s="514">
        <v>2010.14</v>
      </c>
      <c r="J15" s="515"/>
      <c r="K15" s="515">
        <f>1290.2+213.8451</f>
        <v>1504.0451</v>
      </c>
      <c r="L15" s="515"/>
      <c r="M15" s="514"/>
      <c r="N15" s="1167">
        <f t="shared" ref="N15:N21" si="1">SUM(I15,K15)</f>
        <v>3514.1851000000001</v>
      </c>
      <c r="O15" s="1183"/>
      <c r="P15" s="514">
        <v>3229.06</v>
      </c>
      <c r="Q15" s="515"/>
      <c r="R15" s="515">
        <v>285.1268</v>
      </c>
      <c r="S15" s="515"/>
      <c r="T15" s="514"/>
      <c r="U15" s="1167">
        <f t="shared" ref="U15:U21" si="2">SUM(P15,R15)</f>
        <v>3514.1867999999999</v>
      </c>
      <c r="V15" s="1183"/>
      <c r="W15" s="1215">
        <v>163.94793000000001</v>
      </c>
      <c r="X15" s="1199"/>
      <c r="Y15" s="1229">
        <v>14.256342</v>
      </c>
      <c r="Z15" s="1199"/>
      <c r="AA15" s="514">
        <v>71.281709000000006</v>
      </c>
      <c r="AB15" s="1167">
        <f t="shared" ref="AB15:AB21" si="3">SUM(AA15,Y15,W15)</f>
        <v>249.48598100000004</v>
      </c>
      <c r="AC15" s="1183"/>
      <c r="AD15" s="75"/>
      <c r="AE15" s="75"/>
    </row>
    <row r="16" spans="1:31" ht="15" customHeight="1" x14ac:dyDescent="0.2">
      <c r="A16" s="242" t="s">
        <v>237</v>
      </c>
      <c r="B16" s="581">
        <v>1411.3779999999999</v>
      </c>
      <c r="C16" s="582"/>
      <c r="D16" s="582">
        <v>128.30708000000001</v>
      </c>
      <c r="E16" s="582"/>
      <c r="F16" s="581"/>
      <c r="G16" s="1168">
        <f t="shared" si="0"/>
        <v>1539.68508</v>
      </c>
      <c r="H16" s="1184"/>
      <c r="I16" s="581">
        <v>1190.4000000000001</v>
      </c>
      <c r="J16" s="582"/>
      <c r="K16" s="582">
        <f>306.5113+42.76903</f>
        <v>349.28032999999999</v>
      </c>
      <c r="L16" s="582"/>
      <c r="M16" s="581"/>
      <c r="N16" s="1168">
        <f t="shared" si="1"/>
        <v>1539.6803300000001</v>
      </c>
      <c r="O16" s="1184"/>
      <c r="P16" s="581">
        <v>1432.76</v>
      </c>
      <c r="Q16" s="582"/>
      <c r="R16" s="582">
        <v>106.9226</v>
      </c>
      <c r="S16" s="582"/>
      <c r="T16" s="581"/>
      <c r="U16" s="1168">
        <f t="shared" si="2"/>
        <v>1539.6826000000001</v>
      </c>
      <c r="V16" s="1184"/>
      <c r="W16" s="1216">
        <v>42.769024999999999</v>
      </c>
      <c r="X16" s="1200"/>
      <c r="Y16" s="1230">
        <v>7.1281708999999998</v>
      </c>
      <c r="Z16" s="1200"/>
      <c r="AA16" s="581">
        <v>14.256342</v>
      </c>
      <c r="AB16" s="1168">
        <f t="shared" si="3"/>
        <v>64.153537900000003</v>
      </c>
      <c r="AC16" s="1184"/>
      <c r="AD16" s="75"/>
      <c r="AE16" s="75"/>
    </row>
    <row r="17" spans="1:31" ht="15" customHeight="1" x14ac:dyDescent="0.2">
      <c r="A17" s="242" t="s">
        <v>238</v>
      </c>
      <c r="B17" s="581">
        <v>876.76502000000005</v>
      </c>
      <c r="C17" s="582"/>
      <c r="D17" s="582">
        <v>78.409880000000001</v>
      </c>
      <c r="E17" s="582"/>
      <c r="F17" s="581"/>
      <c r="G17" s="1168">
        <f t="shared" si="0"/>
        <v>955.17490000000009</v>
      </c>
      <c r="H17" s="1184"/>
      <c r="I17" s="581">
        <v>613.02269999999999</v>
      </c>
      <c r="J17" s="582"/>
      <c r="K17" s="582">
        <f>306.5113+ 35.64085</f>
        <v>342.15215000000001</v>
      </c>
      <c r="L17" s="582"/>
      <c r="M17" s="581"/>
      <c r="N17" s="1168">
        <f t="shared" si="1"/>
        <v>955.17484999999999</v>
      </c>
      <c r="O17" s="1184"/>
      <c r="P17" s="581">
        <v>833.99599999999998</v>
      </c>
      <c r="Q17" s="582"/>
      <c r="R17" s="582">
        <v>121.1789</v>
      </c>
      <c r="S17" s="582"/>
      <c r="T17" s="581"/>
      <c r="U17" s="1168">
        <f t="shared" si="2"/>
        <v>955.17489999999998</v>
      </c>
      <c r="V17" s="1184"/>
      <c r="W17" s="1216">
        <v>21.384512999999998</v>
      </c>
      <c r="X17" s="1200"/>
      <c r="Y17" s="1230">
        <v>7.1281708999999998</v>
      </c>
      <c r="Z17" s="1200"/>
      <c r="AA17" s="581">
        <v>7.1281708999999998</v>
      </c>
      <c r="AB17" s="1168">
        <f t="shared" si="3"/>
        <v>35.6408548</v>
      </c>
      <c r="AC17" s="1184"/>
      <c r="AD17" s="75"/>
      <c r="AE17" s="75"/>
    </row>
    <row r="18" spans="1:31" ht="15" customHeight="1" x14ac:dyDescent="0.2">
      <c r="A18" s="242" t="s">
        <v>239</v>
      </c>
      <c r="B18" s="581">
        <v>548.86915999999997</v>
      </c>
      <c r="C18" s="582"/>
      <c r="D18" s="582">
        <v>35.640853999999997</v>
      </c>
      <c r="E18" s="582"/>
      <c r="F18" s="581"/>
      <c r="G18" s="1168">
        <f t="shared" si="0"/>
        <v>584.51001399999996</v>
      </c>
      <c r="H18" s="1184"/>
      <c r="I18" s="581">
        <v>441.94659999999999</v>
      </c>
      <c r="J18" s="582"/>
      <c r="K18" s="582">
        <f>135.4352+ 7.128171</f>
        <v>142.56337100000002</v>
      </c>
      <c r="L18" s="582"/>
      <c r="M18" s="581"/>
      <c r="N18" s="1168">
        <f t="shared" si="1"/>
        <v>584.50997099999995</v>
      </c>
      <c r="O18" s="1184"/>
      <c r="P18" s="581">
        <v>541.74099999999999</v>
      </c>
      <c r="Q18" s="582"/>
      <c r="R18" s="582">
        <v>42.769030000000001</v>
      </c>
      <c r="S18" s="582"/>
      <c r="T18" s="581"/>
      <c r="U18" s="1168">
        <f t="shared" si="2"/>
        <v>584.51003000000003</v>
      </c>
      <c r="V18" s="1184"/>
      <c r="W18" s="1216">
        <v>49.897196000000001</v>
      </c>
      <c r="X18" s="1200"/>
      <c r="Y18" s="1230">
        <v>14.256342</v>
      </c>
      <c r="Z18" s="1200"/>
      <c r="AA18" s="581">
        <v>14.256342</v>
      </c>
      <c r="AB18" s="1168">
        <f t="shared" si="3"/>
        <v>78.409880000000001</v>
      </c>
      <c r="AC18" s="1184"/>
      <c r="AD18" s="75"/>
      <c r="AE18" s="75"/>
    </row>
    <row r="19" spans="1:31" ht="15" customHeight="1" x14ac:dyDescent="0.2">
      <c r="A19" s="242" t="s">
        <v>240</v>
      </c>
      <c r="B19" s="581">
        <v>2174.0920000000001</v>
      </c>
      <c r="C19" s="582"/>
      <c r="D19" s="582">
        <v>171.0761</v>
      </c>
      <c r="E19" s="582"/>
      <c r="F19" s="581"/>
      <c r="G19" s="1168">
        <f t="shared" si="0"/>
        <v>2345.1680999999999</v>
      </c>
      <c r="H19" s="1184"/>
      <c r="I19" s="581">
        <v>1732.15</v>
      </c>
      <c r="J19" s="582"/>
      <c r="K19" s="582">
        <f>527.4846+85.53805</f>
        <v>613.02265</v>
      </c>
      <c r="L19" s="582"/>
      <c r="M19" s="581"/>
      <c r="N19" s="1168">
        <f t="shared" si="1"/>
        <v>2345.17265</v>
      </c>
      <c r="O19" s="1184"/>
      <c r="P19" s="581">
        <v>1967.38</v>
      </c>
      <c r="Q19" s="582"/>
      <c r="R19" s="582">
        <v>377.79309999999998</v>
      </c>
      <c r="S19" s="582"/>
      <c r="T19" s="581"/>
      <c r="U19" s="1168">
        <f t="shared" si="2"/>
        <v>2345.1731</v>
      </c>
      <c r="V19" s="1184"/>
      <c r="W19" s="1216">
        <v>71.281709000000006</v>
      </c>
      <c r="X19" s="1200"/>
      <c r="Y19" s="1230">
        <v>35.640853999999997</v>
      </c>
      <c r="Z19" s="1200"/>
      <c r="AA19" s="581">
        <v>28.512684</v>
      </c>
      <c r="AB19" s="1168">
        <f t="shared" si="3"/>
        <v>135.435247</v>
      </c>
      <c r="AC19" s="1184"/>
      <c r="AD19" s="75"/>
      <c r="AE19" s="75"/>
    </row>
    <row r="20" spans="1:31" ht="15" customHeight="1" x14ac:dyDescent="0.2">
      <c r="A20" s="242" t="s">
        <v>241</v>
      </c>
      <c r="B20" s="581">
        <v>969.43124</v>
      </c>
      <c r="C20" s="582"/>
      <c r="D20" s="582">
        <v>85.538050999999996</v>
      </c>
      <c r="E20" s="582"/>
      <c r="F20" s="581"/>
      <c r="G20" s="1168">
        <f t="shared" si="0"/>
        <v>1054.9692909999999</v>
      </c>
      <c r="H20" s="1184"/>
      <c r="I20" s="581">
        <v>727.07339999999999</v>
      </c>
      <c r="J20" s="582"/>
      <c r="K20" s="582">
        <f>285.1268+42.76903</f>
        <v>327.89582999999999</v>
      </c>
      <c r="L20" s="582"/>
      <c r="M20" s="581"/>
      <c r="N20" s="1168">
        <f t="shared" si="1"/>
        <v>1054.9692299999999</v>
      </c>
      <c r="O20" s="1184"/>
      <c r="P20" s="581">
        <v>819.73969999999997</v>
      </c>
      <c r="Q20" s="582"/>
      <c r="R20" s="582">
        <v>235.2296</v>
      </c>
      <c r="S20" s="582"/>
      <c r="T20" s="581"/>
      <c r="U20" s="1168">
        <f t="shared" si="2"/>
        <v>1054.9693</v>
      </c>
      <c r="V20" s="1184"/>
      <c r="W20" s="1216">
        <v>28.512684</v>
      </c>
      <c r="X20" s="1200"/>
      <c r="Y20" s="1230">
        <v>0</v>
      </c>
      <c r="Z20" s="1200"/>
      <c r="AA20" s="581">
        <v>7.1281708999999998</v>
      </c>
      <c r="AB20" s="1168">
        <f t="shared" si="3"/>
        <v>35.640854900000001</v>
      </c>
      <c r="AC20" s="1184"/>
      <c r="AD20" s="75"/>
      <c r="AE20" s="75"/>
    </row>
    <row r="21" spans="1:31" ht="15" customHeight="1" x14ac:dyDescent="0.2">
      <c r="A21" s="243" t="s">
        <v>271</v>
      </c>
      <c r="B21" s="1246">
        <v>0</v>
      </c>
      <c r="C21" s="1247"/>
      <c r="D21" s="1247">
        <v>0</v>
      </c>
      <c r="E21" s="1247"/>
      <c r="F21" s="1248"/>
      <c r="G21" s="1249">
        <v>0</v>
      </c>
      <c r="H21" s="1250"/>
      <c r="I21" s="1248">
        <v>0</v>
      </c>
      <c r="J21" s="1247"/>
      <c r="K21" s="1247">
        <v>0</v>
      </c>
      <c r="L21" s="1247"/>
      <c r="M21" s="1248"/>
      <c r="N21" s="1249">
        <f t="shared" si="1"/>
        <v>0</v>
      </c>
      <c r="O21" s="1250"/>
      <c r="P21" s="1248">
        <v>0</v>
      </c>
      <c r="Q21" s="1247"/>
      <c r="R21" s="1247">
        <v>0</v>
      </c>
      <c r="S21" s="1247"/>
      <c r="T21" s="1248"/>
      <c r="U21" s="1249">
        <f t="shared" si="2"/>
        <v>0</v>
      </c>
      <c r="V21" s="1250"/>
      <c r="W21" s="1251"/>
      <c r="X21" s="1252"/>
      <c r="Y21" s="1253"/>
      <c r="Z21" s="1252"/>
      <c r="AA21" s="1248"/>
      <c r="AB21" s="1249">
        <f t="shared" si="3"/>
        <v>0</v>
      </c>
      <c r="AC21" s="1250"/>
      <c r="AD21" s="75"/>
      <c r="AE21" s="75"/>
    </row>
    <row r="22" spans="1:31" ht="15" customHeight="1" x14ac:dyDescent="0.2">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row>
    <row r="23" spans="1:31" ht="15" customHeight="1" x14ac:dyDescent="0.2">
      <c r="A23" s="75"/>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row>
    <row r="24" spans="1:31" ht="15" customHeight="1" x14ac:dyDescent="0.2">
      <c r="A24" s="79" t="s">
        <v>32</v>
      </c>
      <c r="B24" s="56"/>
      <c r="C24" s="56"/>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75"/>
      <c r="AE24" s="75"/>
    </row>
    <row r="25" spans="1:31" ht="15" customHeight="1" x14ac:dyDescent="0.2">
      <c r="A25" s="75"/>
      <c r="B25" s="58"/>
      <c r="C25" s="58"/>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75"/>
      <c r="AE25" s="75"/>
    </row>
    <row r="26" spans="1:31" ht="15" customHeight="1" x14ac:dyDescent="0.2">
      <c r="A26" s="75"/>
      <c r="B26" s="58"/>
      <c r="C26" s="58"/>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75"/>
      <c r="AE26" s="75"/>
    </row>
    <row r="27" spans="1:31" ht="15" customHeight="1" x14ac:dyDescent="0.2">
      <c r="A27" s="75"/>
      <c r="B27" s="58"/>
      <c r="C27" s="58"/>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75"/>
      <c r="AE27" s="75"/>
    </row>
    <row r="28" spans="1:31" ht="15" customHeight="1" x14ac:dyDescent="0.2">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row>
    <row r="29" spans="1:31" ht="15" customHeight="1" x14ac:dyDescent="0.2">
      <c r="A29" s="79" t="s">
        <v>33</v>
      </c>
      <c r="B29" s="56"/>
      <c r="C29" s="56"/>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75"/>
      <c r="AE29" s="75"/>
    </row>
    <row r="30" spans="1:31" ht="15" customHeight="1" x14ac:dyDescent="0.2">
      <c r="A30" s="79"/>
      <c r="B30" s="58"/>
      <c r="C30" s="58"/>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75"/>
      <c r="AE30" s="75"/>
    </row>
    <row r="31" spans="1:31" ht="15" customHeight="1" x14ac:dyDescent="0.2">
      <c r="A31" s="75"/>
      <c r="B31" s="58"/>
      <c r="C31" s="58"/>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75"/>
      <c r="AE31" s="75"/>
    </row>
    <row r="32" spans="1:31" ht="15" customHeight="1" x14ac:dyDescent="0.2">
      <c r="A32" s="75"/>
      <c r="B32" s="58"/>
      <c r="C32" s="58"/>
      <c r="D32" s="59"/>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75"/>
      <c r="AE32" s="75"/>
    </row>
    <row r="33" spans="1:31" ht="15" customHeight="1" x14ac:dyDescent="0.2">
      <c r="A33" s="75"/>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row>
    <row r="34" spans="1:31" ht="12.75" x14ac:dyDescent="0.2">
      <c r="A34" s="79" t="s">
        <v>670</v>
      </c>
      <c r="B34" s="75"/>
      <c r="C34" s="75"/>
      <c r="D34" s="75"/>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row>
    <row r="35" spans="1:31" ht="12.75" x14ac:dyDescent="0.2">
      <c r="A35" s="579"/>
      <c r="B35" s="548"/>
      <c r="C35" s="75"/>
      <c r="D35" s="75"/>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row>
    <row r="36" spans="1:31" ht="12.75" x14ac:dyDescent="0.2">
      <c r="A36" s="75"/>
      <c r="B36" s="549"/>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row>
    <row r="37" spans="1:31" ht="12.75" x14ac:dyDescent="0.2">
      <c r="A37" s="75"/>
      <c r="B37" s="549"/>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5"/>
      <c r="AD37" s="75"/>
      <c r="AE37" s="75"/>
    </row>
    <row r="38" spans="1:31" ht="12.75" x14ac:dyDescent="0.2">
      <c r="A38" s="75"/>
      <c r="B38" s="549"/>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c r="AE38" s="75"/>
    </row>
    <row r="39" spans="1:31" ht="15" customHeight="1" x14ac:dyDescent="0.2">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5"/>
      <c r="AD39" s="75"/>
      <c r="AE39" s="75"/>
    </row>
  </sheetData>
  <sheetProtection password="CD9E" sheet="1" objects="1" scenarios="1" selectLockedCells="1"/>
  <mergeCells count="13">
    <mergeCell ref="AB11:AC11"/>
    <mergeCell ref="AB12:AC13"/>
    <mergeCell ref="B13:C13"/>
    <mergeCell ref="D13:E13"/>
    <mergeCell ref="G13:H13"/>
    <mergeCell ref="I13:J13"/>
    <mergeCell ref="K13:L13"/>
    <mergeCell ref="N13:O13"/>
    <mergeCell ref="P13:Q13"/>
    <mergeCell ref="R13:S13"/>
    <mergeCell ref="U13:V13"/>
    <mergeCell ref="W11:X11"/>
    <mergeCell ref="Y11:Z11"/>
  </mergeCells>
  <dataValidations count="1">
    <dataValidation type="list" allowBlank="1" showInputMessage="1" showErrorMessage="1" sqref="B35:B38">
      <formula1>ModelQuest</formula1>
    </dataValidation>
  </dataValidations>
  <hyperlinks>
    <hyperlink ref="A2" location="'Error colours'!A1" display="Explicatory notice'!A9"/>
    <hyperlink ref="A3" location="Cntry!A1" display="Go to country metadata"/>
    <hyperlink ref="A1" location="'List of tables'!A9" display="'List of tables'!A9"/>
  </hyperlinks>
  <pageMargins left="0.74803149606299213" right="0.74803149606299213" top="0.98425196850393704" bottom="0.98425196850393704" header="0.51181102362204722" footer="0.51181102362204722"/>
  <pageSetup paperSize="9" scale="56" orientation="landscape" r:id="rId1"/>
  <headerFooter alignWithMargins="0">
    <oddHeader>&amp;LCDH&amp;C &amp;F&amp;R&amp;A</oddHeader>
    <oddFooter>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indexed="42"/>
    <pageSetUpPr fitToPage="1"/>
  </sheetPr>
  <dimension ref="A1:AD38"/>
  <sheetViews>
    <sheetView showGridLines="0" zoomScale="80" zoomScaleNormal="80" workbookViewId="0">
      <selection activeCell="B14" sqref="B14"/>
    </sheetView>
  </sheetViews>
  <sheetFormatPr baseColWidth="10" defaultColWidth="9.140625" defaultRowHeight="15" customHeight="1" x14ac:dyDescent="0.2"/>
  <cols>
    <col min="1" max="1" width="28.7109375" style="31" customWidth="1"/>
    <col min="2" max="2" width="11.140625" style="31" customWidth="1"/>
    <col min="3" max="3" width="6.7109375" style="31" customWidth="1"/>
    <col min="4" max="4" width="12" style="31" customWidth="1"/>
    <col min="5" max="5" width="6.7109375" style="31" customWidth="1"/>
    <col min="6" max="7" width="11.140625" style="31" customWidth="1"/>
    <col min="8" max="8" width="6.7109375" style="31" customWidth="1"/>
    <col min="9" max="9" width="11.140625" style="31" customWidth="1"/>
    <col min="10" max="10" width="6.7109375" style="31" customWidth="1"/>
    <col min="11" max="11" width="11.140625" style="31" customWidth="1"/>
    <col min="12" max="12" width="6.7109375" style="31" customWidth="1"/>
    <col min="13" max="13" width="11.140625" style="31" customWidth="1"/>
    <col min="14" max="14" width="13.42578125" style="31" customWidth="1"/>
    <col min="15" max="15" width="6.7109375" style="31" customWidth="1"/>
    <col min="16" max="16" width="13.7109375" style="31" bestFit="1" customWidth="1"/>
    <col min="17" max="17" width="6.7109375" style="31" customWidth="1"/>
    <col min="18" max="18" width="12.7109375" style="31" customWidth="1"/>
    <col min="19" max="19" width="6.7109375" style="31" customWidth="1"/>
    <col min="20" max="21" width="12.7109375" style="31" customWidth="1"/>
    <col min="22" max="22" width="6.7109375" style="31" customWidth="1"/>
    <col min="23" max="23" width="12.7109375" style="31" customWidth="1"/>
    <col min="24" max="24" width="6.7109375" style="31" customWidth="1"/>
    <col min="25" max="25" width="12.7109375" style="31" customWidth="1"/>
    <col min="26" max="26" width="6.7109375" style="31" customWidth="1"/>
    <col min="27" max="28" width="12.7109375" style="31" customWidth="1"/>
    <col min="29" max="29" width="6.7109375" style="31" customWidth="1"/>
    <col min="30" max="16384" width="9.140625" style="31"/>
  </cols>
  <sheetData>
    <row r="1" spans="1:30" s="66" customFormat="1" ht="12" customHeight="1" x14ac:dyDescent="0.2">
      <c r="A1" s="26" t="s">
        <v>6</v>
      </c>
    </row>
    <row r="2" spans="1:30" s="66" customFormat="1" ht="12" customHeight="1" x14ac:dyDescent="0.2">
      <c r="A2" s="28" t="s">
        <v>10</v>
      </c>
    </row>
    <row r="3" spans="1:30" s="66" customFormat="1" ht="12" customHeight="1" x14ac:dyDescent="0.2">
      <c r="A3" s="28" t="s">
        <v>7</v>
      </c>
    </row>
    <row r="4" spans="1:30" ht="15" customHeight="1" x14ac:dyDescent="0.2">
      <c r="A4" s="73" t="s">
        <v>248</v>
      </c>
      <c r="B4" s="73"/>
      <c r="C4" s="73"/>
      <c r="D4" s="73"/>
      <c r="E4" s="73"/>
      <c r="F4" s="73"/>
      <c r="G4" s="73"/>
      <c r="H4" s="73"/>
      <c r="I4" s="73"/>
      <c r="J4" s="74"/>
      <c r="K4" s="74"/>
      <c r="L4" s="74"/>
      <c r="M4" s="74"/>
      <c r="N4" s="74"/>
      <c r="O4" s="74"/>
      <c r="P4" s="74"/>
      <c r="Q4" s="74"/>
      <c r="R4" s="75"/>
      <c r="S4" s="75"/>
      <c r="T4" s="75"/>
      <c r="U4" s="75"/>
      <c r="V4" s="75"/>
      <c r="W4" s="75"/>
      <c r="X4" s="75"/>
      <c r="Y4" s="75"/>
      <c r="Z4" s="75"/>
      <c r="AA4" s="75"/>
      <c r="AB4" s="75"/>
      <c r="AC4" s="75"/>
      <c r="AD4" s="75"/>
    </row>
    <row r="5" spans="1:30" s="131" customFormat="1" ht="15" customHeight="1" x14ac:dyDescent="0.2"/>
    <row r="6" spans="1:30" s="131" customFormat="1" ht="15" customHeight="1" x14ac:dyDescent="0.2">
      <c r="A6" s="206"/>
      <c r="B6" s="206"/>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row>
    <row r="7" spans="1:30" ht="15" customHeight="1" x14ac:dyDescent="0.25">
      <c r="A7" s="76" t="s">
        <v>272</v>
      </c>
      <c r="B7" s="75"/>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row>
    <row r="8" spans="1:30" ht="15" customHeight="1" x14ac:dyDescent="0.2">
      <c r="A8" s="77" t="s">
        <v>21</v>
      </c>
      <c r="B8" s="75"/>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row>
    <row r="9" spans="1:30" ht="15" customHeight="1" x14ac:dyDescent="0.2">
      <c r="A9" s="75"/>
      <c r="B9" s="207" t="s">
        <v>34</v>
      </c>
      <c r="C9" s="510"/>
      <c r="D9" s="75"/>
      <c r="E9" s="75"/>
      <c r="F9" s="75"/>
      <c r="G9" s="75"/>
      <c r="H9" s="75"/>
      <c r="I9" s="75"/>
      <c r="J9" s="75"/>
      <c r="K9" s="75"/>
      <c r="L9" s="75"/>
      <c r="M9" s="75"/>
      <c r="N9" s="75"/>
      <c r="O9" s="75"/>
      <c r="P9" s="75"/>
      <c r="Q9" s="75"/>
      <c r="R9" s="75"/>
      <c r="S9" s="75"/>
      <c r="T9" s="75"/>
      <c r="U9" s="75"/>
      <c r="V9" s="75"/>
      <c r="W9" s="75"/>
      <c r="X9" s="75"/>
      <c r="Y9" s="75"/>
      <c r="Z9" s="75"/>
      <c r="AA9" s="75"/>
      <c r="AB9" s="75"/>
      <c r="AC9" s="75"/>
      <c r="AD9" s="75"/>
    </row>
    <row r="10" spans="1:30" ht="15" customHeight="1" x14ac:dyDescent="0.2">
      <c r="A10" s="227"/>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row>
    <row r="11" spans="1:30" ht="15" customHeight="1" x14ac:dyDescent="0.2">
      <c r="A11" s="228" t="s">
        <v>49</v>
      </c>
      <c r="B11" s="209" t="s">
        <v>249</v>
      </c>
      <c r="C11" s="210"/>
      <c r="D11" s="210"/>
      <c r="E11" s="210"/>
      <c r="F11" s="210"/>
      <c r="G11" s="210"/>
      <c r="H11" s="210"/>
      <c r="I11" s="210"/>
      <c r="J11" s="210"/>
      <c r="K11" s="210"/>
      <c r="L11" s="210"/>
      <c r="M11" s="210"/>
      <c r="N11" s="210"/>
      <c r="O11" s="210"/>
      <c r="P11" s="210"/>
      <c r="Q11" s="210"/>
      <c r="R11" s="210"/>
      <c r="S11" s="210"/>
      <c r="T11" s="210"/>
      <c r="U11" s="211"/>
      <c r="V11" s="209"/>
      <c r="W11" s="1750" t="s">
        <v>250</v>
      </c>
      <c r="X11" s="1751"/>
      <c r="Y11" s="1751" t="s">
        <v>251</v>
      </c>
      <c r="Z11" s="1751"/>
      <c r="AA11" s="229" t="s">
        <v>252</v>
      </c>
      <c r="AB11" s="1739" t="s">
        <v>42</v>
      </c>
      <c r="AC11" s="1740"/>
      <c r="AD11" s="75"/>
    </row>
    <row r="12" spans="1:30" ht="15" customHeight="1" x14ac:dyDescent="0.2">
      <c r="A12" s="230"/>
      <c r="B12" s="213" t="s">
        <v>254</v>
      </c>
      <c r="C12" s="214"/>
      <c r="D12" s="214"/>
      <c r="E12" s="214"/>
      <c r="F12" s="214"/>
      <c r="G12" s="211"/>
      <c r="H12" s="214"/>
      <c r="I12" s="209" t="s">
        <v>255</v>
      </c>
      <c r="J12" s="214"/>
      <c r="K12" s="214"/>
      <c r="L12" s="214"/>
      <c r="M12" s="214"/>
      <c r="N12" s="211"/>
      <c r="O12" s="214"/>
      <c r="P12" s="209" t="s">
        <v>256</v>
      </c>
      <c r="Q12" s="214"/>
      <c r="R12" s="214"/>
      <c r="S12" s="214"/>
      <c r="T12" s="214"/>
      <c r="U12" s="211"/>
      <c r="V12" s="209"/>
      <c r="W12" s="1244"/>
      <c r="X12" s="231"/>
      <c r="Y12" s="232"/>
      <c r="Z12" s="232"/>
      <c r="AA12" s="233" t="s">
        <v>257</v>
      </c>
      <c r="AB12" s="1741"/>
      <c r="AC12" s="1742"/>
      <c r="AD12" s="75"/>
    </row>
    <row r="13" spans="1:30" ht="41.25" customHeight="1" x14ac:dyDescent="0.2">
      <c r="A13" s="217" t="s">
        <v>273</v>
      </c>
      <c r="B13" s="1745" t="s">
        <v>733</v>
      </c>
      <c r="C13" s="1746"/>
      <c r="D13" s="1746" t="s">
        <v>734</v>
      </c>
      <c r="E13" s="1746"/>
      <c r="F13" s="234" t="s">
        <v>259</v>
      </c>
      <c r="G13" s="1747" t="s">
        <v>42</v>
      </c>
      <c r="H13" s="1746"/>
      <c r="I13" s="1745" t="s">
        <v>260</v>
      </c>
      <c r="J13" s="1746"/>
      <c r="K13" s="1746" t="s">
        <v>261</v>
      </c>
      <c r="L13" s="1746"/>
      <c r="M13" s="234" t="s">
        <v>262</v>
      </c>
      <c r="N13" s="1747" t="s">
        <v>42</v>
      </c>
      <c r="O13" s="1746"/>
      <c r="P13" s="1745" t="s">
        <v>263</v>
      </c>
      <c r="Q13" s="1746"/>
      <c r="R13" s="1746" t="s">
        <v>264</v>
      </c>
      <c r="S13" s="1746"/>
      <c r="T13" s="234" t="s">
        <v>265</v>
      </c>
      <c r="U13" s="1748" t="s">
        <v>42</v>
      </c>
      <c r="V13" s="1749"/>
      <c r="W13" s="1245"/>
      <c r="X13" s="235"/>
      <c r="Y13" s="235"/>
      <c r="Z13" s="235"/>
      <c r="AA13" s="236" t="s">
        <v>266</v>
      </c>
      <c r="AB13" s="1743"/>
      <c r="AC13" s="1744"/>
      <c r="AD13" s="75"/>
    </row>
    <row r="14" spans="1:30" s="39" customFormat="1" ht="18" customHeight="1" x14ac:dyDescent="0.2">
      <c r="A14" s="670" t="s">
        <v>839</v>
      </c>
      <c r="B14" s="601">
        <f>SUM(B15:B20)</f>
        <v>9059.9058599999989</v>
      </c>
      <c r="C14" s="602"/>
      <c r="D14" s="602">
        <f>SUM(D15:D20)</f>
        <v>933.79039399999999</v>
      </c>
      <c r="E14" s="602"/>
      <c r="F14" s="601"/>
      <c r="G14" s="1165">
        <f>SUM(B14,D14)</f>
        <v>9993.6962539999986</v>
      </c>
      <c r="H14" s="1181"/>
      <c r="I14" s="601">
        <f>SUM(I15:I20)</f>
        <v>6714.7356</v>
      </c>
      <c r="J14" s="602"/>
      <c r="K14" s="602">
        <f>SUM(K15:K20)</f>
        <v>3278.964751</v>
      </c>
      <c r="L14" s="602"/>
      <c r="M14" s="601"/>
      <c r="N14" s="1165">
        <f>SUM(I14,K14)</f>
        <v>9993.7003509999995</v>
      </c>
      <c r="O14" s="1181"/>
      <c r="P14" s="601">
        <f>SUM(P15:P20)</f>
        <v>8824.6787000000004</v>
      </c>
      <c r="Q14" s="602"/>
      <c r="R14" s="602">
        <f>SUM(R15:R20)</f>
        <v>1169.0201099999999</v>
      </c>
      <c r="S14" s="602"/>
      <c r="T14" s="601"/>
      <c r="U14" s="1165">
        <f>SUM(P14,R14)</f>
        <v>9993.6988099999999</v>
      </c>
      <c r="V14" s="1181"/>
      <c r="W14" s="1214">
        <f>SUM(W15:W20)</f>
        <v>377.79305899999997</v>
      </c>
      <c r="X14" s="1198"/>
      <c r="Y14" s="1227">
        <f>SUM(Y15:Y20)</f>
        <v>78.409880799999996</v>
      </c>
      <c r="Z14" s="1198"/>
      <c r="AA14" s="601">
        <f>SUM(AA15:AA20)</f>
        <v>142.56341789999996</v>
      </c>
      <c r="AB14" s="1165">
        <f>SUM(AA14,Y14,W14)</f>
        <v>598.76635769999996</v>
      </c>
      <c r="AC14" s="1181"/>
      <c r="AD14" s="75"/>
    </row>
    <row r="15" spans="1:30" ht="25.5" x14ac:dyDescent="0.2">
      <c r="A15" s="237" t="s">
        <v>274</v>
      </c>
      <c r="B15" s="514">
        <v>1539.6849999999999</v>
      </c>
      <c r="C15" s="515"/>
      <c r="D15" s="515">
        <v>463.33111000000002</v>
      </c>
      <c r="E15" s="515"/>
      <c r="F15" s="514"/>
      <c r="G15" s="1167">
        <f t="shared" ref="G15:G20" si="0">SUM(B15,D15)</f>
        <v>2003.01611</v>
      </c>
      <c r="H15" s="1183"/>
      <c r="I15" s="514">
        <v>784.09879999999998</v>
      </c>
      <c r="J15" s="515"/>
      <c r="K15" s="515">
        <f>1026.46+192.4606</f>
        <v>1218.9205999999999</v>
      </c>
      <c r="L15" s="515"/>
      <c r="M15" s="514"/>
      <c r="N15" s="1167">
        <f t="shared" ref="N15:N20" si="1">SUM(I15,K15)</f>
        <v>2003.0193999999999</v>
      </c>
      <c r="O15" s="1183"/>
      <c r="P15" s="514">
        <v>1767.79</v>
      </c>
      <c r="Q15" s="515"/>
      <c r="R15" s="515">
        <v>235.2296</v>
      </c>
      <c r="S15" s="515"/>
      <c r="T15" s="514"/>
      <c r="U15" s="1167">
        <f t="shared" ref="U15:U20" si="2">SUM(P15,R15)</f>
        <v>2003.0196000000001</v>
      </c>
      <c r="V15" s="1183"/>
      <c r="W15" s="1215">
        <v>128.30708000000001</v>
      </c>
      <c r="X15" s="1199"/>
      <c r="Y15" s="1229">
        <v>28.512684</v>
      </c>
      <c r="Z15" s="1199"/>
      <c r="AA15" s="514">
        <v>35.640853999999997</v>
      </c>
      <c r="AB15" s="1167">
        <f t="shared" ref="AB15:AB20" si="3">SUM(AA15,Y15,W15)</f>
        <v>192.46061800000001</v>
      </c>
      <c r="AC15" s="1183"/>
      <c r="AD15" s="75"/>
    </row>
    <row r="16" spans="1:30" ht="15" customHeight="1" x14ac:dyDescent="0.2">
      <c r="A16" s="242" t="s">
        <v>27</v>
      </c>
      <c r="B16" s="581">
        <v>3571.2139999999999</v>
      </c>
      <c r="C16" s="582"/>
      <c r="D16" s="582">
        <v>285.12684000000002</v>
      </c>
      <c r="E16" s="582"/>
      <c r="F16" s="581"/>
      <c r="G16" s="1168">
        <f t="shared" si="0"/>
        <v>3856.3408399999998</v>
      </c>
      <c r="H16" s="1184"/>
      <c r="I16" s="581">
        <v>2480.6</v>
      </c>
      <c r="J16" s="582"/>
      <c r="K16" s="582">
        <f>1218.92+156.8198</f>
        <v>1375.7398000000001</v>
      </c>
      <c r="L16" s="582"/>
      <c r="M16" s="581"/>
      <c r="N16" s="1168">
        <f t="shared" si="1"/>
        <v>3856.3397999999997</v>
      </c>
      <c r="O16" s="1184"/>
      <c r="P16" s="581">
        <v>3428.65</v>
      </c>
      <c r="Q16" s="582"/>
      <c r="R16" s="582">
        <v>427.69029999999998</v>
      </c>
      <c r="S16" s="582"/>
      <c r="T16" s="581"/>
      <c r="U16" s="1168">
        <f t="shared" si="2"/>
        <v>3856.3402999999998</v>
      </c>
      <c r="V16" s="1184"/>
      <c r="W16" s="1216">
        <v>178.20427000000001</v>
      </c>
      <c r="X16" s="1200"/>
      <c r="Y16" s="1230">
        <v>14.256342</v>
      </c>
      <c r="Z16" s="1200"/>
      <c r="AA16" s="581">
        <v>64.153537999999998</v>
      </c>
      <c r="AB16" s="1168">
        <f t="shared" si="3"/>
        <v>256.61415</v>
      </c>
      <c r="AC16" s="1184"/>
      <c r="AD16" s="75"/>
    </row>
    <row r="17" spans="1:30" ht="15" customHeight="1" x14ac:dyDescent="0.2">
      <c r="A17" s="242" t="s">
        <v>28</v>
      </c>
      <c r="B17" s="581">
        <v>1981.6320000000001</v>
      </c>
      <c r="C17" s="582"/>
      <c r="D17" s="582">
        <v>78.409880000000001</v>
      </c>
      <c r="E17" s="582"/>
      <c r="F17" s="581"/>
      <c r="G17" s="1168">
        <f t="shared" si="0"/>
        <v>2060.0418800000002</v>
      </c>
      <c r="H17" s="1184"/>
      <c r="I17" s="581">
        <v>1653.74</v>
      </c>
      <c r="J17" s="582"/>
      <c r="K17" s="582">
        <f>363.5367+42.76903</f>
        <v>406.30572999999998</v>
      </c>
      <c r="L17" s="582"/>
      <c r="M17" s="581"/>
      <c r="N17" s="1168">
        <f t="shared" si="1"/>
        <v>2060.0457299999998</v>
      </c>
      <c r="O17" s="1184"/>
      <c r="P17" s="581">
        <v>1803.43</v>
      </c>
      <c r="Q17" s="582"/>
      <c r="R17" s="582">
        <v>256.61419999999998</v>
      </c>
      <c r="S17" s="582"/>
      <c r="T17" s="581"/>
      <c r="U17" s="1168">
        <f t="shared" si="2"/>
        <v>2060.0442000000003</v>
      </c>
      <c r="V17" s="1184"/>
      <c r="W17" s="1216">
        <v>35.640853999999997</v>
      </c>
      <c r="X17" s="1200"/>
      <c r="Y17" s="1230">
        <v>7.1281708999999998</v>
      </c>
      <c r="Z17" s="1200"/>
      <c r="AA17" s="581">
        <v>21.384512999999998</v>
      </c>
      <c r="AB17" s="1168">
        <f t="shared" si="3"/>
        <v>64.153537900000003</v>
      </c>
      <c r="AC17" s="1184"/>
      <c r="AD17" s="75"/>
    </row>
    <row r="18" spans="1:30" ht="15" customHeight="1" x14ac:dyDescent="0.2">
      <c r="A18" s="242" t="s">
        <v>29</v>
      </c>
      <c r="B18" s="581">
        <v>1639.479</v>
      </c>
      <c r="C18" s="582"/>
      <c r="D18" s="582">
        <v>85.538050999999996</v>
      </c>
      <c r="E18" s="582"/>
      <c r="F18" s="581"/>
      <c r="G18" s="1168">
        <f t="shared" si="0"/>
        <v>1725.017051</v>
      </c>
      <c r="H18" s="1184"/>
      <c r="I18" s="581">
        <v>1511.17</v>
      </c>
      <c r="J18" s="582"/>
      <c r="K18" s="582">
        <f>185.3324+28.51268</f>
        <v>213.84508</v>
      </c>
      <c r="L18" s="582"/>
      <c r="M18" s="581"/>
      <c r="N18" s="1168">
        <f t="shared" si="1"/>
        <v>1725.0150800000001</v>
      </c>
      <c r="O18" s="1184"/>
      <c r="P18" s="581">
        <v>1546.81</v>
      </c>
      <c r="Q18" s="582"/>
      <c r="R18" s="582">
        <v>178.20429999999999</v>
      </c>
      <c r="S18" s="582"/>
      <c r="T18" s="581"/>
      <c r="U18" s="1168">
        <f t="shared" si="2"/>
        <v>1725.0142999999998</v>
      </c>
      <c r="V18" s="1184"/>
      <c r="W18" s="1216">
        <v>21.384512999999998</v>
      </c>
      <c r="X18" s="1200"/>
      <c r="Y18" s="1230">
        <v>7.1281708999999998</v>
      </c>
      <c r="Z18" s="1200"/>
      <c r="AA18" s="581">
        <v>7.1281708999999998</v>
      </c>
      <c r="AB18" s="1168">
        <f t="shared" si="3"/>
        <v>35.6408548</v>
      </c>
      <c r="AC18" s="1184"/>
      <c r="AD18" s="75"/>
    </row>
    <row r="19" spans="1:30" ht="15" customHeight="1" x14ac:dyDescent="0.2">
      <c r="A19" s="242" t="s">
        <v>30</v>
      </c>
      <c r="B19" s="581">
        <v>327.89586000000003</v>
      </c>
      <c r="C19" s="582"/>
      <c r="D19" s="582">
        <v>21.384512999999998</v>
      </c>
      <c r="E19" s="582"/>
      <c r="F19" s="581"/>
      <c r="G19" s="1168">
        <f t="shared" si="0"/>
        <v>349.28037300000005</v>
      </c>
      <c r="H19" s="1184"/>
      <c r="I19" s="581">
        <v>285.1268</v>
      </c>
      <c r="J19" s="582"/>
      <c r="K19" s="582">
        <f>57.02537+7.128171</f>
        <v>64.153541000000004</v>
      </c>
      <c r="L19" s="582"/>
      <c r="M19" s="581"/>
      <c r="N19" s="1168">
        <f t="shared" si="1"/>
        <v>349.28034100000002</v>
      </c>
      <c r="O19" s="1184"/>
      <c r="P19" s="581">
        <v>277.99869999999999</v>
      </c>
      <c r="Q19" s="582"/>
      <c r="R19" s="582">
        <v>71.281710000000004</v>
      </c>
      <c r="S19" s="582"/>
      <c r="T19" s="581"/>
      <c r="U19" s="1168">
        <f t="shared" si="2"/>
        <v>349.28040999999996</v>
      </c>
      <c r="V19" s="1184"/>
      <c r="W19" s="1216">
        <v>14.256342</v>
      </c>
      <c r="X19" s="1200"/>
      <c r="Y19" s="1230">
        <v>21.384512999999998</v>
      </c>
      <c r="Z19" s="1200"/>
      <c r="AA19" s="581">
        <v>14.256342</v>
      </c>
      <c r="AB19" s="1168">
        <f t="shared" si="3"/>
        <v>49.897197000000006</v>
      </c>
      <c r="AC19" s="1184"/>
      <c r="AD19" s="75"/>
    </row>
    <row r="20" spans="1:30" ht="15" customHeight="1" x14ac:dyDescent="0.2">
      <c r="A20" s="243" t="s">
        <v>275</v>
      </c>
      <c r="B20" s="1246">
        <v>0</v>
      </c>
      <c r="C20" s="1247"/>
      <c r="D20" s="1247">
        <v>0</v>
      </c>
      <c r="E20" s="1247"/>
      <c r="F20" s="1248"/>
      <c r="G20" s="1249">
        <f t="shared" si="0"/>
        <v>0</v>
      </c>
      <c r="H20" s="1250"/>
      <c r="I20" s="1248">
        <v>0</v>
      </c>
      <c r="J20" s="1247"/>
      <c r="K20" s="1247">
        <v>0</v>
      </c>
      <c r="L20" s="1247"/>
      <c r="M20" s="1248"/>
      <c r="N20" s="1249">
        <f t="shared" si="1"/>
        <v>0</v>
      </c>
      <c r="O20" s="1250"/>
      <c r="P20" s="1248">
        <v>0</v>
      </c>
      <c r="Q20" s="1247"/>
      <c r="R20" s="1247">
        <v>0</v>
      </c>
      <c r="S20" s="1247"/>
      <c r="T20" s="1248"/>
      <c r="U20" s="1249">
        <f t="shared" si="2"/>
        <v>0</v>
      </c>
      <c r="V20" s="1250"/>
      <c r="W20" s="1251">
        <v>0</v>
      </c>
      <c r="X20" s="1252"/>
      <c r="Y20" s="1253">
        <v>0</v>
      </c>
      <c r="Z20" s="1252"/>
      <c r="AA20" s="1248">
        <v>0</v>
      </c>
      <c r="AB20" s="1249">
        <f t="shared" si="3"/>
        <v>0</v>
      </c>
      <c r="AC20" s="1250"/>
      <c r="AD20" s="75"/>
    </row>
    <row r="21" spans="1:30" ht="15" customHeight="1" x14ac:dyDescent="0.2">
      <c r="A21" s="244" t="s">
        <v>578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row>
    <row r="22" spans="1:30" ht="15" customHeight="1" x14ac:dyDescent="0.2">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row>
    <row r="23" spans="1:30" ht="15" customHeight="1" x14ac:dyDescent="0.2">
      <c r="A23" s="79" t="s">
        <v>32</v>
      </c>
      <c r="B23" s="56"/>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75"/>
    </row>
    <row r="24" spans="1:30" ht="15" customHeight="1" x14ac:dyDescent="0.2">
      <c r="A24" s="75"/>
      <c r="B24" s="58"/>
      <c r="C24" s="59"/>
      <c r="D24" s="59"/>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75"/>
    </row>
    <row r="25" spans="1:30" ht="15" customHeight="1" x14ac:dyDescent="0.2">
      <c r="A25" s="75"/>
      <c r="B25" s="58"/>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75"/>
    </row>
    <row r="26" spans="1:30" ht="15" customHeight="1" x14ac:dyDescent="0.2">
      <c r="A26" s="75"/>
      <c r="B26" s="58"/>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75"/>
    </row>
    <row r="27" spans="1:30" ht="15" customHeight="1" x14ac:dyDescent="0.2">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row>
    <row r="28" spans="1:30" ht="15" customHeight="1" x14ac:dyDescent="0.2">
      <c r="A28" s="79" t="s">
        <v>33</v>
      </c>
      <c r="B28" s="56"/>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75"/>
    </row>
    <row r="29" spans="1:30" ht="15" customHeight="1" x14ac:dyDescent="0.2">
      <c r="A29" s="79"/>
      <c r="B29" s="58"/>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75"/>
    </row>
    <row r="30" spans="1:30" ht="15" customHeight="1" x14ac:dyDescent="0.2">
      <c r="A30" s="75"/>
      <c r="B30" s="58"/>
      <c r="C30" s="59"/>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75"/>
    </row>
    <row r="31" spans="1:30" ht="15" customHeight="1" x14ac:dyDescent="0.2">
      <c r="A31" s="75"/>
      <c r="B31" s="58"/>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75"/>
    </row>
    <row r="32" spans="1:30" ht="15" customHeight="1" x14ac:dyDescent="0.2">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row>
    <row r="33" spans="1:30" ht="12.75" x14ac:dyDescent="0.2">
      <c r="A33" s="79" t="s">
        <v>670</v>
      </c>
      <c r="B33" s="75"/>
      <c r="C33" s="75"/>
      <c r="D33" s="75"/>
      <c r="E33" s="75"/>
      <c r="F33" s="75"/>
      <c r="G33" s="75"/>
      <c r="H33" s="75"/>
      <c r="I33" s="75"/>
      <c r="J33" s="75"/>
      <c r="K33" s="580"/>
      <c r="L33" s="580"/>
      <c r="M33" s="580"/>
      <c r="N33" s="580"/>
      <c r="O33" s="580"/>
      <c r="P33" s="580"/>
      <c r="Q33" s="580"/>
      <c r="R33" s="580"/>
      <c r="S33" s="580"/>
      <c r="T33" s="580"/>
      <c r="U33" s="580"/>
      <c r="V33" s="580"/>
      <c r="W33" s="580"/>
      <c r="X33" s="580"/>
      <c r="Y33" s="580"/>
      <c r="Z33" s="580"/>
      <c r="AA33" s="580"/>
      <c r="AB33" s="580"/>
      <c r="AC33" s="580"/>
      <c r="AD33" s="75"/>
    </row>
    <row r="34" spans="1:30" ht="12.75" x14ac:dyDescent="0.2">
      <c r="A34" s="579"/>
      <c r="B34" s="548"/>
      <c r="C34" s="75"/>
      <c r="D34" s="75"/>
      <c r="E34" s="75"/>
      <c r="F34" s="75"/>
      <c r="G34" s="75"/>
      <c r="H34" s="75"/>
      <c r="I34" s="75"/>
      <c r="J34" s="75"/>
      <c r="K34" s="580"/>
      <c r="L34" s="580"/>
      <c r="M34" s="580"/>
      <c r="N34" s="580"/>
      <c r="O34" s="580"/>
      <c r="P34" s="580"/>
      <c r="Q34" s="580"/>
      <c r="R34" s="580"/>
      <c r="S34" s="580"/>
      <c r="T34" s="580"/>
      <c r="U34" s="580"/>
      <c r="V34" s="580"/>
      <c r="W34" s="580"/>
      <c r="X34" s="580"/>
      <c r="Y34" s="580"/>
      <c r="Z34" s="580"/>
      <c r="AA34" s="580"/>
      <c r="AB34" s="580"/>
      <c r="AC34" s="580"/>
      <c r="AD34" s="75"/>
    </row>
    <row r="35" spans="1:30" ht="12.75" x14ac:dyDescent="0.2">
      <c r="A35" s="75"/>
      <c r="B35" s="549"/>
      <c r="C35" s="75"/>
      <c r="D35" s="75"/>
      <c r="E35" s="75"/>
      <c r="F35" s="75"/>
      <c r="G35" s="75"/>
      <c r="H35" s="75"/>
      <c r="I35" s="75"/>
      <c r="J35" s="75"/>
      <c r="K35" s="580"/>
      <c r="L35" s="580"/>
      <c r="M35" s="580"/>
      <c r="N35" s="580"/>
      <c r="O35" s="580"/>
      <c r="P35" s="580"/>
      <c r="Q35" s="580"/>
      <c r="R35" s="580"/>
      <c r="S35" s="580"/>
      <c r="T35" s="580"/>
      <c r="U35" s="580"/>
      <c r="V35" s="580"/>
      <c r="W35" s="580"/>
      <c r="X35" s="580"/>
      <c r="Y35" s="580"/>
      <c r="Z35" s="580"/>
      <c r="AA35" s="580"/>
      <c r="AB35" s="580"/>
      <c r="AC35" s="580"/>
      <c r="AD35" s="75"/>
    </row>
    <row r="36" spans="1:30" ht="12.75" x14ac:dyDescent="0.2">
      <c r="A36" s="75"/>
      <c r="B36" s="549"/>
      <c r="C36" s="75"/>
      <c r="D36" s="75"/>
      <c r="E36" s="75"/>
      <c r="F36" s="75"/>
      <c r="G36" s="75"/>
      <c r="H36" s="75"/>
      <c r="I36" s="75"/>
      <c r="J36" s="75"/>
      <c r="K36" s="580"/>
      <c r="L36" s="580"/>
      <c r="M36" s="580"/>
      <c r="N36" s="580"/>
      <c r="O36" s="580"/>
      <c r="P36" s="580"/>
      <c r="Q36" s="580"/>
      <c r="R36" s="580"/>
      <c r="S36" s="580"/>
      <c r="T36" s="580"/>
      <c r="U36" s="580"/>
      <c r="V36" s="580"/>
      <c r="W36" s="580"/>
      <c r="X36" s="580"/>
      <c r="Y36" s="580"/>
      <c r="Z36" s="580"/>
      <c r="AA36" s="580"/>
      <c r="AB36" s="580"/>
      <c r="AC36" s="580"/>
      <c r="AD36" s="75"/>
    </row>
    <row r="37" spans="1:30" ht="12.75" x14ac:dyDescent="0.2">
      <c r="A37" s="75"/>
      <c r="B37" s="549"/>
      <c r="C37" s="75"/>
      <c r="D37" s="75"/>
      <c r="E37" s="75"/>
      <c r="F37" s="75"/>
      <c r="G37" s="75"/>
      <c r="H37" s="75"/>
      <c r="I37" s="75"/>
      <c r="J37" s="75"/>
      <c r="K37" s="580"/>
      <c r="L37" s="580"/>
      <c r="M37" s="580"/>
      <c r="N37" s="580"/>
      <c r="O37" s="580"/>
      <c r="P37" s="580"/>
      <c r="Q37" s="580"/>
      <c r="R37" s="580"/>
      <c r="S37" s="580"/>
      <c r="T37" s="580"/>
      <c r="U37" s="580"/>
      <c r="V37" s="580"/>
      <c r="W37" s="580"/>
      <c r="X37" s="580"/>
      <c r="Y37" s="580"/>
      <c r="Z37" s="580"/>
      <c r="AA37" s="580"/>
      <c r="AB37" s="580"/>
      <c r="AC37" s="580"/>
      <c r="AD37" s="75"/>
    </row>
    <row r="38" spans="1:30" ht="15" customHeight="1" x14ac:dyDescent="0.2">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row>
  </sheetData>
  <sheetProtection password="CD9E" sheet="1" objects="1" scenarios="1" selectLockedCells="1"/>
  <mergeCells count="13">
    <mergeCell ref="AB11:AC11"/>
    <mergeCell ref="AB12:AC13"/>
    <mergeCell ref="B13:C13"/>
    <mergeCell ref="D13:E13"/>
    <mergeCell ref="G13:H13"/>
    <mergeCell ref="I13:J13"/>
    <mergeCell ref="K13:L13"/>
    <mergeCell ref="N13:O13"/>
    <mergeCell ref="P13:Q13"/>
    <mergeCell ref="R13:S13"/>
    <mergeCell ref="U13:V13"/>
    <mergeCell ref="W11:X11"/>
    <mergeCell ref="Y11:Z11"/>
  </mergeCells>
  <dataValidations count="1">
    <dataValidation type="list" allowBlank="1" showInputMessage="1" showErrorMessage="1" sqref="B34:B37">
      <formula1>ModelQuest</formula1>
    </dataValidation>
  </dataValidations>
  <hyperlinks>
    <hyperlink ref="A2" location="'Error colours'!A1" display="Explicatory notice'!A9"/>
    <hyperlink ref="A3" location="Cntry!A1" display="Go to country metadata"/>
    <hyperlink ref="A1" location="'List of tables'!A9" display="'List of tables'!A9"/>
  </hyperlinks>
  <pageMargins left="0.74803149606299213" right="0.74803149606299213" top="0.98425196850393704" bottom="0.98425196850393704" header="0.51181102362204722" footer="0.51181102362204722"/>
  <pageSetup paperSize="9" scale="59" orientation="landscape" r:id="rId1"/>
  <headerFooter alignWithMargins="0">
    <oddHeader>&amp;LCDH&amp;C &amp;F&amp;R&amp;A</oddHeader>
    <oddFooter>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CCFFCC"/>
    <pageSetUpPr fitToPage="1"/>
  </sheetPr>
  <dimension ref="A1:AD38"/>
  <sheetViews>
    <sheetView showGridLines="0" zoomScale="80" zoomScaleNormal="80" workbookViewId="0">
      <selection activeCell="G25" sqref="G25"/>
    </sheetView>
  </sheetViews>
  <sheetFormatPr baseColWidth="10" defaultColWidth="9.140625" defaultRowHeight="15" customHeight="1" x14ac:dyDescent="0.2"/>
  <cols>
    <col min="1" max="1" width="35.5703125" style="31" customWidth="1"/>
    <col min="2" max="2" width="12.7109375" style="31" customWidth="1"/>
    <col min="3" max="3" width="6.7109375" style="31" customWidth="1"/>
    <col min="4" max="4" width="12.7109375" style="31" customWidth="1"/>
    <col min="5" max="5" width="6.7109375" style="31" customWidth="1"/>
    <col min="6" max="7" width="12.7109375" style="31" customWidth="1"/>
    <col min="8" max="8" width="6.7109375" style="31" customWidth="1"/>
    <col min="9" max="9" width="12.7109375" style="31" customWidth="1"/>
    <col min="10" max="10" width="6.7109375" style="31" customWidth="1"/>
    <col min="11" max="11" width="12.7109375" style="31" customWidth="1"/>
    <col min="12" max="12" width="6.7109375" style="31" customWidth="1"/>
    <col min="13" max="14" width="12.7109375" style="31" customWidth="1"/>
    <col min="15" max="15" width="6.7109375" style="31" customWidth="1"/>
    <col min="16" max="16" width="12.7109375" style="31" customWidth="1"/>
    <col min="17" max="17" width="6.7109375" style="31" customWidth="1"/>
    <col min="18" max="18" width="12.7109375" style="31" customWidth="1"/>
    <col min="19" max="19" width="6.7109375" style="31" customWidth="1"/>
    <col min="20" max="21" width="12.7109375" style="31" customWidth="1"/>
    <col min="22" max="22" width="6.7109375" style="31" customWidth="1"/>
    <col min="23" max="23" width="12.7109375" style="31" customWidth="1"/>
    <col min="24" max="24" width="6.7109375" style="31" customWidth="1"/>
    <col min="25" max="25" width="12.7109375" style="31" customWidth="1"/>
    <col min="26" max="26" width="6.7109375" style="31" customWidth="1"/>
    <col min="27" max="28" width="12.7109375" style="31" customWidth="1"/>
    <col min="29" max="29" width="6.7109375" style="31" customWidth="1"/>
    <col min="30" max="16384" width="9.140625" style="31"/>
  </cols>
  <sheetData>
    <row r="1" spans="1:30" s="66" customFormat="1" ht="12" customHeight="1" x14ac:dyDescent="0.2">
      <c r="A1" s="26" t="s">
        <v>6</v>
      </c>
    </row>
    <row r="2" spans="1:30" s="66" customFormat="1" ht="12" customHeight="1" x14ac:dyDescent="0.2">
      <c r="A2" s="28" t="s">
        <v>10</v>
      </c>
    </row>
    <row r="3" spans="1:30" s="66" customFormat="1" ht="12" customHeight="1" x14ac:dyDescent="0.2">
      <c r="A3" s="28" t="s">
        <v>7</v>
      </c>
    </row>
    <row r="4" spans="1:30" ht="15" customHeight="1" x14ac:dyDescent="0.2">
      <c r="A4" s="73" t="s">
        <v>248</v>
      </c>
      <c r="B4" s="73"/>
      <c r="C4" s="73"/>
      <c r="D4" s="73"/>
      <c r="E4" s="73"/>
      <c r="F4" s="73"/>
      <c r="G4" s="73"/>
      <c r="H4" s="73"/>
      <c r="I4" s="73"/>
      <c r="J4" s="74"/>
      <c r="K4" s="74"/>
      <c r="L4" s="74"/>
      <c r="M4" s="74"/>
      <c r="N4" s="74"/>
      <c r="O4" s="74"/>
      <c r="P4" s="74"/>
      <c r="Q4" s="74"/>
      <c r="R4" s="75"/>
      <c r="S4" s="75"/>
      <c r="T4" s="75"/>
      <c r="U4" s="75"/>
      <c r="V4" s="75"/>
      <c r="W4" s="75"/>
      <c r="X4" s="75"/>
      <c r="Y4" s="75"/>
      <c r="Z4" s="75"/>
      <c r="AA4" s="75"/>
      <c r="AB4" s="75"/>
      <c r="AC4" s="75"/>
      <c r="AD4" s="75"/>
    </row>
    <row r="5" spans="1:30" s="131" customFormat="1" ht="15" customHeight="1" x14ac:dyDescent="0.2"/>
    <row r="6" spans="1:30" s="131" customFormat="1" ht="15" customHeight="1" x14ac:dyDescent="0.2">
      <c r="A6" s="206"/>
      <c r="B6" s="206"/>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row>
    <row r="7" spans="1:30" ht="15" customHeight="1" x14ac:dyDescent="0.25">
      <c r="A7" s="76" t="s">
        <v>814</v>
      </c>
      <c r="B7" s="75"/>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row>
    <row r="8" spans="1:30" ht="15" customHeight="1" x14ac:dyDescent="0.2">
      <c r="A8" s="77" t="s">
        <v>21</v>
      </c>
      <c r="B8" s="75"/>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row>
    <row r="9" spans="1:30" ht="15" customHeight="1" x14ac:dyDescent="0.2">
      <c r="A9" s="75"/>
      <c r="B9" s="207" t="s">
        <v>34</v>
      </c>
      <c r="C9" s="510">
        <v>2014</v>
      </c>
      <c r="D9" s="75"/>
      <c r="E9" s="75"/>
      <c r="F9" s="75"/>
      <c r="G9" s="75"/>
      <c r="H9" s="75"/>
      <c r="I9" s="75"/>
      <c r="J9" s="75"/>
      <c r="K9" s="75"/>
      <c r="L9" s="75"/>
      <c r="M9" s="75"/>
      <c r="N9" s="75"/>
      <c r="O9" s="75"/>
      <c r="P9" s="75"/>
      <c r="Q9" s="75"/>
      <c r="R9" s="75"/>
      <c r="S9" s="75"/>
      <c r="T9" s="75"/>
      <c r="U9" s="75"/>
      <c r="V9" s="75"/>
      <c r="W9" s="75"/>
      <c r="X9" s="75"/>
      <c r="Y9" s="75"/>
      <c r="Z9" s="75"/>
      <c r="AA9" s="75"/>
      <c r="AB9" s="75"/>
      <c r="AC9" s="75"/>
      <c r="AD9" s="75"/>
    </row>
    <row r="10" spans="1:30" ht="15" customHeight="1" x14ac:dyDescent="0.2">
      <c r="A10" s="227"/>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row>
    <row r="11" spans="1:30" ht="15" customHeight="1" x14ac:dyDescent="0.2">
      <c r="A11" s="228" t="s">
        <v>49</v>
      </c>
      <c r="B11" s="209" t="s">
        <v>249</v>
      </c>
      <c r="C11" s="210"/>
      <c r="D11" s="210"/>
      <c r="E11" s="210"/>
      <c r="F11" s="210"/>
      <c r="G11" s="210"/>
      <c r="H11" s="210"/>
      <c r="I11" s="210"/>
      <c r="J11" s="210"/>
      <c r="K11" s="210"/>
      <c r="L11" s="210"/>
      <c r="M11" s="210"/>
      <c r="N11" s="210"/>
      <c r="O11" s="210"/>
      <c r="P11" s="210"/>
      <c r="Q11" s="210"/>
      <c r="R11" s="210"/>
      <c r="S11" s="210"/>
      <c r="T11" s="210"/>
      <c r="U11" s="211"/>
      <c r="V11" s="209"/>
      <c r="W11" s="1750" t="s">
        <v>250</v>
      </c>
      <c r="X11" s="1751"/>
      <c r="Y11" s="1751" t="s">
        <v>251</v>
      </c>
      <c r="Z11" s="1751"/>
      <c r="AA11" s="229" t="s">
        <v>252</v>
      </c>
      <c r="AB11" s="1739" t="s">
        <v>42</v>
      </c>
      <c r="AC11" s="1740"/>
      <c r="AD11" s="75"/>
    </row>
    <row r="12" spans="1:30" ht="15" customHeight="1" x14ac:dyDescent="0.2">
      <c r="A12" s="230"/>
      <c r="B12" s="213" t="s">
        <v>254</v>
      </c>
      <c r="C12" s="214"/>
      <c r="D12" s="214"/>
      <c r="E12" s="214"/>
      <c r="F12" s="214"/>
      <c r="G12" s="211"/>
      <c r="H12" s="214"/>
      <c r="I12" s="209" t="s">
        <v>255</v>
      </c>
      <c r="J12" s="214"/>
      <c r="K12" s="214"/>
      <c r="L12" s="214"/>
      <c r="M12" s="214"/>
      <c r="N12" s="211"/>
      <c r="O12" s="214"/>
      <c r="P12" s="209" t="s">
        <v>256</v>
      </c>
      <c r="Q12" s="214"/>
      <c r="R12" s="214"/>
      <c r="S12" s="214"/>
      <c r="T12" s="214"/>
      <c r="U12" s="211"/>
      <c r="V12" s="209"/>
      <c r="W12" s="1244"/>
      <c r="X12" s="231"/>
      <c r="Y12" s="232"/>
      <c r="Z12" s="232"/>
      <c r="AA12" s="233" t="s">
        <v>257</v>
      </c>
      <c r="AB12" s="1741"/>
      <c r="AC12" s="1742"/>
      <c r="AD12" s="75"/>
    </row>
    <row r="13" spans="1:30" ht="42" customHeight="1" x14ac:dyDescent="0.2">
      <c r="A13" s="217" t="s">
        <v>273</v>
      </c>
      <c r="B13" s="1745" t="s">
        <v>733</v>
      </c>
      <c r="C13" s="1746"/>
      <c r="D13" s="1746" t="s">
        <v>734</v>
      </c>
      <c r="E13" s="1746"/>
      <c r="F13" s="234" t="s">
        <v>259</v>
      </c>
      <c r="G13" s="1747" t="s">
        <v>42</v>
      </c>
      <c r="H13" s="1746"/>
      <c r="I13" s="1745" t="s">
        <v>260</v>
      </c>
      <c r="J13" s="1746"/>
      <c r="K13" s="1746" t="s">
        <v>261</v>
      </c>
      <c r="L13" s="1746"/>
      <c r="M13" s="234" t="s">
        <v>262</v>
      </c>
      <c r="N13" s="1747" t="s">
        <v>42</v>
      </c>
      <c r="O13" s="1746"/>
      <c r="P13" s="1745" t="s">
        <v>263</v>
      </c>
      <c r="Q13" s="1746"/>
      <c r="R13" s="1746" t="s">
        <v>264</v>
      </c>
      <c r="S13" s="1746"/>
      <c r="T13" s="234" t="s">
        <v>265</v>
      </c>
      <c r="U13" s="1748" t="s">
        <v>42</v>
      </c>
      <c r="V13" s="1749"/>
      <c r="W13" s="1245"/>
      <c r="X13" s="235"/>
      <c r="Y13" s="235"/>
      <c r="Z13" s="235"/>
      <c r="AA13" s="236" t="s">
        <v>266</v>
      </c>
      <c r="AB13" s="1743"/>
      <c r="AC13" s="1744"/>
      <c r="AD13" s="75"/>
    </row>
    <row r="14" spans="1:30" s="39" customFormat="1" ht="18" customHeight="1" x14ac:dyDescent="0.2">
      <c r="A14" s="670" t="s">
        <v>840</v>
      </c>
      <c r="B14" s="601">
        <f>SUM(B15:B16)+B20</f>
        <v>9059.9052069396294</v>
      </c>
      <c r="C14" s="602"/>
      <c r="D14" s="602">
        <f>SUM(D15:D16)</f>
        <v>933.7903871817</v>
      </c>
      <c r="E14" s="602"/>
      <c r="F14" s="601"/>
      <c r="G14" s="1165">
        <f>SUM(D14,B14)</f>
        <v>9993.6955941213291</v>
      </c>
      <c r="H14" s="1181"/>
      <c r="I14" s="601">
        <f>SUM(I15:I16)+I20</f>
        <v>6714.7369826430595</v>
      </c>
      <c r="J14" s="602"/>
      <c r="K14" s="602">
        <f>SUM(K15:K16)</f>
        <v>3278.9586114772001</v>
      </c>
      <c r="L14" s="602"/>
      <c r="M14" s="601"/>
      <c r="N14" s="1165">
        <f>SUM(I14,K14)</f>
        <v>9993.6955941202596</v>
      </c>
      <c r="O14" s="1181"/>
      <c r="P14" s="601">
        <f>SUM(P15:P16)+P20</f>
        <v>8824.6755674266296</v>
      </c>
      <c r="Q14" s="602"/>
      <c r="R14" s="602">
        <f>SUM(R15:R16)</f>
        <v>1169.0200267042999</v>
      </c>
      <c r="S14" s="602"/>
      <c r="T14" s="601"/>
      <c r="U14" s="1165">
        <f>SUM(P14,R14)</f>
        <v>9993.6955941309297</v>
      </c>
      <c r="V14" s="1181"/>
      <c r="W14" s="1214">
        <f>SUM(W15:W16)+W19</f>
        <v>377.79305740952998</v>
      </c>
      <c r="X14" s="1198"/>
      <c r="Y14" s="1227">
        <f>SUM(Y15:Y16)+Y19</f>
        <v>78.409879839800013</v>
      </c>
      <c r="Z14" s="1198"/>
      <c r="AA14" s="601">
        <f>SUM(AA15:AA16)</f>
        <v>142.56341789052999</v>
      </c>
      <c r="AB14" s="1165">
        <f>SUM(AB15:AB16)</f>
        <v>598.76635513986002</v>
      </c>
      <c r="AC14" s="1181"/>
      <c r="AD14" s="75"/>
    </row>
    <row r="15" spans="1:30" ht="23.25" customHeight="1" x14ac:dyDescent="0.2">
      <c r="A15" s="249" t="str">
        <f>"
   Citizens of "&amp;Cntry!$D$8</f>
        <v xml:space="preserve">
   Citizens of Chile </v>
      </c>
      <c r="B15" s="514">
        <v>8225.9092122799993</v>
      </c>
      <c r="C15" s="515"/>
      <c r="D15" s="515">
        <v>883.89319092000005</v>
      </c>
      <c r="E15" s="515"/>
      <c r="F15" s="514"/>
      <c r="G15" s="1167">
        <f>SUM(B15,D15)</f>
        <v>9109.8024031999994</v>
      </c>
      <c r="H15" s="1183"/>
      <c r="I15" s="514">
        <v>6080.3297730300001</v>
      </c>
      <c r="J15" s="515"/>
      <c r="K15" s="515">
        <f>2637.42323097+392.049399199</f>
        <v>3029.4726301690002</v>
      </c>
      <c r="L15" s="515"/>
      <c r="M15" s="514"/>
      <c r="N15" s="1167">
        <f>SUM(I15,K15)</f>
        <v>9109.8024031990008</v>
      </c>
      <c r="O15" s="1183"/>
      <c r="P15" s="514">
        <v>8026.3204272399998</v>
      </c>
      <c r="Q15" s="515"/>
      <c r="R15" s="515">
        <v>1083.4819759699999</v>
      </c>
      <c r="S15" s="515"/>
      <c r="T15" s="514"/>
      <c r="U15" s="1167">
        <f>SUM(P15,R15)</f>
        <v>9109.8024032100002</v>
      </c>
      <c r="V15" s="1183"/>
      <c r="W15" s="1215">
        <v>370.66488651499998</v>
      </c>
      <c r="X15" s="1199"/>
      <c r="Y15" s="1229">
        <v>64.153538050700007</v>
      </c>
      <c r="Z15" s="1199"/>
      <c r="AA15" s="514">
        <v>135.43524699599999</v>
      </c>
      <c r="AB15" s="1167">
        <f>SUM(AA15,Y15,W15)</f>
        <v>570.2536715617</v>
      </c>
      <c r="AC15" s="1183"/>
      <c r="AD15" s="75"/>
    </row>
    <row r="16" spans="1:30" ht="15" customHeight="1" x14ac:dyDescent="0.2">
      <c r="A16" s="238" t="s">
        <v>276</v>
      </c>
      <c r="B16" s="581">
        <f>SUM(B17:B18)</f>
        <v>826.86782376509996</v>
      </c>
      <c r="C16" s="582"/>
      <c r="D16" s="582">
        <f>SUM(D17:D18)</f>
        <v>49.897196261700003</v>
      </c>
      <c r="E16" s="582"/>
      <c r="F16" s="581"/>
      <c r="G16" s="1168">
        <f>SUM(G17:G18)</f>
        <v>876.7650200267999</v>
      </c>
      <c r="H16" s="1184"/>
      <c r="I16" s="581">
        <f>SUM(I17:I18)</f>
        <v>627.27903871852993</v>
      </c>
      <c r="J16" s="582"/>
      <c r="K16" s="582">
        <f>SUM(K17:K18)</f>
        <v>249.4859813082</v>
      </c>
      <c r="L16" s="582"/>
      <c r="M16" s="581"/>
      <c r="N16" s="1168">
        <f t="shared" ref="N16:N20" si="0">SUM(I16,K16)</f>
        <v>876.76502002672987</v>
      </c>
      <c r="O16" s="1184"/>
      <c r="P16" s="581">
        <f>SUM(P17:P18)</f>
        <v>791.22696929209997</v>
      </c>
      <c r="Q16" s="582"/>
      <c r="R16" s="582">
        <f>SUM(R17:R18)</f>
        <v>85.5380507343</v>
      </c>
      <c r="S16" s="582"/>
      <c r="T16" s="581"/>
      <c r="U16" s="1168">
        <f>SUM(P16,R16)</f>
        <v>876.76502002639995</v>
      </c>
      <c r="V16" s="1184"/>
      <c r="W16" s="1216">
        <f>SUM(W17:W18)</f>
        <v>7.1281708945300002</v>
      </c>
      <c r="X16" s="1200"/>
      <c r="Y16" s="1230">
        <f>SUM(Y17:Y18)</f>
        <v>14.2563417891</v>
      </c>
      <c r="Z16" s="1200"/>
      <c r="AA16" s="581">
        <f>SUM(AA17:AA18)</f>
        <v>7.1281708945300002</v>
      </c>
      <c r="AB16" s="1168">
        <f>SUM(W16,AA16,Y16)</f>
        <v>28.512683578160001</v>
      </c>
      <c r="AC16" s="1184"/>
      <c r="AD16" s="75"/>
    </row>
    <row r="17" spans="1:30" ht="15" customHeight="1" x14ac:dyDescent="0.2">
      <c r="A17" s="239" t="s">
        <v>43</v>
      </c>
      <c r="B17" s="581">
        <v>798.35514018699996</v>
      </c>
      <c r="C17" s="582"/>
      <c r="D17" s="582">
        <v>49.897196261700003</v>
      </c>
      <c r="E17" s="582"/>
      <c r="F17" s="581"/>
      <c r="G17" s="1168">
        <f>SUM(B17,D17)</f>
        <v>848.25233644869991</v>
      </c>
      <c r="H17" s="1184"/>
      <c r="I17" s="581">
        <v>620.15086782399999</v>
      </c>
      <c r="J17" s="582"/>
      <c r="K17" s="582">
        <f>192.460614152+ 35.6408544726</f>
        <v>228.10146862459999</v>
      </c>
      <c r="L17" s="582"/>
      <c r="M17" s="581"/>
      <c r="N17" s="1168">
        <f t="shared" si="0"/>
        <v>848.25233644859998</v>
      </c>
      <c r="O17" s="1184"/>
      <c r="P17" s="581">
        <v>762.71428571399997</v>
      </c>
      <c r="Q17" s="582"/>
      <c r="R17" s="582">
        <v>85.5380507343</v>
      </c>
      <c r="S17" s="582"/>
      <c r="T17" s="581"/>
      <c r="U17" s="1168">
        <f t="shared" ref="U17:U20" si="1">SUM(P17,R17)</f>
        <v>848.25233644829996</v>
      </c>
      <c r="V17" s="1184"/>
      <c r="W17" s="1216">
        <v>7.1281708945300002</v>
      </c>
      <c r="X17" s="1200"/>
      <c r="Y17" s="1230">
        <v>14.2563417891</v>
      </c>
      <c r="Z17" s="1200"/>
      <c r="AA17" s="581">
        <v>7.1281708945300002</v>
      </c>
      <c r="AB17" s="1168">
        <f t="shared" ref="AB17:AB18" si="2">SUM(W17,AA17,Y17)</f>
        <v>28.512683578160001</v>
      </c>
      <c r="AC17" s="1184"/>
      <c r="AD17" s="75"/>
    </row>
    <row r="18" spans="1:30" ht="15" customHeight="1" x14ac:dyDescent="0.2">
      <c r="A18" s="239" t="s">
        <v>44</v>
      </c>
      <c r="B18" s="581">
        <v>28.512683578099999</v>
      </c>
      <c r="C18" s="582"/>
      <c r="D18" s="582">
        <v>0</v>
      </c>
      <c r="E18" s="582"/>
      <c r="F18" s="581"/>
      <c r="G18" s="1168">
        <f>SUM(B18,D18)</f>
        <v>28.512683578099999</v>
      </c>
      <c r="H18" s="1184"/>
      <c r="I18" s="581">
        <v>7.1281708945300002</v>
      </c>
      <c r="J18" s="582"/>
      <c r="K18" s="582">
        <v>21.384512683600001</v>
      </c>
      <c r="L18" s="582"/>
      <c r="M18" s="581"/>
      <c r="N18" s="1168">
        <f t="shared" si="0"/>
        <v>28.512683578130002</v>
      </c>
      <c r="O18" s="1184"/>
      <c r="P18" s="581">
        <v>28.512683578099999</v>
      </c>
      <c r="Q18" s="582"/>
      <c r="R18" s="582">
        <v>0</v>
      </c>
      <c r="S18" s="582"/>
      <c r="T18" s="581"/>
      <c r="U18" s="1168">
        <f t="shared" si="1"/>
        <v>28.512683578099999</v>
      </c>
      <c r="V18" s="1184"/>
      <c r="W18" s="1216">
        <v>0</v>
      </c>
      <c r="X18" s="1200"/>
      <c r="Y18" s="1230">
        <v>0</v>
      </c>
      <c r="Z18" s="1200"/>
      <c r="AA18" s="581">
        <v>0</v>
      </c>
      <c r="AB18" s="1168">
        <f t="shared" si="2"/>
        <v>0</v>
      </c>
      <c r="AC18" s="1184"/>
      <c r="AD18" s="75"/>
    </row>
    <row r="19" spans="1:30" ht="15" customHeight="1" x14ac:dyDescent="0.2">
      <c r="A19" s="240" t="s">
        <v>45</v>
      </c>
      <c r="B19" s="581"/>
      <c r="C19" s="582"/>
      <c r="D19" s="582">
        <v>0</v>
      </c>
      <c r="E19" s="582"/>
      <c r="F19" s="581"/>
      <c r="G19" s="1168"/>
      <c r="H19" s="1184"/>
      <c r="I19" s="581"/>
      <c r="J19" s="582"/>
      <c r="K19" s="582"/>
      <c r="L19" s="582"/>
      <c r="M19" s="581"/>
      <c r="N19" s="1168">
        <f t="shared" si="0"/>
        <v>0</v>
      </c>
      <c r="O19" s="1184"/>
      <c r="P19" s="581"/>
      <c r="Q19" s="582"/>
      <c r="R19" s="582"/>
      <c r="S19" s="582"/>
      <c r="T19" s="581"/>
      <c r="U19" s="1168">
        <f t="shared" si="1"/>
        <v>0</v>
      </c>
      <c r="V19" s="1184"/>
      <c r="W19" s="1216"/>
      <c r="X19" s="1200"/>
      <c r="Y19" s="1230"/>
      <c r="Z19" s="1200"/>
      <c r="AA19" s="581"/>
      <c r="AB19" s="1168"/>
      <c r="AC19" s="1184"/>
      <c r="AD19" s="75"/>
    </row>
    <row r="20" spans="1:30" ht="15" customHeight="1" x14ac:dyDescent="0.2">
      <c r="A20" s="241" t="s">
        <v>277</v>
      </c>
      <c r="B20" s="1246">
        <v>7.1281708945300002</v>
      </c>
      <c r="C20" s="1247"/>
      <c r="D20" s="1247"/>
      <c r="E20" s="1247"/>
      <c r="F20" s="1248"/>
      <c r="G20" s="1249">
        <v>7</v>
      </c>
      <c r="H20" s="1250"/>
      <c r="I20" s="1248">
        <v>7.1281708945300002</v>
      </c>
      <c r="J20" s="1247"/>
      <c r="K20" s="1247"/>
      <c r="L20" s="1247"/>
      <c r="M20" s="1248"/>
      <c r="N20" s="1249">
        <f t="shared" si="0"/>
        <v>7.1281708945300002</v>
      </c>
      <c r="O20" s="1250"/>
      <c r="P20" s="1249">
        <v>7.1281708945300002</v>
      </c>
      <c r="Q20" s="1247"/>
      <c r="R20" s="1247"/>
      <c r="S20" s="1247"/>
      <c r="T20" s="1248"/>
      <c r="U20" s="1249">
        <f t="shared" si="1"/>
        <v>7.1281708945300002</v>
      </c>
      <c r="V20" s="1250"/>
      <c r="W20" s="1251"/>
      <c r="X20" s="1252"/>
      <c r="Y20" s="1253"/>
      <c r="Z20" s="1252"/>
      <c r="AA20" s="1248"/>
      <c r="AB20" s="1249"/>
      <c r="AC20" s="1250"/>
      <c r="AD20" s="75"/>
    </row>
    <row r="21" spans="1:30" ht="15" customHeight="1" x14ac:dyDescent="0.2">
      <c r="A21" s="75"/>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row>
    <row r="22" spans="1:30" ht="15" customHeight="1" x14ac:dyDescent="0.2">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row>
    <row r="23" spans="1:30" ht="15" customHeight="1" x14ac:dyDescent="0.2">
      <c r="A23" s="79" t="s">
        <v>32</v>
      </c>
      <c r="B23" s="56"/>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75"/>
    </row>
    <row r="24" spans="1:30" ht="15" customHeight="1" x14ac:dyDescent="0.2">
      <c r="A24" s="75"/>
      <c r="B24" s="58"/>
      <c r="C24" s="59"/>
      <c r="D24" s="59"/>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75"/>
    </row>
    <row r="25" spans="1:30" ht="15" customHeight="1" x14ac:dyDescent="0.2">
      <c r="A25" s="75"/>
      <c r="B25" s="58"/>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75"/>
    </row>
    <row r="26" spans="1:30" ht="15" customHeight="1" x14ac:dyDescent="0.2">
      <c r="A26" s="75"/>
      <c r="B26" s="58"/>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75"/>
    </row>
    <row r="27" spans="1:30" ht="15" customHeight="1" x14ac:dyDescent="0.2">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row>
    <row r="28" spans="1:30" ht="15" customHeight="1" x14ac:dyDescent="0.2">
      <c r="A28" s="79" t="s">
        <v>33</v>
      </c>
      <c r="B28" s="56"/>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75"/>
    </row>
    <row r="29" spans="1:30" ht="15" customHeight="1" x14ac:dyDescent="0.2">
      <c r="A29" s="79"/>
      <c r="B29" s="58"/>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75"/>
    </row>
    <row r="30" spans="1:30" ht="15" customHeight="1" x14ac:dyDescent="0.2">
      <c r="A30" s="75"/>
      <c r="B30" s="58"/>
      <c r="C30" s="59"/>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75"/>
    </row>
    <row r="31" spans="1:30" ht="15" customHeight="1" x14ac:dyDescent="0.2">
      <c r="A31" s="75"/>
      <c r="B31" s="58"/>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75"/>
    </row>
    <row r="32" spans="1:30" ht="15" customHeight="1" x14ac:dyDescent="0.2">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row>
    <row r="33" spans="1:30" ht="12.75" x14ac:dyDescent="0.2">
      <c r="A33" s="79" t="s">
        <v>670</v>
      </c>
      <c r="B33" s="75"/>
      <c r="C33" s="75"/>
      <c r="D33" s="75"/>
      <c r="E33" s="75"/>
      <c r="F33" s="75"/>
      <c r="G33" s="75"/>
      <c r="H33" s="75"/>
      <c r="I33" s="75"/>
      <c r="J33" s="75"/>
      <c r="K33" s="580"/>
      <c r="L33" s="580"/>
      <c r="M33" s="580"/>
      <c r="N33" s="580"/>
      <c r="O33" s="580"/>
      <c r="P33" s="580"/>
      <c r="Q33" s="580"/>
      <c r="R33" s="580"/>
      <c r="S33" s="580"/>
      <c r="T33" s="580"/>
      <c r="U33" s="580"/>
      <c r="V33" s="580"/>
      <c r="W33" s="580"/>
      <c r="X33" s="580"/>
      <c r="Y33" s="580"/>
      <c r="Z33" s="580"/>
      <c r="AA33" s="580"/>
      <c r="AB33" s="580"/>
      <c r="AC33" s="580"/>
      <c r="AD33" s="75"/>
    </row>
    <row r="34" spans="1:30" ht="12.75" x14ac:dyDescent="0.2">
      <c r="A34" s="579"/>
      <c r="B34" s="548"/>
      <c r="C34" s="75"/>
      <c r="D34" s="75"/>
      <c r="E34" s="75"/>
      <c r="F34" s="75"/>
      <c r="G34" s="75"/>
      <c r="H34" s="75"/>
      <c r="I34" s="75"/>
      <c r="J34" s="75"/>
      <c r="K34" s="580"/>
      <c r="L34" s="580"/>
      <c r="M34" s="580"/>
      <c r="N34" s="580"/>
      <c r="O34" s="580"/>
      <c r="P34" s="580"/>
      <c r="Q34" s="580"/>
      <c r="R34" s="580"/>
      <c r="S34" s="580"/>
      <c r="T34" s="580"/>
      <c r="U34" s="580"/>
      <c r="V34" s="580"/>
      <c r="W34" s="580"/>
      <c r="X34" s="580"/>
      <c r="Y34" s="580"/>
      <c r="Z34" s="580"/>
      <c r="AA34" s="580"/>
      <c r="AB34" s="580"/>
      <c r="AC34" s="580"/>
      <c r="AD34" s="75"/>
    </row>
    <row r="35" spans="1:30" ht="12.75" x14ac:dyDescent="0.2">
      <c r="A35" s="75"/>
      <c r="B35" s="549"/>
      <c r="C35" s="75"/>
      <c r="D35" s="75"/>
      <c r="E35" s="75"/>
      <c r="F35" s="75"/>
      <c r="G35" s="75"/>
      <c r="H35" s="75"/>
      <c r="I35" s="75"/>
      <c r="J35" s="75"/>
      <c r="K35" s="580"/>
      <c r="L35" s="580"/>
      <c r="M35" s="580"/>
      <c r="N35" s="580"/>
      <c r="O35" s="580"/>
      <c r="P35" s="580"/>
      <c r="Q35" s="580"/>
      <c r="R35" s="580"/>
      <c r="S35" s="580"/>
      <c r="T35" s="580"/>
      <c r="U35" s="580"/>
      <c r="V35" s="580"/>
      <c r="W35" s="580"/>
      <c r="X35" s="580"/>
      <c r="Y35" s="580"/>
      <c r="Z35" s="580"/>
      <c r="AA35" s="580"/>
      <c r="AB35" s="580"/>
      <c r="AC35" s="580"/>
      <c r="AD35" s="75"/>
    </row>
    <row r="36" spans="1:30" ht="12.75" x14ac:dyDescent="0.2">
      <c r="A36" s="75"/>
      <c r="B36" s="549"/>
      <c r="C36" s="75"/>
      <c r="D36" s="75"/>
      <c r="E36" s="75"/>
      <c r="F36" s="75"/>
      <c r="G36" s="75"/>
      <c r="H36" s="75"/>
      <c r="I36" s="75"/>
      <c r="J36" s="75"/>
      <c r="K36" s="580"/>
      <c r="L36" s="580"/>
      <c r="M36" s="580"/>
      <c r="N36" s="580"/>
      <c r="O36" s="580"/>
      <c r="P36" s="580"/>
      <c r="Q36" s="580"/>
      <c r="R36" s="580"/>
      <c r="S36" s="580"/>
      <c r="T36" s="580"/>
      <c r="U36" s="580"/>
      <c r="V36" s="580"/>
      <c r="W36" s="580"/>
      <c r="X36" s="580"/>
      <c r="Y36" s="580"/>
      <c r="Z36" s="580"/>
      <c r="AA36" s="580"/>
      <c r="AB36" s="580"/>
      <c r="AC36" s="580"/>
      <c r="AD36" s="75"/>
    </row>
    <row r="37" spans="1:30" ht="12.75" x14ac:dyDescent="0.2">
      <c r="A37" s="75"/>
      <c r="B37" s="549"/>
      <c r="C37" s="75"/>
      <c r="D37" s="75"/>
      <c r="E37" s="75"/>
      <c r="F37" s="75"/>
      <c r="G37" s="75"/>
      <c r="H37" s="75"/>
      <c r="I37" s="75"/>
      <c r="J37" s="75"/>
      <c r="K37" s="580"/>
      <c r="L37" s="580"/>
      <c r="M37" s="580"/>
      <c r="N37" s="580"/>
      <c r="O37" s="580"/>
      <c r="P37" s="580"/>
      <c r="Q37" s="580"/>
      <c r="R37" s="580"/>
      <c r="S37" s="580"/>
      <c r="T37" s="580"/>
      <c r="U37" s="580"/>
      <c r="V37" s="580"/>
      <c r="W37" s="580"/>
      <c r="X37" s="580"/>
      <c r="Y37" s="580"/>
      <c r="Z37" s="580"/>
      <c r="AA37" s="580"/>
      <c r="AB37" s="580"/>
      <c r="AC37" s="580"/>
      <c r="AD37" s="75"/>
    </row>
    <row r="38" spans="1:30" ht="15" customHeight="1" x14ac:dyDescent="0.2">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row>
  </sheetData>
  <sheetProtection password="CD9E" sheet="1" objects="1" scenarios="1" selectLockedCells="1"/>
  <mergeCells count="13">
    <mergeCell ref="AB11:AC11"/>
    <mergeCell ref="AB12:AC13"/>
    <mergeCell ref="B13:C13"/>
    <mergeCell ref="D13:E13"/>
    <mergeCell ref="G13:H13"/>
    <mergeCell ref="I13:J13"/>
    <mergeCell ref="K13:L13"/>
    <mergeCell ref="N13:O13"/>
    <mergeCell ref="P13:Q13"/>
    <mergeCell ref="R13:S13"/>
    <mergeCell ref="U13:V13"/>
    <mergeCell ref="W11:X11"/>
    <mergeCell ref="Y11:Z11"/>
  </mergeCells>
  <dataValidations count="1">
    <dataValidation type="list" allowBlank="1" showInputMessage="1" showErrorMessage="1" sqref="B34:B37">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4803149606299213" right="0.74803149606299213" top="0.98425196850393704" bottom="0.98425196850393704" header="0.51181102362204722" footer="0.51181102362204722"/>
  <pageSetup paperSize="9" scale="56" orientation="landscape" r:id="rId1"/>
  <headerFooter alignWithMargins="0">
    <oddHeader>&amp;LCDH&amp;C &amp;F&amp;R&amp;A</oddHeader>
    <oddFooter>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42"/>
    <pageSetUpPr fitToPage="1"/>
  </sheetPr>
  <dimension ref="A1:AD41"/>
  <sheetViews>
    <sheetView showGridLines="0" zoomScale="80" zoomScaleNormal="80" workbookViewId="0">
      <selection activeCell="G14" sqref="G14"/>
    </sheetView>
  </sheetViews>
  <sheetFormatPr baseColWidth="10" defaultColWidth="9.140625" defaultRowHeight="15" customHeight="1" x14ac:dyDescent="0.2"/>
  <cols>
    <col min="1" max="1" width="57.5703125" style="31" customWidth="1"/>
    <col min="2" max="2" width="12.7109375" style="31" customWidth="1"/>
    <col min="3" max="3" width="6.7109375" style="31" customWidth="1"/>
    <col min="4" max="4" width="12.7109375" style="31" customWidth="1"/>
    <col min="5" max="5" width="6.7109375" style="31" customWidth="1"/>
    <col min="6" max="7" width="12.7109375" style="31" customWidth="1"/>
    <col min="8" max="8" width="6.7109375" style="31" customWidth="1"/>
    <col min="9" max="9" width="12.7109375" style="31" customWidth="1"/>
    <col min="10" max="10" width="6.7109375" style="31" customWidth="1"/>
    <col min="11" max="11" width="12.7109375" style="31" customWidth="1"/>
    <col min="12" max="12" width="6.7109375" style="31" customWidth="1"/>
    <col min="13" max="14" width="12.7109375" style="31" customWidth="1"/>
    <col min="15" max="15" width="6.7109375" style="31" customWidth="1"/>
    <col min="16" max="16" width="12.7109375" style="31" customWidth="1"/>
    <col min="17" max="17" width="6.7109375" style="31" customWidth="1"/>
    <col min="18" max="18" width="12.7109375" style="31" customWidth="1"/>
    <col min="19" max="19" width="6.7109375" style="31" customWidth="1"/>
    <col min="20" max="21" width="12.7109375" style="31" customWidth="1"/>
    <col min="22" max="22" width="6.7109375" style="31" customWidth="1"/>
    <col min="23" max="23" width="12.7109375" style="31" customWidth="1"/>
    <col min="24" max="24" width="6.7109375" style="31" customWidth="1"/>
    <col min="25" max="25" width="12.7109375" style="31" customWidth="1"/>
    <col min="26" max="26" width="6.7109375" style="31" customWidth="1"/>
    <col min="27" max="28" width="12.7109375" style="31" customWidth="1"/>
    <col min="29" max="29" width="6.7109375" style="31" customWidth="1"/>
    <col min="30" max="16384" width="9.140625" style="31"/>
  </cols>
  <sheetData>
    <row r="1" spans="1:30" s="66" customFormat="1" ht="12" customHeight="1" x14ac:dyDescent="0.2">
      <c r="A1" s="26" t="s">
        <v>6</v>
      </c>
    </row>
    <row r="2" spans="1:30" s="66" customFormat="1" ht="12" customHeight="1" x14ac:dyDescent="0.2">
      <c r="A2" s="28" t="s">
        <v>10</v>
      </c>
    </row>
    <row r="3" spans="1:30" s="66" customFormat="1" ht="12" customHeight="1" x14ac:dyDescent="0.2">
      <c r="A3" s="28" t="s">
        <v>7</v>
      </c>
    </row>
    <row r="4" spans="1:30" ht="15" customHeight="1" x14ac:dyDescent="0.2">
      <c r="A4" s="73" t="s">
        <v>248</v>
      </c>
      <c r="B4" s="73"/>
      <c r="C4" s="73"/>
      <c r="D4" s="73"/>
      <c r="E4" s="73"/>
      <c r="F4" s="73"/>
      <c r="G4" s="73"/>
      <c r="H4" s="73"/>
      <c r="I4" s="73"/>
      <c r="J4" s="74"/>
      <c r="K4" s="74"/>
      <c r="L4" s="74"/>
      <c r="M4" s="74"/>
      <c r="N4" s="74"/>
      <c r="O4" s="74"/>
      <c r="P4" s="74"/>
      <c r="Q4" s="74"/>
      <c r="R4" s="75"/>
      <c r="S4" s="75"/>
      <c r="T4" s="75"/>
      <c r="U4" s="75"/>
      <c r="V4" s="75"/>
      <c r="W4" s="75"/>
      <c r="X4" s="75"/>
      <c r="Y4" s="75"/>
      <c r="Z4" s="75"/>
      <c r="AA4" s="75"/>
      <c r="AB4" s="75"/>
      <c r="AC4" s="75"/>
      <c r="AD4" s="75"/>
    </row>
    <row r="5" spans="1:30" s="131" customFormat="1" ht="15" customHeight="1" x14ac:dyDescent="0.2"/>
    <row r="6" spans="1:30" s="131" customFormat="1" ht="15" customHeight="1" x14ac:dyDescent="0.2">
      <c r="A6" s="206"/>
      <c r="B6" s="206"/>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row>
    <row r="7" spans="1:30" ht="15" customHeight="1" x14ac:dyDescent="0.25">
      <c r="A7" s="76" t="s">
        <v>842</v>
      </c>
      <c r="B7" s="75"/>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row>
    <row r="8" spans="1:30" s="226" customFormat="1" ht="15" customHeight="1" x14ac:dyDescent="0.2">
      <c r="A8" s="80" t="s">
        <v>21</v>
      </c>
      <c r="B8" s="225"/>
      <c r="C8" s="225"/>
      <c r="D8" s="225"/>
      <c r="E8" s="225"/>
      <c r="F8" s="225"/>
      <c r="G8" s="225"/>
      <c r="H8" s="225"/>
      <c r="I8" s="225"/>
      <c r="J8" s="225"/>
      <c r="K8" s="225"/>
      <c r="L8" s="225"/>
      <c r="M8" s="225"/>
      <c r="N8" s="225"/>
      <c r="O8" s="225"/>
      <c r="P8" s="225"/>
      <c r="Q8" s="225"/>
      <c r="R8" s="225"/>
      <c r="S8" s="225"/>
      <c r="T8" s="225"/>
      <c r="U8" s="225"/>
      <c r="V8" s="225"/>
      <c r="W8" s="225"/>
      <c r="X8" s="225"/>
      <c r="Y8" s="225"/>
      <c r="Z8" s="225"/>
      <c r="AA8" s="225"/>
      <c r="AB8" s="225"/>
      <c r="AC8" s="225"/>
      <c r="AD8" s="225"/>
    </row>
    <row r="9" spans="1:30" ht="15" customHeight="1" x14ac:dyDescent="0.2">
      <c r="A9" s="75"/>
      <c r="B9" s="207" t="s">
        <v>34</v>
      </c>
      <c r="C9" s="510">
        <v>2014</v>
      </c>
      <c r="D9" s="75"/>
      <c r="E9" s="75"/>
      <c r="F9" s="75"/>
      <c r="G9" s="75"/>
      <c r="H9" s="75"/>
      <c r="I9" s="75"/>
      <c r="J9" s="75"/>
      <c r="K9" s="75"/>
      <c r="L9" s="75"/>
      <c r="M9" s="75"/>
      <c r="N9" s="75"/>
      <c r="O9" s="75"/>
      <c r="P9" s="75"/>
      <c r="Q9" s="75"/>
      <c r="R9" s="75"/>
      <c r="S9" s="75"/>
      <c r="T9" s="75"/>
      <c r="U9" s="75"/>
      <c r="V9" s="75"/>
      <c r="W9" s="75"/>
      <c r="X9" s="75"/>
      <c r="Y9" s="75"/>
      <c r="Z9" s="75"/>
      <c r="AA9" s="75"/>
      <c r="AB9" s="75"/>
      <c r="AC9" s="75"/>
      <c r="AD9" s="75"/>
    </row>
    <row r="10" spans="1:30" ht="15" customHeight="1" x14ac:dyDescent="0.2">
      <c r="A10" s="227"/>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row>
    <row r="11" spans="1:30" ht="15" customHeight="1" x14ac:dyDescent="0.2">
      <c r="A11" s="228" t="s">
        <v>49</v>
      </c>
      <c r="B11" s="209" t="s">
        <v>249</v>
      </c>
      <c r="C11" s="210"/>
      <c r="D11" s="210"/>
      <c r="E11" s="210"/>
      <c r="F11" s="210"/>
      <c r="G11" s="210"/>
      <c r="H11" s="210"/>
      <c r="I11" s="210"/>
      <c r="J11" s="210"/>
      <c r="K11" s="210"/>
      <c r="L11" s="210"/>
      <c r="M11" s="210"/>
      <c r="N11" s="210"/>
      <c r="O11" s="210"/>
      <c r="P11" s="210"/>
      <c r="Q11" s="210"/>
      <c r="R11" s="210"/>
      <c r="S11" s="210"/>
      <c r="T11" s="210"/>
      <c r="U11" s="211"/>
      <c r="V11" s="209"/>
      <c r="W11" s="1750" t="s">
        <v>250</v>
      </c>
      <c r="X11" s="1751"/>
      <c r="Y11" s="1751" t="s">
        <v>251</v>
      </c>
      <c r="Z11" s="1751"/>
      <c r="AA11" s="229" t="s">
        <v>252</v>
      </c>
      <c r="AB11" s="1739" t="s">
        <v>42</v>
      </c>
      <c r="AC11" s="1740"/>
      <c r="AD11" s="75"/>
    </row>
    <row r="12" spans="1:30" ht="15" customHeight="1" x14ac:dyDescent="0.2">
      <c r="A12" s="230"/>
      <c r="B12" s="213" t="s">
        <v>254</v>
      </c>
      <c r="C12" s="214"/>
      <c r="D12" s="214"/>
      <c r="E12" s="214"/>
      <c r="F12" s="214"/>
      <c r="G12" s="211"/>
      <c r="H12" s="214"/>
      <c r="I12" s="209" t="s">
        <v>255</v>
      </c>
      <c r="J12" s="214"/>
      <c r="K12" s="214"/>
      <c r="L12" s="214"/>
      <c r="M12" s="214"/>
      <c r="N12" s="211"/>
      <c r="O12" s="214"/>
      <c r="P12" s="209" t="s">
        <v>256</v>
      </c>
      <c r="Q12" s="214"/>
      <c r="R12" s="214"/>
      <c r="S12" s="214"/>
      <c r="T12" s="214"/>
      <c r="U12" s="211"/>
      <c r="V12" s="209"/>
      <c r="W12" s="1244"/>
      <c r="X12" s="231"/>
      <c r="Y12" s="232"/>
      <c r="Z12" s="232"/>
      <c r="AA12" s="233" t="s">
        <v>257</v>
      </c>
      <c r="AB12" s="1741"/>
      <c r="AC12" s="1742"/>
      <c r="AD12" s="75"/>
    </row>
    <row r="13" spans="1:30" ht="40.5" customHeight="1" x14ac:dyDescent="0.2">
      <c r="A13" s="217" t="s">
        <v>278</v>
      </c>
      <c r="B13" s="1745" t="s">
        <v>733</v>
      </c>
      <c r="C13" s="1746"/>
      <c r="D13" s="1746" t="s">
        <v>734</v>
      </c>
      <c r="E13" s="1746"/>
      <c r="F13" s="234" t="s">
        <v>259</v>
      </c>
      <c r="G13" s="1747" t="s">
        <v>42</v>
      </c>
      <c r="H13" s="1746"/>
      <c r="I13" s="1745" t="s">
        <v>260</v>
      </c>
      <c r="J13" s="1746"/>
      <c r="K13" s="1746" t="s">
        <v>261</v>
      </c>
      <c r="L13" s="1746"/>
      <c r="M13" s="234" t="s">
        <v>262</v>
      </c>
      <c r="N13" s="1747" t="s">
        <v>42</v>
      </c>
      <c r="O13" s="1746"/>
      <c r="P13" s="1745" t="s">
        <v>263</v>
      </c>
      <c r="Q13" s="1746"/>
      <c r="R13" s="1746" t="s">
        <v>264</v>
      </c>
      <c r="S13" s="1746"/>
      <c r="T13" s="234" t="s">
        <v>265</v>
      </c>
      <c r="U13" s="1748" t="s">
        <v>42</v>
      </c>
      <c r="V13" s="1749"/>
      <c r="W13" s="1245"/>
      <c r="X13" s="235"/>
      <c r="Y13" s="235"/>
      <c r="Z13" s="235"/>
      <c r="AA13" s="236" t="s">
        <v>266</v>
      </c>
      <c r="AB13" s="1743"/>
      <c r="AC13" s="1744"/>
      <c r="AD13" s="75"/>
    </row>
    <row r="14" spans="1:30" s="39" customFormat="1" ht="18" customHeight="1" x14ac:dyDescent="0.2">
      <c r="A14" s="245" t="s">
        <v>684</v>
      </c>
      <c r="B14" s="601">
        <f>SUM(B15:B21)</f>
        <v>1382.8651535411298</v>
      </c>
      <c r="C14" s="602"/>
      <c r="D14" s="602">
        <f>SUM(D15:D21)</f>
        <v>384.92122830486005</v>
      </c>
      <c r="E14" s="602"/>
      <c r="F14" s="601"/>
      <c r="G14" s="1165">
        <f>SUM(D14,B14)</f>
        <v>1767.7863818459898</v>
      </c>
      <c r="H14" s="1181"/>
      <c r="I14" s="601">
        <f>SUM(I15:I21)</f>
        <v>691.43257676883002</v>
      </c>
      <c r="J14" s="602"/>
      <c r="K14" s="602">
        <f>SUM(K15:K21)</f>
        <v>1076.3538050741899</v>
      </c>
      <c r="L14" s="602"/>
      <c r="M14" s="601"/>
      <c r="N14" s="1165">
        <f>SUM(I14,K14)</f>
        <v>1767.7863818430201</v>
      </c>
      <c r="O14" s="1181"/>
      <c r="P14" s="601">
        <f>SUM(P15:P21)</f>
        <v>1411.3778371202</v>
      </c>
      <c r="Q14" s="602"/>
      <c r="R14" s="602">
        <f>SUM(R15:R21)</f>
        <v>356.40854472686004</v>
      </c>
      <c r="S14" s="602"/>
      <c r="T14" s="601"/>
      <c r="U14" s="1165">
        <f>SUM(R14,P14)</f>
        <v>1767.7863818470601</v>
      </c>
      <c r="V14" s="1181"/>
      <c r="W14" s="1214">
        <f>SUM(W15:W22)</f>
        <v>206.71695594159002</v>
      </c>
      <c r="X14" s="1198"/>
      <c r="Y14" s="1227">
        <f>SUM(Y15:Y22)</f>
        <v>35.640854472599997</v>
      </c>
      <c r="Z14" s="1198"/>
      <c r="AA14" s="601">
        <f>SUM(AA15:AA22)</f>
        <v>64.153538050700007</v>
      </c>
      <c r="AB14" s="1165">
        <f>SUM(W14,Y14,AA14)</f>
        <v>306.51134846489003</v>
      </c>
      <c r="AC14" s="1181"/>
      <c r="AD14" s="75"/>
    </row>
    <row r="15" spans="1:30" ht="15" customHeight="1" x14ac:dyDescent="0.2">
      <c r="A15" s="612" t="s">
        <v>943</v>
      </c>
      <c r="B15" s="514">
        <v>1097.73831776</v>
      </c>
      <c r="C15" s="515"/>
      <c r="D15" s="515">
        <v>306.51134846500003</v>
      </c>
      <c r="E15" s="515"/>
      <c r="F15" s="514"/>
      <c r="G15" s="1167">
        <f t="shared" ref="G15:G21" si="0">SUM(D15,B15)</f>
        <v>1404.2496662250001</v>
      </c>
      <c r="H15" s="1183"/>
      <c r="I15" s="514">
        <v>477.58744993300002</v>
      </c>
      <c r="J15" s="515"/>
      <c r="K15" s="515">
        <f>727.073431242+199.588785047</f>
        <v>926.66221628899996</v>
      </c>
      <c r="L15" s="515"/>
      <c r="M15" s="514"/>
      <c r="N15" s="1167">
        <f t="shared" ref="N15:N21" si="1">SUM(I15,K15)</f>
        <v>1404.2496662220001</v>
      </c>
      <c r="O15" s="1183"/>
      <c r="P15" s="514">
        <v>1111.9946595500001</v>
      </c>
      <c r="Q15" s="515"/>
      <c r="R15" s="515">
        <v>292.25500667599999</v>
      </c>
      <c r="S15" s="515"/>
      <c r="T15" s="514"/>
      <c r="U15" s="1167">
        <f t="shared" ref="U15:U21" si="2">SUM(R15,P15)</f>
        <v>1404.249666226</v>
      </c>
      <c r="V15" s="1183"/>
      <c r="W15" s="1215">
        <v>185.33244325800001</v>
      </c>
      <c r="X15" s="1199"/>
      <c r="Y15" s="1229">
        <v>35.640854472599997</v>
      </c>
      <c r="Z15" s="1199"/>
      <c r="AA15" s="514">
        <v>64.153538050700007</v>
      </c>
      <c r="AB15" s="1167">
        <f t="shared" ref="AB15:AB22" si="3">SUM(W15,Y15,AA15)</f>
        <v>285.12683578129997</v>
      </c>
      <c r="AC15" s="1183"/>
      <c r="AD15" s="75"/>
    </row>
    <row r="16" spans="1:30" ht="15" customHeight="1" x14ac:dyDescent="0.2">
      <c r="A16" s="612" t="s">
        <v>944</v>
      </c>
      <c r="B16" s="581">
        <v>99.794392523400006</v>
      </c>
      <c r="C16" s="582"/>
      <c r="D16" s="582">
        <v>35.640854472599997</v>
      </c>
      <c r="E16" s="582"/>
      <c r="F16" s="581"/>
      <c r="G16" s="1168">
        <f t="shared" si="0"/>
        <v>135.43524699599999</v>
      </c>
      <c r="H16" s="1184"/>
      <c r="I16" s="581">
        <v>71.281708945299997</v>
      </c>
      <c r="J16" s="582"/>
      <c r="K16" s="582">
        <v>64.153538050700007</v>
      </c>
      <c r="L16" s="582"/>
      <c r="M16" s="581"/>
      <c r="N16" s="1168">
        <f t="shared" si="1"/>
        <v>135.43524699599999</v>
      </c>
      <c r="O16" s="1184"/>
      <c r="P16" s="581">
        <v>121.178905207</v>
      </c>
      <c r="Q16" s="582"/>
      <c r="R16" s="582">
        <v>14.2563417891</v>
      </c>
      <c r="S16" s="582"/>
      <c r="T16" s="581"/>
      <c r="U16" s="1168">
        <f t="shared" si="2"/>
        <v>135.43524699610001</v>
      </c>
      <c r="V16" s="1184"/>
      <c r="W16" s="1216">
        <v>7.1281708945300002</v>
      </c>
      <c r="X16" s="1200"/>
      <c r="Y16" s="1230">
        <v>0</v>
      </c>
      <c r="Z16" s="1200"/>
      <c r="AA16" s="581">
        <v>0</v>
      </c>
      <c r="AB16" s="1168">
        <f t="shared" si="3"/>
        <v>7.1281708945300002</v>
      </c>
      <c r="AC16" s="1184"/>
      <c r="AD16" s="75"/>
    </row>
    <row r="17" spans="1:30" ht="15" customHeight="1" x14ac:dyDescent="0.2">
      <c r="A17" s="612" t="s">
        <v>245</v>
      </c>
      <c r="B17" s="581">
        <v>7.1281708945300002</v>
      </c>
      <c r="C17" s="582"/>
      <c r="D17" s="582">
        <v>14.2563417891</v>
      </c>
      <c r="E17" s="582"/>
      <c r="F17" s="581"/>
      <c r="G17" s="1168">
        <f t="shared" si="0"/>
        <v>21.38451268363</v>
      </c>
      <c r="H17" s="1184"/>
      <c r="I17" s="581">
        <v>7.1281708945300002</v>
      </c>
      <c r="J17" s="582"/>
      <c r="K17" s="582">
        <f>7.12817089453+7.12817089453</f>
        <v>14.25634178906</v>
      </c>
      <c r="L17" s="582"/>
      <c r="M17" s="581"/>
      <c r="N17" s="1168">
        <f t="shared" si="1"/>
        <v>21.38451268359</v>
      </c>
      <c r="O17" s="1184"/>
      <c r="P17" s="581">
        <v>21.384512683600001</v>
      </c>
      <c r="Q17" s="582"/>
      <c r="R17" s="582">
        <v>0</v>
      </c>
      <c r="S17" s="582"/>
      <c r="T17" s="581"/>
      <c r="U17" s="1168">
        <f t="shared" si="2"/>
        <v>21.384512683600001</v>
      </c>
      <c r="V17" s="1184"/>
      <c r="W17" s="1216">
        <v>0</v>
      </c>
      <c r="X17" s="1200"/>
      <c r="Y17" s="1230">
        <v>0</v>
      </c>
      <c r="Z17" s="1200"/>
      <c r="AA17" s="581">
        <v>0</v>
      </c>
      <c r="AB17" s="1168">
        <f t="shared" si="3"/>
        <v>0</v>
      </c>
      <c r="AC17" s="1184"/>
      <c r="AD17" s="75"/>
    </row>
    <row r="18" spans="1:30" ht="15" customHeight="1" x14ac:dyDescent="0.2">
      <c r="A18" s="612" t="s">
        <v>246</v>
      </c>
      <c r="B18" s="581">
        <v>42.769025367200001</v>
      </c>
      <c r="C18" s="582"/>
      <c r="D18" s="582">
        <v>0</v>
      </c>
      <c r="E18" s="582"/>
      <c r="F18" s="581"/>
      <c r="G18" s="1168">
        <f t="shared" si="0"/>
        <v>42.769025367200001</v>
      </c>
      <c r="H18" s="1184"/>
      <c r="I18" s="581">
        <v>35.640854472599997</v>
      </c>
      <c r="J18" s="582"/>
      <c r="K18" s="582">
        <v>7.1281708945300002</v>
      </c>
      <c r="L18" s="582"/>
      <c r="M18" s="581"/>
      <c r="N18" s="1168">
        <f t="shared" si="1"/>
        <v>42.769025367129998</v>
      </c>
      <c r="O18" s="1184"/>
      <c r="P18" s="581">
        <v>28.512683578099999</v>
      </c>
      <c r="Q18" s="582"/>
      <c r="R18" s="582">
        <v>14.2563417891</v>
      </c>
      <c r="S18" s="582"/>
      <c r="T18" s="581"/>
      <c r="U18" s="1168">
        <f t="shared" si="2"/>
        <v>42.769025367200001</v>
      </c>
      <c r="V18" s="1184"/>
      <c r="W18" s="1216">
        <v>0</v>
      </c>
      <c r="X18" s="1200"/>
      <c r="Y18" s="1230">
        <v>0</v>
      </c>
      <c r="Z18" s="1200"/>
      <c r="AA18" s="581">
        <v>0</v>
      </c>
      <c r="AB18" s="1168">
        <f t="shared" si="3"/>
        <v>0</v>
      </c>
      <c r="AC18" s="1184"/>
      <c r="AD18" s="75"/>
    </row>
    <row r="19" spans="1:30" ht="15" customHeight="1" x14ac:dyDescent="0.2">
      <c r="A19" s="612" t="s">
        <v>945</v>
      </c>
      <c r="B19" s="581">
        <v>35.640854472599997</v>
      </c>
      <c r="C19" s="582"/>
      <c r="D19" s="582">
        <v>7.1281708945300002</v>
      </c>
      <c r="E19" s="582"/>
      <c r="F19" s="581"/>
      <c r="G19" s="1168">
        <f t="shared" si="0"/>
        <v>42.769025367129998</v>
      </c>
      <c r="H19" s="1184"/>
      <c r="I19" s="581">
        <v>21.384512683600001</v>
      </c>
      <c r="J19" s="582"/>
      <c r="K19" s="582">
        <v>21.384512683600001</v>
      </c>
      <c r="L19" s="582"/>
      <c r="M19" s="581"/>
      <c r="N19" s="1168">
        <f t="shared" si="1"/>
        <v>42.769025367200001</v>
      </c>
      <c r="O19" s="1184"/>
      <c r="P19" s="581">
        <v>35.640854472599997</v>
      </c>
      <c r="Q19" s="582"/>
      <c r="R19" s="582">
        <v>7.1281708945300002</v>
      </c>
      <c r="S19" s="582"/>
      <c r="T19" s="581"/>
      <c r="U19" s="1168">
        <f t="shared" si="2"/>
        <v>42.769025367129998</v>
      </c>
      <c r="V19" s="1184"/>
      <c r="W19" s="1216">
        <v>7.1281708945300002</v>
      </c>
      <c r="X19" s="1200"/>
      <c r="Y19" s="1230">
        <v>0</v>
      </c>
      <c r="Z19" s="1200"/>
      <c r="AA19" s="581">
        <v>0</v>
      </c>
      <c r="AB19" s="1168">
        <f t="shared" si="3"/>
        <v>7.1281708945300002</v>
      </c>
      <c r="AC19" s="1184"/>
      <c r="AD19" s="75"/>
    </row>
    <row r="20" spans="1:30" ht="15" customHeight="1" x14ac:dyDescent="0.2">
      <c r="A20" s="612" t="s">
        <v>946</v>
      </c>
      <c r="B20" s="581">
        <v>78.409879839799999</v>
      </c>
      <c r="C20" s="582"/>
      <c r="D20" s="582">
        <v>14.2563417891</v>
      </c>
      <c r="E20" s="582"/>
      <c r="F20" s="581"/>
      <c r="G20" s="1168">
        <f t="shared" si="0"/>
        <v>92.666221628900004</v>
      </c>
      <c r="H20" s="1184"/>
      <c r="I20" s="581">
        <v>64.153538050700007</v>
      </c>
      <c r="J20" s="582"/>
      <c r="K20" s="582">
        <f>14.2563417891+14.2563417891</f>
        <v>28.512683578200001</v>
      </c>
      <c r="L20" s="582"/>
      <c r="M20" s="581"/>
      <c r="N20" s="1168">
        <f t="shared" si="1"/>
        <v>92.666221628900004</v>
      </c>
      <c r="O20" s="1184"/>
      <c r="P20" s="581">
        <v>71.281708945299997</v>
      </c>
      <c r="Q20" s="582"/>
      <c r="R20" s="582">
        <v>21.384512683600001</v>
      </c>
      <c r="S20" s="582"/>
      <c r="T20" s="581"/>
      <c r="U20" s="1168">
        <f t="shared" si="2"/>
        <v>92.66622162889999</v>
      </c>
      <c r="V20" s="1184"/>
      <c r="W20" s="1216">
        <v>0</v>
      </c>
      <c r="X20" s="1200"/>
      <c r="Y20" s="1230">
        <v>0</v>
      </c>
      <c r="Z20" s="1200"/>
      <c r="AA20" s="581">
        <v>0</v>
      </c>
      <c r="AB20" s="1168">
        <f t="shared" si="3"/>
        <v>0</v>
      </c>
      <c r="AC20" s="1184"/>
      <c r="AD20" s="75"/>
    </row>
    <row r="21" spans="1:30" ht="15" customHeight="1" x14ac:dyDescent="0.2">
      <c r="A21" s="612" t="s">
        <v>287</v>
      </c>
      <c r="B21" s="581">
        <v>21.384512683600001</v>
      </c>
      <c r="C21" s="582"/>
      <c r="D21" s="582">
        <v>7.1281708945300002</v>
      </c>
      <c r="E21" s="582"/>
      <c r="F21" s="581"/>
      <c r="G21" s="1168">
        <f t="shared" si="0"/>
        <v>28.512683578130002</v>
      </c>
      <c r="H21" s="1184"/>
      <c r="I21" s="581">
        <v>14.2563417891</v>
      </c>
      <c r="J21" s="582"/>
      <c r="K21" s="582">
        <v>14.2563417891</v>
      </c>
      <c r="L21" s="582"/>
      <c r="M21" s="581"/>
      <c r="N21" s="1168">
        <f t="shared" si="1"/>
        <v>28.512683578200001</v>
      </c>
      <c r="O21" s="1184"/>
      <c r="P21" s="581">
        <v>21.384512683600001</v>
      </c>
      <c r="Q21" s="582"/>
      <c r="R21" s="582">
        <v>7.1281708945300002</v>
      </c>
      <c r="S21" s="582"/>
      <c r="T21" s="581"/>
      <c r="U21" s="1168">
        <f t="shared" si="2"/>
        <v>28.512683578130002</v>
      </c>
      <c r="V21" s="1184"/>
      <c r="W21" s="1216"/>
      <c r="X21" s="1200"/>
      <c r="Y21" s="1230">
        <v>0</v>
      </c>
      <c r="Z21" s="1200"/>
      <c r="AA21" s="581">
        <v>0</v>
      </c>
      <c r="AB21" s="1168">
        <f t="shared" si="3"/>
        <v>0</v>
      </c>
      <c r="AC21" s="1184"/>
      <c r="AD21" s="75"/>
    </row>
    <row r="22" spans="1:30" ht="15" customHeight="1" x14ac:dyDescent="0.2">
      <c r="A22" s="661" t="s">
        <v>24</v>
      </c>
      <c r="B22" s="1164"/>
      <c r="C22" s="1254"/>
      <c r="D22" s="1254"/>
      <c r="E22" s="1254"/>
      <c r="F22" s="1164"/>
      <c r="G22" s="1255"/>
      <c r="H22" s="1256"/>
      <c r="I22" s="1164"/>
      <c r="J22" s="1254"/>
      <c r="K22" s="1254"/>
      <c r="L22" s="1254"/>
      <c r="M22" s="1164"/>
      <c r="N22" s="1255"/>
      <c r="O22" s="1256"/>
      <c r="P22" s="1164"/>
      <c r="Q22" s="1254"/>
      <c r="R22" s="1254"/>
      <c r="S22" s="1254"/>
      <c r="T22" s="1164"/>
      <c r="U22" s="1255"/>
      <c r="V22" s="1256"/>
      <c r="W22" s="1257">
        <v>7.1281708945300002</v>
      </c>
      <c r="X22" s="1258"/>
      <c r="Y22" s="1259">
        <v>0</v>
      </c>
      <c r="Z22" s="1258"/>
      <c r="AA22" s="1164">
        <v>0</v>
      </c>
      <c r="AB22" s="1255">
        <f t="shared" si="3"/>
        <v>7.1281708945300002</v>
      </c>
      <c r="AC22" s="1256"/>
      <c r="AD22" s="75"/>
    </row>
    <row r="23" spans="1:30" ht="18" customHeight="1" x14ac:dyDescent="0.2">
      <c r="A23" s="664" t="s">
        <v>247</v>
      </c>
      <c r="B23" s="1260">
        <v>194</v>
      </c>
      <c r="C23" s="1261"/>
      <c r="D23" s="1261">
        <v>54</v>
      </c>
      <c r="E23" s="1261"/>
      <c r="F23" s="1262"/>
      <c r="G23" s="1263">
        <f>SUM(B23,D23)</f>
        <v>248</v>
      </c>
      <c r="H23" s="1264"/>
      <c r="I23" s="1262">
        <v>97</v>
      </c>
      <c r="J23" s="1261"/>
      <c r="K23" s="1261">
        <v>151</v>
      </c>
      <c r="L23" s="1261"/>
      <c r="M23" s="1262"/>
      <c r="N23" s="1263">
        <f>SUM(K23,I23)</f>
        <v>248</v>
      </c>
      <c r="O23" s="1264"/>
      <c r="P23" s="1262">
        <v>198</v>
      </c>
      <c r="Q23" s="1261"/>
      <c r="R23" s="1261">
        <v>50</v>
      </c>
      <c r="S23" s="1261"/>
      <c r="T23" s="1262"/>
      <c r="U23" s="1263">
        <f>SUM(P23,R23)</f>
        <v>248</v>
      </c>
      <c r="V23" s="1264"/>
      <c r="W23" s="1265">
        <v>29</v>
      </c>
      <c r="X23" s="1266"/>
      <c r="Y23" s="1267">
        <v>5</v>
      </c>
      <c r="Z23" s="1266"/>
      <c r="AA23" s="1262">
        <v>9</v>
      </c>
      <c r="AB23" s="1263">
        <f>SUM(AA23,Y23,W23)</f>
        <v>43</v>
      </c>
      <c r="AC23" s="1264"/>
      <c r="AD23" s="75"/>
    </row>
    <row r="24" spans="1:30" ht="15" customHeight="1" x14ac:dyDescent="0.2">
      <c r="A24" s="1470" t="s">
        <v>669</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row>
    <row r="25" spans="1:30" ht="15" customHeight="1" x14ac:dyDescent="0.2">
      <c r="A25" s="75"/>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75"/>
    </row>
    <row r="26" spans="1:30" ht="15" customHeight="1" x14ac:dyDescent="0.2">
      <c r="A26" s="79" t="s">
        <v>32</v>
      </c>
      <c r="B26" s="56"/>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75"/>
    </row>
    <row r="27" spans="1:30" ht="15" customHeight="1" x14ac:dyDescent="0.2">
      <c r="A27" s="75"/>
      <c r="B27" s="58"/>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75"/>
    </row>
    <row r="28" spans="1:30" ht="15" customHeight="1" x14ac:dyDescent="0.2">
      <c r="A28" s="75"/>
      <c r="B28" s="58"/>
      <c r="C28" s="59"/>
      <c r="D28" s="59"/>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75"/>
    </row>
    <row r="29" spans="1:30" ht="15" customHeight="1" x14ac:dyDescent="0.2">
      <c r="A29" s="75"/>
      <c r="B29" s="58"/>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75"/>
    </row>
    <row r="30" spans="1:30" ht="15" customHeight="1" x14ac:dyDescent="0.2">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row>
    <row r="31" spans="1:30" ht="15" customHeight="1" x14ac:dyDescent="0.2">
      <c r="A31" s="79" t="s">
        <v>33</v>
      </c>
      <c r="B31" s="56"/>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75"/>
    </row>
    <row r="32" spans="1:30" ht="15" customHeight="1" x14ac:dyDescent="0.2">
      <c r="A32" s="79"/>
      <c r="B32" s="58"/>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75"/>
    </row>
    <row r="33" spans="1:30" ht="15" customHeight="1" x14ac:dyDescent="0.2">
      <c r="A33" s="75"/>
      <c r="B33" s="58"/>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75"/>
    </row>
    <row r="34" spans="1:30" ht="15" customHeight="1" x14ac:dyDescent="0.2">
      <c r="A34" s="75"/>
      <c r="B34" s="58"/>
      <c r="C34" s="59"/>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75"/>
    </row>
    <row r="35" spans="1:30" ht="15" customHeight="1" x14ac:dyDescent="0.2">
      <c r="A35" s="75"/>
      <c r="B35" s="75"/>
      <c r="C35" s="75"/>
      <c r="D35" s="75"/>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row>
    <row r="36" spans="1:30" ht="12.75" x14ac:dyDescent="0.2">
      <c r="A36" s="79" t="s">
        <v>670</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row>
    <row r="37" spans="1:30" ht="12.75" x14ac:dyDescent="0.2">
      <c r="A37" s="579"/>
      <c r="B37" s="548"/>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5"/>
      <c r="AD37" s="75"/>
    </row>
    <row r="38" spans="1:30" ht="12.75" x14ac:dyDescent="0.2">
      <c r="A38" s="75"/>
      <c r="B38" s="549"/>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row>
    <row r="39" spans="1:30" ht="12.75" x14ac:dyDescent="0.2">
      <c r="A39" s="75"/>
      <c r="B39" s="549"/>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5"/>
      <c r="AD39" s="75"/>
    </row>
    <row r="40" spans="1:30" ht="12.75" x14ac:dyDescent="0.2">
      <c r="A40" s="75"/>
      <c r="B40" s="549"/>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5"/>
      <c r="AD40" s="75"/>
    </row>
    <row r="41" spans="1:30" ht="15" customHeight="1" x14ac:dyDescent="0.2">
      <c r="A41" s="75"/>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row>
  </sheetData>
  <sheetProtection password="CD9E" sheet="1" objects="1" scenarios="1" selectLockedCells="1"/>
  <mergeCells count="13">
    <mergeCell ref="AB11:AC11"/>
    <mergeCell ref="AB12:AC13"/>
    <mergeCell ref="B13:C13"/>
    <mergeCell ref="D13:E13"/>
    <mergeCell ref="G13:H13"/>
    <mergeCell ref="I13:J13"/>
    <mergeCell ref="K13:L13"/>
    <mergeCell ref="N13:O13"/>
    <mergeCell ref="P13:Q13"/>
    <mergeCell ref="R13:S13"/>
    <mergeCell ref="U13:V13"/>
    <mergeCell ref="W11:X11"/>
    <mergeCell ref="Y11:Z11"/>
  </mergeCells>
  <dataValidations count="1">
    <dataValidation type="list" allowBlank="1" showInputMessage="1" showErrorMessage="1" sqref="B37:B40">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55118110236220474" right="0.55118110236220474" top="0.98425196850393704" bottom="0.98425196850393704" header="0.51181102362204722" footer="0.51181102362204722"/>
  <pageSetup paperSize="9" scale="53" orientation="landscape" r:id="rId1"/>
  <headerFooter alignWithMargins="0">
    <oddHeader>&amp;LCDH&amp;C &amp;F&amp;R&amp;A</oddHeader>
    <oddFooter>Page &amp;P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CCFFCC"/>
    <pageSetUpPr fitToPage="1"/>
  </sheetPr>
  <dimension ref="A1:R71"/>
  <sheetViews>
    <sheetView showGridLines="0" topLeftCell="A13" zoomScale="90" zoomScaleNormal="90" workbookViewId="0">
      <selection activeCell="C51" sqref="C51"/>
    </sheetView>
  </sheetViews>
  <sheetFormatPr baseColWidth="10" defaultColWidth="9.140625" defaultRowHeight="15" customHeight="1" x14ac:dyDescent="0.2"/>
  <cols>
    <col min="1" max="1" width="10" style="144" customWidth="1"/>
    <col min="2" max="2" width="69.42578125" style="144" customWidth="1"/>
    <col min="3" max="3" width="12.7109375" style="144" customWidth="1"/>
    <col min="4" max="4" width="6.7109375" style="144" customWidth="1"/>
    <col min="5" max="5" width="12.7109375" style="144" customWidth="1"/>
    <col min="6" max="6" width="6.7109375" style="144" customWidth="1"/>
    <col min="7" max="7" width="12.7109375" style="144" customWidth="1"/>
    <col min="8" max="8" width="6.7109375" style="144" customWidth="1"/>
    <col min="9" max="9" width="12.7109375" style="144" customWidth="1"/>
    <col min="10" max="10" width="6.7109375" style="144" customWidth="1"/>
    <col min="11" max="11" width="12.7109375" style="144" customWidth="1"/>
    <col min="12" max="12" width="6.7109375" style="144" customWidth="1"/>
    <col min="13" max="13" width="12.7109375" style="144" customWidth="1"/>
    <col min="14" max="14" width="6.7109375" style="144" customWidth="1"/>
    <col min="15" max="16" width="12.7109375" style="144" customWidth="1"/>
    <col min="17" max="17" width="6.7109375" style="144" customWidth="1"/>
    <col min="18" max="16384" width="9.140625" style="144"/>
  </cols>
  <sheetData>
    <row r="1" spans="1:18" s="679" customFormat="1" ht="12" customHeight="1" x14ac:dyDescent="0.2">
      <c r="A1" s="26" t="s">
        <v>6</v>
      </c>
    </row>
    <row r="2" spans="1:18" s="679" customFormat="1" ht="12" customHeight="1" x14ac:dyDescent="0.2">
      <c r="A2" s="28" t="s">
        <v>10</v>
      </c>
    </row>
    <row r="3" spans="1:18" s="679" customFormat="1" ht="12" customHeight="1" x14ac:dyDescent="0.2">
      <c r="A3" s="28" t="s">
        <v>7</v>
      </c>
    </row>
    <row r="4" spans="1:18" ht="15" customHeight="1" x14ac:dyDescent="0.2">
      <c r="A4" s="680" t="s">
        <v>248</v>
      </c>
      <c r="B4" s="680"/>
      <c r="C4" s="680"/>
      <c r="D4" s="680"/>
      <c r="E4" s="680"/>
      <c r="F4" s="680"/>
      <c r="G4" s="680"/>
      <c r="H4" s="680"/>
      <c r="I4" s="681"/>
      <c r="J4" s="681"/>
      <c r="K4" s="681"/>
      <c r="L4" s="681"/>
      <c r="M4" s="681"/>
      <c r="N4" s="681"/>
      <c r="O4" s="681"/>
      <c r="P4" s="681"/>
      <c r="Q4" s="681"/>
      <c r="R4" s="681"/>
    </row>
    <row r="5" spans="1:18" s="131" customFormat="1" ht="15" customHeight="1" x14ac:dyDescent="0.2"/>
    <row r="6" spans="1:18" s="131" customFormat="1" ht="15" customHeight="1" x14ac:dyDescent="0.2">
      <c r="A6" s="206"/>
      <c r="B6" s="206"/>
      <c r="C6" s="206"/>
      <c r="D6" s="206"/>
      <c r="E6" s="206"/>
      <c r="F6" s="206"/>
      <c r="G6" s="206"/>
      <c r="H6" s="206"/>
      <c r="I6" s="206"/>
      <c r="J6" s="206"/>
      <c r="K6" s="206"/>
      <c r="L6" s="206"/>
      <c r="M6" s="206"/>
      <c r="N6" s="206"/>
      <c r="O6" s="206"/>
      <c r="P6" s="206"/>
      <c r="Q6" s="206"/>
      <c r="R6" s="206"/>
    </row>
    <row r="7" spans="1:18" ht="15" customHeight="1" x14ac:dyDescent="0.25">
      <c r="A7" s="682" t="s">
        <v>801</v>
      </c>
      <c r="B7" s="206"/>
      <c r="C7" s="206"/>
      <c r="D7" s="206"/>
      <c r="E7" s="206"/>
      <c r="F7" s="206"/>
      <c r="G7" s="206"/>
      <c r="H7" s="206"/>
      <c r="I7" s="206"/>
      <c r="J7" s="206"/>
      <c r="K7" s="206"/>
      <c r="L7" s="206"/>
      <c r="M7" s="206"/>
      <c r="N7" s="206"/>
      <c r="O7" s="206"/>
      <c r="P7" s="206"/>
      <c r="Q7" s="206"/>
      <c r="R7" s="206"/>
    </row>
    <row r="8" spans="1:18" ht="15" customHeight="1" x14ac:dyDescent="0.2">
      <c r="A8" s="683" t="s">
        <v>21</v>
      </c>
      <c r="B8" s="206"/>
      <c r="C8" s="206"/>
      <c r="D8" s="206"/>
      <c r="E8" s="206"/>
      <c r="F8" s="206"/>
      <c r="G8" s="206"/>
      <c r="H8" s="206"/>
      <c r="I8" s="206"/>
      <c r="J8" s="206"/>
      <c r="K8" s="206"/>
      <c r="L8" s="206"/>
      <c r="M8" s="206"/>
      <c r="N8" s="206"/>
      <c r="O8" s="206"/>
      <c r="P8" s="206"/>
      <c r="Q8" s="206"/>
      <c r="R8" s="206"/>
    </row>
    <row r="9" spans="1:18" ht="15" customHeight="1" x14ac:dyDescent="0.2">
      <c r="A9" s="206"/>
      <c r="B9" s="684" t="s">
        <v>34</v>
      </c>
      <c r="C9" s="685">
        <v>2014</v>
      </c>
      <c r="D9" s="206"/>
      <c r="E9" s="206"/>
      <c r="F9" s="206"/>
      <c r="G9" s="206"/>
      <c r="H9" s="206"/>
      <c r="I9" s="206"/>
      <c r="J9" s="206"/>
      <c r="K9" s="206"/>
      <c r="L9" s="206"/>
      <c r="M9" s="206"/>
      <c r="N9" s="206"/>
      <c r="O9" s="206"/>
      <c r="P9" s="206"/>
      <c r="Q9" s="206"/>
      <c r="R9" s="206"/>
    </row>
    <row r="10" spans="1:18" ht="15" customHeight="1" x14ac:dyDescent="0.2">
      <c r="A10" s="686"/>
      <c r="B10" s="206"/>
      <c r="C10" s="206"/>
      <c r="D10" s="206"/>
      <c r="E10" s="206"/>
      <c r="F10" s="206"/>
      <c r="G10" s="206"/>
      <c r="H10" s="206"/>
      <c r="I10" s="206"/>
      <c r="J10" s="206"/>
      <c r="K10" s="206"/>
      <c r="L10" s="206"/>
      <c r="M10" s="206"/>
      <c r="N10" s="206"/>
      <c r="O10" s="206"/>
      <c r="P10" s="206"/>
      <c r="Q10" s="206"/>
      <c r="R10" s="206"/>
    </row>
    <row r="11" spans="1:18" ht="15" customHeight="1" x14ac:dyDescent="0.2">
      <c r="A11" s="686"/>
      <c r="B11" s="206"/>
      <c r="C11" s="206"/>
      <c r="D11" s="206"/>
      <c r="E11" s="206"/>
      <c r="F11" s="206"/>
      <c r="G11" s="206"/>
      <c r="H11" s="206"/>
      <c r="I11" s="206"/>
      <c r="J11" s="206"/>
      <c r="K11" s="206"/>
      <c r="L11" s="206"/>
      <c r="M11" s="206"/>
      <c r="N11" s="206"/>
      <c r="O11" s="206"/>
      <c r="P11" s="206"/>
      <c r="Q11" s="206"/>
      <c r="R11" s="206"/>
    </row>
    <row r="12" spans="1:18" ht="15" customHeight="1" x14ac:dyDescent="0.2">
      <c r="A12" s="687" t="s">
        <v>692</v>
      </c>
      <c r="B12" s="688"/>
      <c r="C12" s="1752" t="s">
        <v>803</v>
      </c>
      <c r="D12" s="1753"/>
      <c r="E12" s="1753"/>
      <c r="F12" s="1753"/>
      <c r="G12" s="1753"/>
      <c r="H12" s="1753"/>
      <c r="I12" s="1753"/>
      <c r="J12" s="1753"/>
      <c r="K12" s="1753"/>
      <c r="L12" s="1753"/>
      <c r="M12" s="1753"/>
      <c r="N12" s="1753"/>
      <c r="O12" s="1753"/>
      <c r="P12" s="1753"/>
      <c r="Q12" s="1754"/>
      <c r="R12" s="206"/>
    </row>
    <row r="13" spans="1:18" ht="43.5" customHeight="1" x14ac:dyDescent="0.2">
      <c r="A13" s="691" t="s">
        <v>279</v>
      </c>
      <c r="B13" s="692" t="s">
        <v>280</v>
      </c>
      <c r="C13" s="1755" t="s">
        <v>236</v>
      </c>
      <c r="D13" s="1756"/>
      <c r="E13" s="1756" t="s">
        <v>237</v>
      </c>
      <c r="F13" s="1756"/>
      <c r="G13" s="1756" t="s">
        <v>238</v>
      </c>
      <c r="H13" s="1756"/>
      <c r="I13" s="1756" t="s">
        <v>239</v>
      </c>
      <c r="J13" s="1756"/>
      <c r="K13" s="1756" t="s">
        <v>240</v>
      </c>
      <c r="L13" s="1756"/>
      <c r="M13" s="1756" t="s">
        <v>241</v>
      </c>
      <c r="N13" s="1756"/>
      <c r="O13" s="777" t="s">
        <v>242</v>
      </c>
      <c r="P13" s="1757" t="s">
        <v>25</v>
      </c>
      <c r="Q13" s="1758"/>
      <c r="R13" s="206"/>
    </row>
    <row r="14" spans="1:18" ht="17.25" customHeight="1" x14ac:dyDescent="0.2">
      <c r="A14" s="694"/>
      <c r="B14" s="695" t="s">
        <v>686</v>
      </c>
      <c r="C14" s="1635">
        <f>SUM(C15:C16)+C52+C53</f>
        <v>3513.9158868521904</v>
      </c>
      <c r="D14" s="1268"/>
      <c r="E14" s="696">
        <f t="shared" ref="E14:M14" si="0">SUM(E15:E16)+E52+E53</f>
        <v>1539.6849132709499</v>
      </c>
      <c r="F14" s="696"/>
      <c r="G14" s="696">
        <f t="shared" si="0"/>
        <v>955.17489960534988</v>
      </c>
      <c r="H14" s="696"/>
      <c r="I14" s="696">
        <f t="shared" si="0"/>
        <v>584.51001356248003</v>
      </c>
      <c r="J14" s="696"/>
      <c r="K14" s="696">
        <f t="shared" si="0"/>
        <v>2345.16823191004</v>
      </c>
      <c r="L14" s="696"/>
      <c r="M14" s="696">
        <f t="shared" si="0"/>
        <v>1054.9692924451899</v>
      </c>
      <c r="N14" s="1280"/>
      <c r="O14" s="697"/>
      <c r="P14" s="1636">
        <f>SUM(C14,E14,G14,I14,K14,M14)</f>
        <v>9993.4232376462005</v>
      </c>
      <c r="Q14" s="1302"/>
      <c r="R14" s="206"/>
    </row>
    <row r="15" spans="1:18" ht="15" customHeight="1" x14ac:dyDescent="0.2">
      <c r="A15" s="698">
        <v>1</v>
      </c>
      <c r="B15" s="699" t="s">
        <v>693</v>
      </c>
      <c r="C15" s="700">
        <v>456.20293724999999</v>
      </c>
      <c r="D15" s="1269"/>
      <c r="E15" s="701">
        <v>263.742323097</v>
      </c>
      <c r="F15" s="701"/>
      <c r="G15" s="701">
        <v>213.84512683599999</v>
      </c>
      <c r="H15" s="701"/>
      <c r="I15" s="701">
        <v>78.409879839799999</v>
      </c>
      <c r="J15" s="701"/>
      <c r="K15" s="701">
        <v>335.02403204299998</v>
      </c>
      <c r="L15" s="701"/>
      <c r="M15" s="701">
        <v>99.794392523400006</v>
      </c>
      <c r="N15" s="1281"/>
      <c r="O15" s="702"/>
      <c r="P15" s="1291">
        <f t="shared" ref="P15:P52" si="1">SUM(C15,E15,G15,I15,K15,M15)</f>
        <v>1447.0186915892</v>
      </c>
      <c r="Q15" s="1303"/>
      <c r="R15" s="206"/>
    </row>
    <row r="16" spans="1:18" ht="15" customHeight="1" x14ac:dyDescent="0.2">
      <c r="A16" s="703">
        <v>2</v>
      </c>
      <c r="B16" s="704" t="s">
        <v>281</v>
      </c>
      <c r="C16" s="705">
        <f>SUM(C17,C24,C29,C35,C40,C44,C51)</f>
        <v>2794.24299065689</v>
      </c>
      <c r="D16" s="1162"/>
      <c r="E16" s="706">
        <f t="shared" ref="E16:M16" si="2">SUM(E17,E24,E29,E35,E40,E44,E51)</f>
        <v>1190.4045393848498</v>
      </c>
      <c r="F16" s="706"/>
      <c r="G16" s="706">
        <f t="shared" si="2"/>
        <v>684.30440587481996</v>
      </c>
      <c r="H16" s="706"/>
      <c r="I16" s="706">
        <f t="shared" si="2"/>
        <v>484.71562082815001</v>
      </c>
      <c r="J16" s="706"/>
      <c r="K16" s="706">
        <f t="shared" si="2"/>
        <v>912.40587449991006</v>
      </c>
      <c r="L16" s="706"/>
      <c r="M16" s="706">
        <f t="shared" si="2"/>
        <v>855.38050734368994</v>
      </c>
      <c r="N16" s="1005"/>
      <c r="O16" s="707"/>
      <c r="P16" s="1292">
        <f t="shared" si="1"/>
        <v>6921.4539385883099</v>
      </c>
      <c r="Q16" s="1182"/>
      <c r="R16" s="206"/>
    </row>
    <row r="17" spans="1:18" s="714" customFormat="1" ht="15" customHeight="1" x14ac:dyDescent="0.2">
      <c r="A17" s="708">
        <v>21</v>
      </c>
      <c r="B17" s="709" t="s">
        <v>694</v>
      </c>
      <c r="C17" s="710">
        <f>SUM(C18:C23)</f>
        <v>71.281708945399998</v>
      </c>
      <c r="D17" s="1270"/>
      <c r="E17" s="711">
        <f>SUM(E18:E23)</f>
        <v>28.512683578130002</v>
      </c>
      <c r="F17" s="711"/>
      <c r="G17" s="711">
        <f>SUM(G18:G23)</f>
        <v>28.512683578160001</v>
      </c>
      <c r="H17" s="711"/>
      <c r="I17" s="711">
        <f>SUM(I18:I23)</f>
        <v>21.38451268363</v>
      </c>
      <c r="J17" s="711"/>
      <c r="K17" s="711">
        <f>SUM(K18:K23)</f>
        <v>14.25634178906</v>
      </c>
      <c r="L17" s="711"/>
      <c r="M17" s="711">
        <f>SUM(M18:M23)</f>
        <v>0</v>
      </c>
      <c r="N17" s="1282"/>
      <c r="O17" s="712"/>
      <c r="P17" s="1293">
        <f t="shared" si="1"/>
        <v>163.94793057438</v>
      </c>
      <c r="Q17" s="1304"/>
      <c r="R17" s="713"/>
    </row>
    <row r="18" spans="1:18" ht="15" customHeight="1" x14ac:dyDescent="0.2">
      <c r="A18" s="715">
        <v>211</v>
      </c>
      <c r="B18" s="716" t="s">
        <v>695</v>
      </c>
      <c r="C18" s="717">
        <v>0</v>
      </c>
      <c r="D18" s="1271"/>
      <c r="E18" s="718">
        <v>21.384512683600001</v>
      </c>
      <c r="F18" s="718"/>
      <c r="G18" s="718">
        <v>0</v>
      </c>
      <c r="H18" s="718"/>
      <c r="I18" s="718">
        <v>7.1281708945300002</v>
      </c>
      <c r="J18" s="718"/>
      <c r="K18" s="718">
        <v>0</v>
      </c>
      <c r="L18" s="718"/>
      <c r="M18" s="718">
        <v>0</v>
      </c>
      <c r="N18" s="1283"/>
      <c r="O18" s="719"/>
      <c r="P18" s="1294">
        <f t="shared" si="1"/>
        <v>28.512683578130002</v>
      </c>
      <c r="Q18" s="1305"/>
      <c r="R18" s="206"/>
    </row>
    <row r="19" spans="1:18" ht="15" customHeight="1" x14ac:dyDescent="0.2">
      <c r="A19" s="715">
        <v>212</v>
      </c>
      <c r="B19" s="716" t="s">
        <v>696</v>
      </c>
      <c r="C19" s="717">
        <v>0</v>
      </c>
      <c r="D19" s="1271"/>
      <c r="E19" s="718">
        <v>0</v>
      </c>
      <c r="F19" s="718"/>
      <c r="G19" s="718">
        <v>0</v>
      </c>
      <c r="H19" s="718"/>
      <c r="I19" s="718">
        <v>0</v>
      </c>
      <c r="J19" s="718"/>
      <c r="K19" s="718">
        <v>0</v>
      </c>
      <c r="L19" s="718"/>
      <c r="M19" s="718">
        <v>0</v>
      </c>
      <c r="N19" s="1283"/>
      <c r="O19" s="719"/>
      <c r="P19" s="1294">
        <f t="shared" si="1"/>
        <v>0</v>
      </c>
      <c r="Q19" s="1305"/>
      <c r="R19" s="206"/>
    </row>
    <row r="20" spans="1:18" ht="15" customHeight="1" x14ac:dyDescent="0.2">
      <c r="A20" s="715">
        <v>213</v>
      </c>
      <c r="B20" s="716" t="s">
        <v>282</v>
      </c>
      <c r="C20" s="717">
        <v>14.2563417891</v>
      </c>
      <c r="D20" s="1271"/>
      <c r="E20" s="718">
        <v>0</v>
      </c>
      <c r="F20" s="718"/>
      <c r="G20" s="718">
        <v>0</v>
      </c>
      <c r="H20" s="718"/>
      <c r="I20" s="718">
        <v>0</v>
      </c>
      <c r="J20" s="718"/>
      <c r="K20" s="718">
        <v>7.1281708945300002</v>
      </c>
      <c r="L20" s="718"/>
      <c r="M20" s="718">
        <v>0</v>
      </c>
      <c r="N20" s="1283"/>
      <c r="O20" s="719"/>
      <c r="P20" s="1294">
        <f t="shared" si="1"/>
        <v>21.38451268363</v>
      </c>
      <c r="Q20" s="1305"/>
      <c r="R20" s="206"/>
    </row>
    <row r="21" spans="1:18" ht="15" customHeight="1" x14ac:dyDescent="0.2">
      <c r="A21" s="715" t="s">
        <v>697</v>
      </c>
      <c r="B21" s="716" t="s">
        <v>698</v>
      </c>
      <c r="C21" s="717">
        <v>21.384512683600001</v>
      </c>
      <c r="D21" s="1271"/>
      <c r="E21" s="718">
        <v>7.1281708945300002</v>
      </c>
      <c r="F21" s="718"/>
      <c r="G21" s="718">
        <v>14.2563417891</v>
      </c>
      <c r="H21" s="718"/>
      <c r="I21" s="718">
        <v>14.2563417891</v>
      </c>
      <c r="J21" s="718"/>
      <c r="K21" s="718">
        <v>0</v>
      </c>
      <c r="L21" s="718"/>
      <c r="M21" s="718">
        <v>0</v>
      </c>
      <c r="N21" s="1283"/>
      <c r="O21" s="719"/>
      <c r="P21" s="1294">
        <f t="shared" si="1"/>
        <v>57.025367156329999</v>
      </c>
      <c r="Q21" s="1305"/>
      <c r="R21" s="206"/>
    </row>
    <row r="22" spans="1:18" ht="15" customHeight="1" x14ac:dyDescent="0.2">
      <c r="A22" s="715">
        <v>216</v>
      </c>
      <c r="B22" s="716" t="s">
        <v>699</v>
      </c>
      <c r="C22" s="720">
        <v>14.2563417891</v>
      </c>
      <c r="D22" s="1272"/>
      <c r="E22" s="721">
        <v>0</v>
      </c>
      <c r="F22" s="721"/>
      <c r="G22" s="721">
        <v>7.1281708945300002</v>
      </c>
      <c r="H22" s="721"/>
      <c r="I22" s="721">
        <v>0</v>
      </c>
      <c r="J22" s="721"/>
      <c r="K22" s="721">
        <v>7.1281708945300002</v>
      </c>
      <c r="L22" s="721"/>
      <c r="M22" s="721">
        <v>0</v>
      </c>
      <c r="N22" s="1284"/>
      <c r="O22" s="722"/>
      <c r="P22" s="1295">
        <f t="shared" si="1"/>
        <v>28.512683578160001</v>
      </c>
      <c r="Q22" s="1306"/>
      <c r="R22" s="206"/>
    </row>
    <row r="23" spans="1:18" ht="15" customHeight="1" x14ac:dyDescent="0.2">
      <c r="A23" s="715"/>
      <c r="B23" s="723" t="s">
        <v>700</v>
      </c>
      <c r="C23" s="724">
        <v>21.384512683600001</v>
      </c>
      <c r="D23" s="1273"/>
      <c r="E23" s="725">
        <v>0</v>
      </c>
      <c r="F23" s="725"/>
      <c r="G23" s="711">
        <v>7.1281708945300002</v>
      </c>
      <c r="H23" s="725"/>
      <c r="I23" s="725">
        <v>0</v>
      </c>
      <c r="J23" s="725"/>
      <c r="K23" s="725">
        <v>0</v>
      </c>
      <c r="L23" s="725"/>
      <c r="M23" s="725">
        <v>0</v>
      </c>
      <c r="N23" s="1285"/>
      <c r="O23" s="726"/>
      <c r="P23" s="1296">
        <f t="shared" si="1"/>
        <v>28.512683578130002</v>
      </c>
      <c r="Q23" s="1307"/>
      <c r="R23" s="206"/>
    </row>
    <row r="24" spans="1:18" s="714" customFormat="1" ht="15" customHeight="1" x14ac:dyDescent="0.2">
      <c r="A24" s="708">
        <v>22</v>
      </c>
      <c r="B24" s="727" t="s">
        <v>701</v>
      </c>
      <c r="C24" s="710">
        <f>SUM(C25:C28)</f>
        <v>21.38451268363</v>
      </c>
      <c r="D24" s="1270"/>
      <c r="E24" s="711">
        <f>SUM(E25:E28)</f>
        <v>7.1281708945300002</v>
      </c>
      <c r="F24" s="711"/>
      <c r="G24" s="711">
        <f>SUM(G25:G28)</f>
        <v>14.2563417891</v>
      </c>
      <c r="H24" s="711"/>
      <c r="I24" s="711">
        <f>SUM(I25:I28)</f>
        <v>0</v>
      </c>
      <c r="J24" s="711"/>
      <c r="K24" s="711">
        <f>SUM(K25:K28)</f>
        <v>21.38451268363</v>
      </c>
      <c r="L24" s="711"/>
      <c r="M24" s="711">
        <f>SUM(M25:M28)</f>
        <v>14.2563417891</v>
      </c>
      <c r="N24" s="1282"/>
      <c r="O24" s="712"/>
      <c r="P24" s="1293">
        <f t="shared" si="1"/>
        <v>78.409879839990012</v>
      </c>
      <c r="Q24" s="1304"/>
      <c r="R24" s="713"/>
    </row>
    <row r="25" spans="1:18" ht="15" customHeight="1" x14ac:dyDescent="0.2">
      <c r="A25" s="715">
        <v>221</v>
      </c>
      <c r="B25" s="716" t="s">
        <v>702</v>
      </c>
      <c r="C25" s="717">
        <v>0</v>
      </c>
      <c r="D25" s="1271"/>
      <c r="E25" s="718">
        <v>7.1281708945300002</v>
      </c>
      <c r="F25" s="718"/>
      <c r="G25" s="718">
        <v>14.2563417891</v>
      </c>
      <c r="H25" s="718"/>
      <c r="I25" s="718">
        <v>0</v>
      </c>
      <c r="J25" s="718"/>
      <c r="K25" s="718">
        <v>7.1281708945300002</v>
      </c>
      <c r="L25" s="718"/>
      <c r="M25" s="718">
        <v>14.2563417891</v>
      </c>
      <c r="N25" s="1283"/>
      <c r="O25" s="719"/>
      <c r="P25" s="1294">
        <f t="shared" si="1"/>
        <v>42.769025367259999</v>
      </c>
      <c r="Q25" s="1305"/>
      <c r="R25" s="206"/>
    </row>
    <row r="26" spans="1:18" ht="15" customHeight="1" x14ac:dyDescent="0.2">
      <c r="A26" s="715">
        <v>222</v>
      </c>
      <c r="B26" s="716" t="s">
        <v>283</v>
      </c>
      <c r="C26" s="717">
        <v>0</v>
      </c>
      <c r="D26" s="1271"/>
      <c r="E26" s="718">
        <v>0</v>
      </c>
      <c r="F26" s="718"/>
      <c r="G26" s="718">
        <v>0</v>
      </c>
      <c r="H26" s="718"/>
      <c r="I26" s="718">
        <v>0</v>
      </c>
      <c r="J26" s="718"/>
      <c r="K26" s="718">
        <v>0</v>
      </c>
      <c r="L26" s="718"/>
      <c r="M26" s="718">
        <v>0</v>
      </c>
      <c r="N26" s="1283"/>
      <c r="O26" s="719"/>
      <c r="P26" s="1294">
        <f t="shared" si="1"/>
        <v>0</v>
      </c>
      <c r="Q26" s="1305"/>
      <c r="R26" s="206"/>
    </row>
    <row r="27" spans="1:18" ht="15" customHeight="1" x14ac:dyDescent="0.2">
      <c r="A27" s="715" t="s">
        <v>703</v>
      </c>
      <c r="B27" s="716" t="s">
        <v>704</v>
      </c>
      <c r="C27" s="717">
        <v>7.1281708945300002</v>
      </c>
      <c r="D27" s="1271"/>
      <c r="E27" s="718">
        <v>0</v>
      </c>
      <c r="F27" s="718"/>
      <c r="G27" s="718">
        <v>0</v>
      </c>
      <c r="H27" s="718"/>
      <c r="I27" s="718">
        <v>0</v>
      </c>
      <c r="J27" s="718"/>
      <c r="K27" s="718">
        <v>0</v>
      </c>
      <c r="L27" s="718"/>
      <c r="M27" s="718">
        <v>0</v>
      </c>
      <c r="N27" s="1283"/>
      <c r="O27" s="719"/>
      <c r="P27" s="1294">
        <f t="shared" si="1"/>
        <v>7.1281708945300002</v>
      </c>
      <c r="Q27" s="1305"/>
      <c r="R27" s="206"/>
    </row>
    <row r="28" spans="1:18" ht="15" customHeight="1" x14ac:dyDescent="0.2">
      <c r="A28" s="715"/>
      <c r="B28" s="723" t="s">
        <v>705</v>
      </c>
      <c r="C28" s="724">
        <v>14.2563417891</v>
      </c>
      <c r="D28" s="1273"/>
      <c r="E28" s="725">
        <v>0</v>
      </c>
      <c r="F28" s="725"/>
      <c r="G28" s="725">
        <v>0</v>
      </c>
      <c r="H28" s="725"/>
      <c r="I28" s="725">
        <v>0</v>
      </c>
      <c r="J28" s="725"/>
      <c r="K28" s="725">
        <v>14.2563417891</v>
      </c>
      <c r="L28" s="725"/>
      <c r="M28" s="725">
        <v>0</v>
      </c>
      <c r="N28" s="1285"/>
      <c r="O28" s="726"/>
      <c r="P28" s="1296">
        <f t="shared" si="1"/>
        <v>28.512683578200001</v>
      </c>
      <c r="Q28" s="1307"/>
      <c r="R28" s="206"/>
    </row>
    <row r="29" spans="1:18" s="714" customFormat="1" ht="15" customHeight="1" x14ac:dyDescent="0.2">
      <c r="A29" s="708">
        <v>23</v>
      </c>
      <c r="B29" s="727" t="s">
        <v>284</v>
      </c>
      <c r="C29" s="710">
        <f>SUM(C30:C34)</f>
        <v>1960.2469959975299</v>
      </c>
      <c r="D29" s="1270"/>
      <c r="E29" s="711">
        <f>SUM(E30:E34)</f>
        <v>869.63684913152997</v>
      </c>
      <c r="F29" s="711"/>
      <c r="G29" s="711">
        <f>SUM(G30:G34)</f>
        <v>534.61281708952993</v>
      </c>
      <c r="H29" s="711"/>
      <c r="I29" s="711">
        <f>SUM(I30:I34)</f>
        <v>342.15220293752998</v>
      </c>
      <c r="J29" s="711"/>
      <c r="K29" s="711">
        <f>SUM(K30:K34)</f>
        <v>384.92122830453002</v>
      </c>
      <c r="L29" s="711"/>
      <c r="M29" s="711">
        <f>SUM(M30:M34)</f>
        <v>598.76635514052998</v>
      </c>
      <c r="N29" s="1282"/>
      <c r="O29" s="712"/>
      <c r="P29" s="1293">
        <f t="shared" si="1"/>
        <v>4690.3364486011797</v>
      </c>
      <c r="Q29" s="1304"/>
      <c r="R29" s="713"/>
    </row>
    <row r="30" spans="1:18" ht="15" customHeight="1" x14ac:dyDescent="0.2">
      <c r="A30" s="715">
        <v>231</v>
      </c>
      <c r="B30" s="716" t="s">
        <v>706</v>
      </c>
      <c r="C30" s="717">
        <v>712.81708945299999</v>
      </c>
      <c r="D30" s="1271"/>
      <c r="E30" s="718">
        <v>263.742323097</v>
      </c>
      <c r="F30" s="718"/>
      <c r="G30" s="718">
        <v>156.81975968</v>
      </c>
      <c r="H30" s="718"/>
      <c r="I30" s="718">
        <v>156.81975968</v>
      </c>
      <c r="J30" s="718"/>
      <c r="K30" s="718">
        <v>377.79305741000002</v>
      </c>
      <c r="L30" s="718"/>
      <c r="M30" s="718">
        <v>256.614152203</v>
      </c>
      <c r="N30" s="1283"/>
      <c r="O30" s="719"/>
      <c r="P30" s="1294">
        <f t="shared" si="1"/>
        <v>1924.6061415230001</v>
      </c>
      <c r="Q30" s="1305"/>
      <c r="R30" s="206"/>
    </row>
    <row r="31" spans="1:18" ht="15" customHeight="1" x14ac:dyDescent="0.2">
      <c r="A31" s="715">
        <v>232</v>
      </c>
      <c r="B31" s="716" t="s">
        <v>707</v>
      </c>
      <c r="C31" s="717">
        <v>0</v>
      </c>
      <c r="D31" s="1271"/>
      <c r="E31" s="718">
        <v>0</v>
      </c>
      <c r="F31" s="718"/>
      <c r="G31" s="718">
        <v>0</v>
      </c>
      <c r="H31" s="718"/>
      <c r="I31" s="718">
        <v>0</v>
      </c>
      <c r="J31" s="718"/>
      <c r="K31" s="718">
        <v>0</v>
      </c>
      <c r="L31" s="718"/>
      <c r="M31" s="718">
        <v>0</v>
      </c>
      <c r="N31" s="1283"/>
      <c r="O31" s="719"/>
      <c r="P31" s="1294">
        <f t="shared" si="1"/>
        <v>0</v>
      </c>
      <c r="Q31" s="1305"/>
      <c r="R31" s="206"/>
    </row>
    <row r="32" spans="1:18" ht="15" customHeight="1" x14ac:dyDescent="0.2">
      <c r="A32" s="715">
        <v>233</v>
      </c>
      <c r="B32" s="716" t="s">
        <v>708</v>
      </c>
      <c r="C32" s="717">
        <v>0</v>
      </c>
      <c r="D32" s="1271"/>
      <c r="E32" s="718">
        <v>0</v>
      </c>
      <c r="F32" s="718"/>
      <c r="G32" s="718">
        <v>0</v>
      </c>
      <c r="H32" s="718"/>
      <c r="I32" s="718">
        <v>0</v>
      </c>
      <c r="J32" s="718"/>
      <c r="K32" s="718">
        <v>0</v>
      </c>
      <c r="L32" s="718"/>
      <c r="M32" s="718">
        <v>0</v>
      </c>
      <c r="N32" s="1283"/>
      <c r="O32" s="719"/>
      <c r="P32" s="1294">
        <f t="shared" si="1"/>
        <v>0</v>
      </c>
      <c r="Q32" s="1305"/>
      <c r="R32" s="206"/>
    </row>
    <row r="33" spans="1:18" ht="15" customHeight="1" x14ac:dyDescent="0.2">
      <c r="A33" s="715" t="s">
        <v>709</v>
      </c>
      <c r="B33" s="716" t="s">
        <v>285</v>
      </c>
      <c r="C33" s="717">
        <v>7.1281708945300002</v>
      </c>
      <c r="D33" s="1271"/>
      <c r="E33" s="718">
        <v>7.1281708945300002</v>
      </c>
      <c r="F33" s="718"/>
      <c r="G33" s="718">
        <v>7.1281708945300002</v>
      </c>
      <c r="H33" s="718"/>
      <c r="I33" s="718">
        <v>7.1281708945300002</v>
      </c>
      <c r="J33" s="718"/>
      <c r="K33" s="718">
        <v>7.1281708945300002</v>
      </c>
      <c r="L33" s="718"/>
      <c r="M33" s="718">
        <v>0</v>
      </c>
      <c r="N33" s="1283"/>
      <c r="O33" s="719"/>
      <c r="P33" s="1294">
        <f t="shared" si="1"/>
        <v>35.640854472649998</v>
      </c>
      <c r="Q33" s="1305"/>
      <c r="R33" s="206"/>
    </row>
    <row r="34" spans="1:18" ht="15" customHeight="1" x14ac:dyDescent="0.2">
      <c r="A34" s="715"/>
      <c r="B34" s="723" t="s">
        <v>710</v>
      </c>
      <c r="C34" s="724">
        <v>1240.30173565</v>
      </c>
      <c r="D34" s="1273"/>
      <c r="E34" s="725">
        <v>598.76635513999997</v>
      </c>
      <c r="F34" s="725"/>
      <c r="G34" s="725">
        <v>370.66488651499998</v>
      </c>
      <c r="H34" s="725"/>
      <c r="I34" s="725">
        <v>178.204272363</v>
      </c>
      <c r="J34" s="725"/>
      <c r="K34" s="725">
        <v>0</v>
      </c>
      <c r="L34" s="725"/>
      <c r="M34" s="725">
        <f>335.024032043+ 7.12817089453</f>
        <v>342.15220293752998</v>
      </c>
      <c r="N34" s="1285"/>
      <c r="O34" s="726"/>
      <c r="P34" s="1296">
        <f t="shared" si="1"/>
        <v>2730.0894526055304</v>
      </c>
      <c r="Q34" s="1307"/>
      <c r="R34" s="206"/>
    </row>
    <row r="35" spans="1:18" s="714" customFormat="1" ht="15" customHeight="1" x14ac:dyDescent="0.2">
      <c r="A35" s="708">
        <v>24</v>
      </c>
      <c r="B35" s="727" t="s">
        <v>711</v>
      </c>
      <c r="C35" s="710">
        <f>SUM(C36:C39)</f>
        <v>35.640854472699999</v>
      </c>
      <c r="D35" s="1270"/>
      <c r="E35" s="711">
        <f>SUM(E36:E39)</f>
        <v>28.512683578130002</v>
      </c>
      <c r="F35" s="711"/>
      <c r="G35" s="711">
        <f>SUM(G36:G39)</f>
        <v>14.2563417891</v>
      </c>
      <c r="H35" s="711"/>
      <c r="I35" s="711">
        <f>SUM(I36:I39)</f>
        <v>14.25634178906</v>
      </c>
      <c r="J35" s="711"/>
      <c r="K35" s="711">
        <f>SUM(K36:K39)</f>
        <v>21.38451268363</v>
      </c>
      <c r="L35" s="711"/>
      <c r="M35" s="711">
        <f>SUM(M36:M39)</f>
        <v>7.1281708945300002</v>
      </c>
      <c r="N35" s="1282"/>
      <c r="O35" s="712"/>
      <c r="P35" s="1293">
        <f t="shared" si="1"/>
        <v>121.17890520715002</v>
      </c>
      <c r="Q35" s="1304"/>
      <c r="R35" s="713"/>
    </row>
    <row r="36" spans="1:18" ht="15" customHeight="1" x14ac:dyDescent="0.2">
      <c r="A36" s="715">
        <v>241</v>
      </c>
      <c r="B36" s="716" t="s">
        <v>712</v>
      </c>
      <c r="C36" s="717">
        <v>14.2563417891</v>
      </c>
      <c r="D36" s="1271"/>
      <c r="E36" s="718">
        <v>0</v>
      </c>
      <c r="F36" s="718"/>
      <c r="G36" s="718">
        <v>0</v>
      </c>
      <c r="H36" s="718"/>
      <c r="I36" s="718">
        <v>7.1281708945300002</v>
      </c>
      <c r="J36" s="718"/>
      <c r="K36" s="718">
        <v>0</v>
      </c>
      <c r="L36" s="718"/>
      <c r="M36" s="718">
        <v>0</v>
      </c>
      <c r="N36" s="1283"/>
      <c r="O36" s="719"/>
      <c r="P36" s="1294">
        <f t="shared" si="1"/>
        <v>21.38451268363</v>
      </c>
      <c r="Q36" s="1305"/>
      <c r="R36" s="206"/>
    </row>
    <row r="37" spans="1:18" ht="15" customHeight="1" x14ac:dyDescent="0.2">
      <c r="A37" s="715">
        <v>242</v>
      </c>
      <c r="B37" s="716" t="s">
        <v>713</v>
      </c>
      <c r="C37" s="717">
        <v>21.384512683600001</v>
      </c>
      <c r="D37" s="1271"/>
      <c r="E37" s="718">
        <v>21.384512683600001</v>
      </c>
      <c r="F37" s="718"/>
      <c r="G37" s="718">
        <v>14.2563417891</v>
      </c>
      <c r="H37" s="718"/>
      <c r="I37" s="718">
        <v>7.1281708945300002</v>
      </c>
      <c r="J37" s="718"/>
      <c r="K37" s="718">
        <v>7.1281708945300002</v>
      </c>
      <c r="L37" s="718"/>
      <c r="M37" s="718">
        <v>7.1281708945300002</v>
      </c>
      <c r="N37" s="1283"/>
      <c r="O37" s="719"/>
      <c r="P37" s="1294">
        <f t="shared" si="1"/>
        <v>78.409879839889996</v>
      </c>
      <c r="Q37" s="1305"/>
      <c r="R37" s="206"/>
    </row>
    <row r="38" spans="1:18" ht="15" customHeight="1" x14ac:dyDescent="0.2">
      <c r="A38" s="715">
        <v>243</v>
      </c>
      <c r="B38" s="716" t="s">
        <v>714</v>
      </c>
      <c r="C38" s="717">
        <v>0</v>
      </c>
      <c r="D38" s="1271"/>
      <c r="E38" s="718">
        <v>7.1281708945300002</v>
      </c>
      <c r="F38" s="718"/>
      <c r="G38" s="718">
        <v>0</v>
      </c>
      <c r="H38" s="718"/>
      <c r="I38" s="718">
        <v>0</v>
      </c>
      <c r="J38" s="718"/>
      <c r="K38" s="718">
        <v>14.2563417891</v>
      </c>
      <c r="L38" s="718"/>
      <c r="M38" s="718">
        <v>0</v>
      </c>
      <c r="N38" s="1283"/>
      <c r="O38" s="719"/>
      <c r="P38" s="1294">
        <f t="shared" si="1"/>
        <v>21.38451268363</v>
      </c>
      <c r="Q38" s="1305"/>
      <c r="R38" s="206"/>
    </row>
    <row r="39" spans="1:18" ht="15" customHeight="1" x14ac:dyDescent="0.2">
      <c r="A39" s="715"/>
      <c r="B39" s="728" t="s">
        <v>715</v>
      </c>
      <c r="C39" s="729">
        <v>0</v>
      </c>
      <c r="D39" s="1274"/>
      <c r="E39" s="730">
        <v>0</v>
      </c>
      <c r="F39" s="730"/>
      <c r="G39" s="730">
        <v>0</v>
      </c>
      <c r="H39" s="730"/>
      <c r="I39" s="730">
        <v>0</v>
      </c>
      <c r="J39" s="730"/>
      <c r="K39" s="730">
        <v>0</v>
      </c>
      <c r="L39" s="730"/>
      <c r="M39" s="730">
        <v>0</v>
      </c>
      <c r="N39" s="1286"/>
      <c r="O39" s="731"/>
      <c r="P39" s="1297">
        <f t="shared" si="1"/>
        <v>0</v>
      </c>
      <c r="Q39" s="1308"/>
      <c r="R39" s="206"/>
    </row>
    <row r="40" spans="1:18" s="714" customFormat="1" ht="15" customHeight="1" x14ac:dyDescent="0.2">
      <c r="A40" s="708">
        <v>25</v>
      </c>
      <c r="B40" s="727" t="s">
        <v>716</v>
      </c>
      <c r="C40" s="710">
        <f>SUM(C41:C43)</f>
        <v>0</v>
      </c>
      <c r="D40" s="1270"/>
      <c r="E40" s="711">
        <f>SUM(E41:E43)</f>
        <v>0</v>
      </c>
      <c r="F40" s="711"/>
      <c r="G40" s="711">
        <f>SUM(G41:G43)</f>
        <v>0</v>
      </c>
      <c r="H40" s="711"/>
      <c r="I40" s="711">
        <f>SUM(I41:I43)</f>
        <v>0</v>
      </c>
      <c r="J40" s="711"/>
      <c r="K40" s="711">
        <f>SUM(K41:K43)</f>
        <v>0</v>
      </c>
      <c r="L40" s="711"/>
      <c r="M40" s="711">
        <f>SUM(M41:M43)</f>
        <v>0</v>
      </c>
      <c r="N40" s="1282"/>
      <c r="O40" s="712"/>
      <c r="P40" s="1293">
        <f t="shared" si="1"/>
        <v>0</v>
      </c>
      <c r="Q40" s="1304"/>
      <c r="R40" s="713"/>
    </row>
    <row r="41" spans="1:18" ht="15" customHeight="1" x14ac:dyDescent="0.2">
      <c r="A41" s="715">
        <v>251</v>
      </c>
      <c r="B41" s="716" t="s">
        <v>717</v>
      </c>
      <c r="C41" s="717">
        <v>0</v>
      </c>
      <c r="D41" s="1271"/>
      <c r="E41" s="718">
        <v>0</v>
      </c>
      <c r="F41" s="718"/>
      <c r="G41" s="718">
        <v>0</v>
      </c>
      <c r="H41" s="718"/>
      <c r="I41" s="718">
        <v>0</v>
      </c>
      <c r="J41" s="718"/>
      <c r="K41" s="718">
        <v>0</v>
      </c>
      <c r="L41" s="718"/>
      <c r="M41" s="718">
        <v>0</v>
      </c>
      <c r="N41" s="1283"/>
      <c r="O41" s="719"/>
      <c r="P41" s="1294">
        <f t="shared" si="1"/>
        <v>0</v>
      </c>
      <c r="Q41" s="1305"/>
      <c r="R41" s="206"/>
    </row>
    <row r="42" spans="1:18" ht="15" customHeight="1" x14ac:dyDescent="0.2">
      <c r="A42" s="715">
        <v>252</v>
      </c>
      <c r="B42" s="716" t="s">
        <v>718</v>
      </c>
      <c r="C42" s="717">
        <v>0</v>
      </c>
      <c r="D42" s="1271"/>
      <c r="E42" s="718">
        <v>0</v>
      </c>
      <c r="F42" s="718"/>
      <c r="G42" s="718">
        <v>0</v>
      </c>
      <c r="H42" s="718"/>
      <c r="I42" s="718">
        <v>0</v>
      </c>
      <c r="J42" s="718"/>
      <c r="K42" s="718">
        <v>0</v>
      </c>
      <c r="L42" s="718"/>
      <c r="M42" s="718">
        <v>0</v>
      </c>
      <c r="N42" s="1283"/>
      <c r="O42" s="719"/>
      <c r="P42" s="1294">
        <f t="shared" si="1"/>
        <v>0</v>
      </c>
      <c r="Q42" s="1305"/>
      <c r="R42" s="206"/>
    </row>
    <row r="43" spans="1:18" ht="15" customHeight="1" x14ac:dyDescent="0.2">
      <c r="A43" s="715"/>
      <c r="B43" s="728" t="s">
        <v>719</v>
      </c>
      <c r="C43" s="729">
        <v>0</v>
      </c>
      <c r="D43" s="1274"/>
      <c r="E43" s="730">
        <v>0</v>
      </c>
      <c r="F43" s="730"/>
      <c r="G43" s="730">
        <v>0</v>
      </c>
      <c r="H43" s="730"/>
      <c r="I43" s="730">
        <v>0</v>
      </c>
      <c r="J43" s="730"/>
      <c r="K43" s="730">
        <v>0</v>
      </c>
      <c r="L43" s="730"/>
      <c r="M43" s="730">
        <v>0</v>
      </c>
      <c r="N43" s="1286"/>
      <c r="O43" s="731"/>
      <c r="P43" s="1297">
        <f t="shared" si="1"/>
        <v>0</v>
      </c>
      <c r="Q43" s="1308"/>
      <c r="R43" s="206"/>
    </row>
    <row r="44" spans="1:18" s="714" customFormat="1" ht="15" customHeight="1" x14ac:dyDescent="0.2">
      <c r="A44" s="708">
        <v>26</v>
      </c>
      <c r="B44" s="727" t="s">
        <v>720</v>
      </c>
      <c r="C44" s="732">
        <f>SUM(C45:C50)</f>
        <v>35.640854472629997</v>
      </c>
      <c r="D44" s="1275"/>
      <c r="E44" s="733">
        <f>SUM(E45:E50)</f>
        <v>7.1281708945300002</v>
      </c>
      <c r="F44" s="733"/>
      <c r="G44" s="733">
        <f>SUM(G45:G50)</f>
        <v>21.38451268363</v>
      </c>
      <c r="H44" s="733"/>
      <c r="I44" s="733">
        <f>SUM(I45:I50)</f>
        <v>7.1281708945300002</v>
      </c>
      <c r="J44" s="733"/>
      <c r="K44" s="733">
        <f>SUM(K45:K50)</f>
        <v>14.25634178906</v>
      </c>
      <c r="L44" s="733"/>
      <c r="M44" s="733">
        <f>SUM(M45:M50)</f>
        <v>7.1281708945300002</v>
      </c>
      <c r="N44" s="1287"/>
      <c r="O44" s="734"/>
      <c r="P44" s="1298">
        <f t="shared" si="1"/>
        <v>92.666221628909994</v>
      </c>
      <c r="Q44" s="1309"/>
      <c r="R44" s="713"/>
    </row>
    <row r="45" spans="1:18" ht="15" customHeight="1" x14ac:dyDescent="0.2">
      <c r="A45" s="715">
        <v>261</v>
      </c>
      <c r="B45" s="716" t="s">
        <v>721</v>
      </c>
      <c r="C45" s="720">
        <v>7.1281708945300002</v>
      </c>
      <c r="D45" s="1272"/>
      <c r="E45" s="721">
        <v>0</v>
      </c>
      <c r="F45" s="721"/>
      <c r="G45" s="721">
        <v>7.1281708945300002</v>
      </c>
      <c r="H45" s="721"/>
      <c r="I45" s="721">
        <v>7.1281708945300002</v>
      </c>
      <c r="J45" s="721"/>
      <c r="K45" s="721">
        <v>7.1281708945300002</v>
      </c>
      <c r="L45" s="721"/>
      <c r="M45" s="721">
        <v>0</v>
      </c>
      <c r="N45" s="1284"/>
      <c r="O45" s="722"/>
      <c r="P45" s="1295">
        <f t="shared" si="1"/>
        <v>28.512683578120001</v>
      </c>
      <c r="Q45" s="1306"/>
      <c r="R45" s="206"/>
    </row>
    <row r="46" spans="1:18" ht="15" customHeight="1" x14ac:dyDescent="0.2">
      <c r="A46" s="715">
        <v>262</v>
      </c>
      <c r="B46" s="716" t="s">
        <v>722</v>
      </c>
      <c r="C46" s="720">
        <v>0</v>
      </c>
      <c r="D46" s="1272"/>
      <c r="E46" s="721">
        <v>7.1281708945300002</v>
      </c>
      <c r="F46" s="721"/>
      <c r="G46" s="721">
        <v>14.2563417891</v>
      </c>
      <c r="H46" s="721"/>
      <c r="I46" s="721">
        <v>0</v>
      </c>
      <c r="J46" s="721"/>
      <c r="K46" s="721">
        <v>0</v>
      </c>
      <c r="L46" s="721"/>
      <c r="M46" s="721">
        <v>7.1281708945300002</v>
      </c>
      <c r="N46" s="1284"/>
      <c r="O46" s="722"/>
      <c r="P46" s="1295">
        <f t="shared" si="1"/>
        <v>28.512683578160001</v>
      </c>
      <c r="Q46" s="1306"/>
      <c r="R46" s="206"/>
    </row>
    <row r="47" spans="1:18" ht="15" customHeight="1" x14ac:dyDescent="0.2">
      <c r="A47" s="715">
        <v>263</v>
      </c>
      <c r="B47" s="716" t="s">
        <v>723</v>
      </c>
      <c r="C47" s="720">
        <v>28.512683578099999</v>
      </c>
      <c r="D47" s="1272"/>
      <c r="E47" s="721">
        <v>0</v>
      </c>
      <c r="F47" s="721"/>
      <c r="G47" s="721">
        <v>0</v>
      </c>
      <c r="H47" s="721"/>
      <c r="I47" s="721">
        <v>0</v>
      </c>
      <c r="J47" s="721"/>
      <c r="K47" s="721">
        <v>7.1281708945300002</v>
      </c>
      <c r="L47" s="721"/>
      <c r="M47" s="721">
        <v>0</v>
      </c>
      <c r="N47" s="1284"/>
      <c r="O47" s="722"/>
      <c r="P47" s="1295">
        <f t="shared" si="1"/>
        <v>35.640854472629997</v>
      </c>
      <c r="Q47" s="1306"/>
      <c r="R47" s="206"/>
    </row>
    <row r="48" spans="1:18" ht="15" customHeight="1" x14ac:dyDescent="0.2">
      <c r="A48" s="715">
        <v>264</v>
      </c>
      <c r="B48" s="716" t="s">
        <v>827</v>
      </c>
      <c r="C48" s="720">
        <v>0</v>
      </c>
      <c r="D48" s="1272"/>
      <c r="E48" s="721">
        <v>0</v>
      </c>
      <c r="F48" s="721"/>
      <c r="G48" s="721">
        <v>0</v>
      </c>
      <c r="H48" s="721"/>
      <c r="I48" s="721">
        <v>0</v>
      </c>
      <c r="J48" s="721"/>
      <c r="K48" s="721">
        <v>0</v>
      </c>
      <c r="L48" s="721"/>
      <c r="M48" s="721">
        <v>0</v>
      </c>
      <c r="N48" s="1284"/>
      <c r="O48" s="722"/>
      <c r="P48" s="1295">
        <f t="shared" si="1"/>
        <v>0</v>
      </c>
      <c r="Q48" s="1306"/>
      <c r="R48" s="206"/>
    </row>
    <row r="49" spans="1:18" ht="15" customHeight="1" x14ac:dyDescent="0.2">
      <c r="A49" s="715">
        <v>265</v>
      </c>
      <c r="B49" s="716" t="s">
        <v>724</v>
      </c>
      <c r="C49" s="720">
        <v>0</v>
      </c>
      <c r="D49" s="1272"/>
      <c r="E49" s="721">
        <v>0</v>
      </c>
      <c r="F49" s="721"/>
      <c r="G49" s="721">
        <v>0</v>
      </c>
      <c r="H49" s="721"/>
      <c r="I49" s="721">
        <v>0</v>
      </c>
      <c r="J49" s="721"/>
      <c r="K49" s="721">
        <v>0</v>
      </c>
      <c r="L49" s="721"/>
      <c r="M49" s="721">
        <v>0</v>
      </c>
      <c r="N49" s="1284"/>
      <c r="O49" s="722"/>
      <c r="P49" s="1295">
        <f t="shared" si="1"/>
        <v>0</v>
      </c>
      <c r="Q49" s="1306"/>
      <c r="R49" s="206"/>
    </row>
    <row r="50" spans="1:18" ht="15" customHeight="1" x14ac:dyDescent="0.2">
      <c r="A50" s="715"/>
      <c r="B50" s="723" t="s">
        <v>725</v>
      </c>
      <c r="C50" s="737">
        <v>0</v>
      </c>
      <c r="D50" s="1276"/>
      <c r="E50" s="738">
        <v>0</v>
      </c>
      <c r="F50" s="738"/>
      <c r="G50" s="738">
        <v>0</v>
      </c>
      <c r="H50" s="738"/>
      <c r="I50" s="738">
        <v>0</v>
      </c>
      <c r="J50" s="738"/>
      <c r="K50" s="738">
        <v>0</v>
      </c>
      <c r="L50" s="738"/>
      <c r="M50" s="738">
        <v>0</v>
      </c>
      <c r="N50" s="1288"/>
      <c r="O50" s="739"/>
      <c r="P50" s="1299">
        <v>0</v>
      </c>
      <c r="Q50" s="1307"/>
      <c r="R50" s="206"/>
    </row>
    <row r="51" spans="1:18" ht="15" customHeight="1" x14ac:dyDescent="0.2">
      <c r="A51" s="735"/>
      <c r="B51" s="736" t="s">
        <v>286</v>
      </c>
      <c r="C51" s="1634">
        <v>670.04806408499996</v>
      </c>
      <c r="D51" s="1278"/>
      <c r="E51" s="748">
        <v>249.48598130799999</v>
      </c>
      <c r="F51" s="748"/>
      <c r="G51" s="748">
        <v>71.281708945299997</v>
      </c>
      <c r="H51" s="748"/>
      <c r="I51" s="748">
        <v>99.794392523400006</v>
      </c>
      <c r="J51" s="748"/>
      <c r="K51" s="748">
        <v>456.20293724999999</v>
      </c>
      <c r="L51" s="748"/>
      <c r="M51" s="748">
        <v>228.101468625</v>
      </c>
      <c r="N51" s="1290"/>
      <c r="O51" s="749"/>
      <c r="P51" s="1301">
        <f t="shared" ref="P51" si="3">SUM(C51,E51,G51,I51,K51,M51)</f>
        <v>1774.9145527367</v>
      </c>
      <c r="Q51" s="1310"/>
      <c r="R51" s="206"/>
    </row>
    <row r="52" spans="1:18" s="745" customFormat="1" ht="15" customHeight="1" x14ac:dyDescent="0.2">
      <c r="A52" s="740" t="s">
        <v>287</v>
      </c>
      <c r="B52" s="741" t="s">
        <v>726</v>
      </c>
      <c r="C52" s="742">
        <v>14.2563417891</v>
      </c>
      <c r="D52" s="1277"/>
      <c r="E52" s="743">
        <v>0</v>
      </c>
      <c r="F52" s="743"/>
      <c r="G52" s="743">
        <v>7.1281708945300002</v>
      </c>
      <c r="H52" s="743"/>
      <c r="I52" s="743">
        <v>7.1281708945300002</v>
      </c>
      <c r="J52" s="743"/>
      <c r="K52" s="743">
        <v>7.1281708945300002</v>
      </c>
      <c r="L52" s="743"/>
      <c r="M52" s="743">
        <v>0</v>
      </c>
      <c r="N52" s="1289"/>
      <c r="O52" s="744"/>
      <c r="P52" s="1300">
        <f t="shared" si="1"/>
        <v>35.640854472690002</v>
      </c>
      <c r="Q52" s="1311"/>
      <c r="R52" s="686"/>
    </row>
    <row r="53" spans="1:18" ht="15" customHeight="1" x14ac:dyDescent="0.2">
      <c r="A53" s="746"/>
      <c r="B53" s="747" t="s">
        <v>288</v>
      </c>
      <c r="C53" s="1634">
        <f>57.0253671562+192.18825</f>
        <v>249.2136171562</v>
      </c>
      <c r="D53" s="1278"/>
      <c r="E53" s="748">
        <f>14.2563417891+71.281709</f>
        <v>85.538050789100012</v>
      </c>
      <c r="F53" s="748"/>
      <c r="G53" s="748">
        <v>49.897196000000001</v>
      </c>
      <c r="H53" s="748"/>
      <c r="I53" s="748">
        <v>14.256342</v>
      </c>
      <c r="J53" s="748"/>
      <c r="K53" s="748">
        <f>1054.9693+35.6408544726</f>
        <v>1090.6101544726</v>
      </c>
      <c r="L53" s="748"/>
      <c r="M53" s="748">
        <f>28.5126835781+71.281709</f>
        <v>99.794392578100002</v>
      </c>
      <c r="N53" s="1290"/>
      <c r="O53" s="749"/>
      <c r="P53" s="1301">
        <v>171.07610146859997</v>
      </c>
      <c r="Q53" s="1312"/>
      <c r="R53" s="206"/>
    </row>
    <row r="54" spans="1:18" ht="15" customHeight="1" x14ac:dyDescent="0.2">
      <c r="A54" s="206"/>
      <c r="B54" s="206"/>
      <c r="C54" s="206"/>
      <c r="D54" s="206"/>
      <c r="E54" s="206"/>
      <c r="F54" s="206"/>
      <c r="G54" s="206"/>
      <c r="H54" s="206"/>
      <c r="I54" s="206"/>
      <c r="J54" s="206"/>
      <c r="K54" s="206"/>
      <c r="L54" s="206"/>
      <c r="M54" s="206"/>
      <c r="N54" s="206"/>
      <c r="O54" s="206"/>
      <c r="P54" s="206"/>
      <c r="Q54" s="206"/>
      <c r="R54" s="206"/>
    </row>
    <row r="55" spans="1:18" ht="15" customHeight="1" x14ac:dyDescent="0.2">
      <c r="A55" s="206"/>
      <c r="B55" s="206"/>
      <c r="C55" s="206"/>
      <c r="D55" s="206"/>
      <c r="E55" s="206"/>
      <c r="F55" s="206"/>
      <c r="G55" s="206"/>
      <c r="H55" s="206"/>
      <c r="I55" s="206"/>
      <c r="J55" s="206"/>
      <c r="K55" s="206"/>
      <c r="L55" s="206"/>
      <c r="M55" s="206"/>
      <c r="N55" s="206"/>
      <c r="O55" s="206"/>
      <c r="P55" s="206"/>
      <c r="Q55" s="206"/>
      <c r="R55" s="206"/>
    </row>
    <row r="56" spans="1:18" ht="15" customHeight="1" x14ac:dyDescent="0.2">
      <c r="A56" s="750" t="s">
        <v>32</v>
      </c>
      <c r="B56" s="751" t="s">
        <v>1063</v>
      </c>
      <c r="C56" s="752"/>
      <c r="D56" s="752"/>
      <c r="E56" s="752"/>
      <c r="F56" s="752"/>
      <c r="G56" s="752"/>
      <c r="H56" s="752"/>
      <c r="I56" s="752"/>
      <c r="J56" s="752"/>
      <c r="K56" s="752"/>
      <c r="L56" s="752"/>
      <c r="M56" s="752"/>
      <c r="N56" s="752"/>
      <c r="O56" s="752"/>
      <c r="P56" s="752"/>
      <c r="Q56" s="752"/>
      <c r="R56" s="206"/>
    </row>
    <row r="57" spans="1:18" ht="15" customHeight="1" x14ac:dyDescent="0.2">
      <c r="A57" s="206"/>
      <c r="B57" s="753"/>
      <c r="C57" s="754"/>
      <c r="D57" s="754"/>
      <c r="E57" s="754"/>
      <c r="F57" s="754"/>
      <c r="G57" s="754"/>
      <c r="H57" s="754"/>
      <c r="I57" s="754"/>
      <c r="J57" s="754"/>
      <c r="K57" s="754"/>
      <c r="L57" s="754"/>
      <c r="M57" s="754"/>
      <c r="N57" s="754"/>
      <c r="O57" s="754"/>
      <c r="P57" s="754"/>
      <c r="Q57" s="754"/>
      <c r="R57" s="206"/>
    </row>
    <row r="58" spans="1:18" ht="15" customHeight="1" x14ac:dyDescent="0.2">
      <c r="A58" s="206"/>
      <c r="B58" s="753"/>
      <c r="C58" s="754"/>
      <c r="D58" s="754"/>
      <c r="E58" s="754"/>
      <c r="F58" s="754"/>
      <c r="G58" s="754"/>
      <c r="H58" s="754"/>
      <c r="I58" s="754"/>
      <c r="J58" s="754"/>
      <c r="K58" s="754"/>
      <c r="L58" s="754"/>
      <c r="M58" s="754"/>
      <c r="N58" s="754"/>
      <c r="O58" s="754"/>
      <c r="P58" s="754"/>
      <c r="Q58" s="754"/>
      <c r="R58" s="206"/>
    </row>
    <row r="59" spans="1:18" ht="15" customHeight="1" x14ac:dyDescent="0.2">
      <c r="A59" s="206"/>
      <c r="B59" s="753"/>
      <c r="C59" s="754"/>
      <c r="D59" s="754"/>
      <c r="E59" s="754"/>
      <c r="F59" s="754"/>
      <c r="G59" s="754"/>
      <c r="H59" s="754"/>
      <c r="I59" s="754"/>
      <c r="J59" s="754"/>
      <c r="K59" s="754"/>
      <c r="L59" s="754"/>
      <c r="M59" s="754"/>
      <c r="N59" s="754"/>
      <c r="O59" s="754"/>
      <c r="P59" s="754"/>
      <c r="Q59" s="754"/>
      <c r="R59" s="206"/>
    </row>
    <row r="60" spans="1:18" ht="15" customHeight="1" x14ac:dyDescent="0.2">
      <c r="A60" s="206"/>
      <c r="B60" s="206"/>
      <c r="C60" s="206"/>
      <c r="D60" s="206"/>
      <c r="E60" s="206"/>
      <c r="F60" s="206"/>
      <c r="G60" s="206"/>
      <c r="H60" s="206"/>
      <c r="I60" s="206"/>
      <c r="J60" s="206"/>
      <c r="K60" s="206"/>
      <c r="L60" s="206"/>
      <c r="M60" s="206"/>
      <c r="N60" s="206"/>
      <c r="O60" s="206"/>
      <c r="P60" s="206"/>
      <c r="Q60" s="206"/>
      <c r="R60" s="206"/>
    </row>
    <row r="61" spans="1:18" ht="15" customHeight="1" x14ac:dyDescent="0.2">
      <c r="A61" s="750" t="s">
        <v>209</v>
      </c>
      <c r="B61" s="751"/>
      <c r="C61" s="752"/>
      <c r="D61" s="752"/>
      <c r="E61" s="752"/>
      <c r="F61" s="752"/>
      <c r="G61" s="752"/>
      <c r="H61" s="752"/>
      <c r="I61" s="752"/>
      <c r="J61" s="752"/>
      <c r="K61" s="752"/>
      <c r="L61" s="752"/>
      <c r="M61" s="752"/>
      <c r="N61" s="752"/>
      <c r="O61" s="752"/>
      <c r="P61" s="752"/>
      <c r="Q61" s="752"/>
      <c r="R61" s="206"/>
    </row>
    <row r="62" spans="1:18" ht="15" customHeight="1" x14ac:dyDescent="0.2">
      <c r="A62" s="686" t="s">
        <v>268</v>
      </c>
      <c r="B62" s="753"/>
      <c r="C62" s="754"/>
      <c r="D62" s="754"/>
      <c r="E62" s="754"/>
      <c r="F62" s="754"/>
      <c r="G62" s="754"/>
      <c r="H62" s="754"/>
      <c r="I62" s="754"/>
      <c r="J62" s="754"/>
      <c r="K62" s="754"/>
      <c r="L62" s="754"/>
      <c r="M62" s="754"/>
      <c r="N62" s="754"/>
      <c r="O62" s="754"/>
      <c r="P62" s="754"/>
      <c r="Q62" s="754"/>
      <c r="R62" s="206"/>
    </row>
    <row r="63" spans="1:18" ht="15" customHeight="1" x14ac:dyDescent="0.2">
      <c r="A63" s="206"/>
      <c r="B63" s="753"/>
      <c r="C63" s="754"/>
      <c r="D63" s="754"/>
      <c r="E63" s="754"/>
      <c r="F63" s="754"/>
      <c r="G63" s="754"/>
      <c r="H63" s="754"/>
      <c r="I63" s="754"/>
      <c r="J63" s="754"/>
      <c r="K63" s="754"/>
      <c r="L63" s="754"/>
      <c r="M63" s="754"/>
      <c r="N63" s="754"/>
      <c r="O63" s="754"/>
      <c r="P63" s="754"/>
      <c r="Q63" s="754"/>
      <c r="R63" s="206"/>
    </row>
    <row r="64" spans="1:18" ht="15" customHeight="1" x14ac:dyDescent="0.2">
      <c r="A64" s="206"/>
      <c r="B64" s="753"/>
      <c r="C64" s="754"/>
      <c r="D64" s="754"/>
      <c r="E64" s="754"/>
      <c r="F64" s="754"/>
      <c r="G64" s="754"/>
      <c r="H64" s="754"/>
      <c r="I64" s="754"/>
      <c r="J64" s="754"/>
      <c r="K64" s="754"/>
      <c r="L64" s="754"/>
      <c r="M64" s="754"/>
      <c r="N64" s="754"/>
      <c r="O64" s="754"/>
      <c r="P64" s="754"/>
      <c r="Q64" s="754"/>
      <c r="R64" s="206"/>
    </row>
    <row r="65" spans="1:18" ht="15" customHeight="1" x14ac:dyDescent="0.2">
      <c r="A65" s="206"/>
      <c r="B65" s="206"/>
      <c r="C65" s="206"/>
      <c r="D65" s="206"/>
      <c r="E65" s="206"/>
      <c r="F65" s="206"/>
      <c r="G65" s="206"/>
      <c r="H65" s="206"/>
      <c r="I65" s="206"/>
      <c r="J65" s="206"/>
      <c r="K65" s="206"/>
      <c r="L65" s="206"/>
      <c r="M65" s="206"/>
      <c r="N65" s="206"/>
      <c r="O65" s="206"/>
      <c r="P65" s="206"/>
      <c r="Q65" s="206"/>
      <c r="R65" s="206"/>
    </row>
    <row r="66" spans="1:18" ht="12.75" x14ac:dyDescent="0.2">
      <c r="A66" s="750" t="s">
        <v>670</v>
      </c>
      <c r="B66" s="206"/>
      <c r="C66" s="548"/>
      <c r="D66" s="206"/>
      <c r="E66" s="206"/>
      <c r="F66" s="206"/>
      <c r="G66" s="206"/>
      <c r="H66" s="206"/>
      <c r="I66" s="206"/>
      <c r="J66" s="206"/>
      <c r="K66" s="206"/>
      <c r="L66" s="206"/>
      <c r="M66" s="206"/>
      <c r="N66" s="206"/>
      <c r="O66" s="206"/>
      <c r="P66" s="206"/>
      <c r="Q66" s="206"/>
      <c r="R66" s="206"/>
    </row>
    <row r="67" spans="1:18" ht="12.75" x14ac:dyDescent="0.2">
      <c r="A67" s="755"/>
      <c r="B67" s="206"/>
      <c r="C67" s="549"/>
      <c r="D67" s="206"/>
      <c r="E67" s="206"/>
      <c r="F67" s="206"/>
      <c r="G67" s="206"/>
      <c r="H67" s="206"/>
      <c r="I67" s="206"/>
      <c r="J67" s="206"/>
      <c r="K67" s="206"/>
      <c r="L67" s="206"/>
      <c r="M67" s="206"/>
      <c r="N67" s="206"/>
      <c r="O67" s="206"/>
      <c r="P67" s="206"/>
      <c r="Q67" s="206"/>
      <c r="R67" s="206"/>
    </row>
    <row r="68" spans="1:18" ht="12.75" x14ac:dyDescent="0.2">
      <c r="A68" s="206"/>
      <c r="B68" s="206"/>
      <c r="C68" s="549"/>
      <c r="D68" s="206"/>
      <c r="E68" s="206"/>
      <c r="F68" s="206"/>
      <c r="G68" s="206"/>
      <c r="H68" s="206"/>
      <c r="I68" s="206"/>
      <c r="J68" s="206"/>
      <c r="K68" s="206"/>
      <c r="L68" s="206"/>
      <c r="M68" s="206"/>
      <c r="N68" s="206"/>
      <c r="O68" s="206"/>
      <c r="P68" s="206"/>
      <c r="Q68" s="206"/>
      <c r="R68" s="206"/>
    </row>
    <row r="69" spans="1:18" ht="12.75" x14ac:dyDescent="0.2">
      <c r="A69" s="206"/>
      <c r="B69" s="206"/>
      <c r="C69" s="549"/>
      <c r="D69" s="206"/>
      <c r="E69" s="206"/>
      <c r="F69" s="206"/>
      <c r="G69" s="206"/>
      <c r="H69" s="206"/>
      <c r="I69" s="206"/>
      <c r="J69" s="206"/>
      <c r="K69" s="206"/>
      <c r="L69" s="206"/>
      <c r="M69" s="206"/>
      <c r="N69" s="206"/>
      <c r="O69" s="206"/>
      <c r="P69" s="206"/>
      <c r="Q69" s="206"/>
      <c r="R69" s="206"/>
    </row>
    <row r="70" spans="1:18" ht="12.75" x14ac:dyDescent="0.2">
      <c r="A70" s="206"/>
      <c r="B70" s="206"/>
      <c r="C70" s="206"/>
      <c r="D70" s="206"/>
      <c r="E70" s="206"/>
      <c r="F70" s="206"/>
      <c r="G70" s="206"/>
      <c r="H70" s="206"/>
      <c r="I70" s="206"/>
      <c r="J70" s="206"/>
      <c r="K70" s="206"/>
      <c r="L70" s="206"/>
      <c r="M70" s="206"/>
      <c r="N70" s="206"/>
      <c r="O70" s="206"/>
      <c r="P70" s="206"/>
      <c r="Q70" s="206"/>
      <c r="R70" s="206"/>
    </row>
    <row r="71" spans="1:18" ht="15" customHeight="1" x14ac:dyDescent="0.2">
      <c r="A71" s="206"/>
      <c r="B71" s="206"/>
      <c r="C71" s="206"/>
      <c r="D71" s="206"/>
      <c r="E71" s="206"/>
      <c r="F71" s="206"/>
      <c r="G71" s="206"/>
      <c r="H71" s="206"/>
      <c r="I71" s="206"/>
      <c r="J71" s="206"/>
      <c r="K71" s="206"/>
      <c r="L71" s="206"/>
      <c r="M71" s="206"/>
      <c r="N71" s="206"/>
      <c r="O71" s="206"/>
      <c r="P71" s="206"/>
      <c r="Q71" s="206"/>
      <c r="R71" s="206"/>
    </row>
  </sheetData>
  <sheetProtection password="CD9E" sheet="1" objects="1" scenarios="1" selectLockedCells="1"/>
  <mergeCells count="8">
    <mergeCell ref="C12:Q12"/>
    <mergeCell ref="C13:D13"/>
    <mergeCell ref="E13:F13"/>
    <mergeCell ref="G13:H13"/>
    <mergeCell ref="I13:J13"/>
    <mergeCell ref="K13:L13"/>
    <mergeCell ref="M13:N13"/>
    <mergeCell ref="P13:Q13"/>
  </mergeCells>
  <dataValidations count="1">
    <dataValidation type="list" allowBlank="1" showInputMessage="1" showErrorMessage="1" sqref="C66:C69">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25" right="0.25" top="0.75" bottom="0.75" header="0.3" footer="0.3"/>
  <pageSetup paperSize="9" scale="46" orientation="landscape" r:id="rId1"/>
  <headerFooter alignWithMargins="0">
    <oddHeader>&amp;LCDH&amp;C &amp;F&amp;R&amp;A</oddHeader>
    <oddFooter>Page &amp;P of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CCFFCC"/>
    <pageSetUpPr fitToPage="1"/>
  </sheetPr>
  <dimension ref="A1:AV63"/>
  <sheetViews>
    <sheetView showGridLines="0" topLeftCell="A4" zoomScale="80" zoomScaleNormal="80" workbookViewId="0">
      <selection activeCell="C17" sqref="C17"/>
    </sheetView>
  </sheetViews>
  <sheetFormatPr baseColWidth="10" defaultColWidth="9.140625" defaultRowHeight="15" customHeight="1" x14ac:dyDescent="0.2"/>
  <cols>
    <col min="1" max="1" width="29" style="31" customWidth="1"/>
    <col min="2" max="2" width="12.7109375" style="31" customWidth="1"/>
    <col min="3" max="3" width="5.7109375" style="31" customWidth="1"/>
    <col min="4" max="4" width="12.7109375" style="31" customWidth="1"/>
    <col min="5" max="5" width="5.7109375" style="31" customWidth="1"/>
    <col min="6" max="6" width="12.7109375" style="31" customWidth="1"/>
    <col min="7" max="7" width="5.7109375" style="31" customWidth="1"/>
    <col min="8" max="8" width="13.5703125" style="31" customWidth="1"/>
    <col min="9" max="9" width="5.7109375" style="31" customWidth="1"/>
    <col min="10" max="10" width="13.5703125" style="31" customWidth="1"/>
    <col min="11" max="11" width="5.7109375" style="31" customWidth="1"/>
    <col min="12" max="13" width="13.5703125" style="31" customWidth="1"/>
    <col min="14" max="14" width="5.7109375" style="31" customWidth="1"/>
    <col min="15" max="15" width="13.5703125" style="31" customWidth="1"/>
    <col min="16" max="16" width="5.7109375" style="31" customWidth="1"/>
    <col min="17" max="17" width="11.7109375" style="31" customWidth="1"/>
    <col min="18" max="18" width="5.7109375" style="31" customWidth="1"/>
    <col min="19" max="19" width="11.7109375" style="31" customWidth="1"/>
    <col min="20" max="20" width="5.7109375" style="31" customWidth="1"/>
    <col min="21" max="21" width="13.5703125" style="31" customWidth="1"/>
    <col min="22" max="22" width="5.7109375" style="31" customWidth="1"/>
    <col min="23" max="23" width="11.7109375" style="31" customWidth="1"/>
    <col min="24" max="24" width="5.7109375" style="31" customWidth="1"/>
    <col min="25" max="26" width="11.7109375" style="31" customWidth="1"/>
    <col min="27" max="27" width="5.7109375" style="31" customWidth="1"/>
    <col min="28" max="35" width="11.7109375" style="31" customWidth="1"/>
    <col min="36" max="36" width="5.7109375" style="31" customWidth="1"/>
    <col min="37" max="37" width="11.7109375" style="31" customWidth="1"/>
    <col min="38" max="38" width="5.7109375" style="31" customWidth="1"/>
    <col min="39" max="39" width="11.7109375" style="31" customWidth="1"/>
    <col min="40" max="40" width="5.7109375" style="31" customWidth="1"/>
    <col min="41" max="41" width="11.7109375" style="31" customWidth="1"/>
    <col min="42" max="42" width="5.7109375" style="31" customWidth="1"/>
    <col min="43" max="43" width="11.7109375" style="31" customWidth="1"/>
    <col min="44" max="44" width="5.7109375" style="31" customWidth="1"/>
    <col min="45" max="45" width="9.140625" style="31"/>
    <col min="46" max="46" width="11.7109375" style="31" customWidth="1"/>
    <col min="47" max="47" width="5.7109375" style="31" customWidth="1"/>
    <col min="48" max="16384" width="9.140625" style="31"/>
  </cols>
  <sheetData>
    <row r="1" spans="1:48" s="66" customFormat="1" ht="12" customHeight="1" x14ac:dyDescent="0.2">
      <c r="A1" s="26" t="s">
        <v>6</v>
      </c>
    </row>
    <row r="2" spans="1:48" s="66" customFormat="1" ht="12" customHeight="1" x14ac:dyDescent="0.2">
      <c r="A2" s="28" t="s">
        <v>10</v>
      </c>
    </row>
    <row r="3" spans="1:48" s="66" customFormat="1" ht="12" customHeight="1" x14ac:dyDescent="0.2">
      <c r="A3" s="28" t="s">
        <v>7</v>
      </c>
    </row>
    <row r="4" spans="1:48" ht="15" customHeight="1" x14ac:dyDescent="0.2">
      <c r="A4" s="73" t="s">
        <v>248</v>
      </c>
      <c r="B4" s="73"/>
      <c r="C4" s="73"/>
      <c r="D4" s="73"/>
      <c r="E4" s="73"/>
      <c r="F4" s="73"/>
      <c r="G4" s="73"/>
      <c r="H4" s="73"/>
      <c r="I4" s="73"/>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row>
    <row r="5" spans="1:48" s="131" customFormat="1" ht="15" customHeight="1" x14ac:dyDescent="0.2"/>
    <row r="6" spans="1:48" s="131" customFormat="1" ht="15" customHeight="1" x14ac:dyDescent="0.2">
      <c r="A6" s="206"/>
      <c r="B6" s="206"/>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c r="AE6" s="206"/>
      <c r="AF6" s="206"/>
      <c r="AG6" s="206"/>
      <c r="AH6" s="206"/>
      <c r="AI6" s="206"/>
      <c r="AJ6" s="206"/>
      <c r="AK6" s="206"/>
      <c r="AL6" s="206"/>
      <c r="AM6" s="206"/>
      <c r="AN6" s="206"/>
      <c r="AO6" s="206"/>
      <c r="AP6" s="206"/>
      <c r="AQ6" s="206"/>
      <c r="AR6" s="206"/>
      <c r="AS6" s="206"/>
      <c r="AT6" s="206"/>
      <c r="AU6" s="206"/>
      <c r="AV6" s="206"/>
    </row>
    <row r="7" spans="1:48" ht="15" customHeight="1" x14ac:dyDescent="0.25">
      <c r="A7" s="76" t="s">
        <v>802</v>
      </c>
      <c r="B7" s="75"/>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row>
    <row r="8" spans="1:48" ht="15" customHeight="1" x14ac:dyDescent="0.2">
      <c r="A8" s="77" t="s">
        <v>21</v>
      </c>
      <c r="B8" s="75"/>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row>
    <row r="9" spans="1:48" ht="15" customHeight="1" x14ac:dyDescent="0.2">
      <c r="A9" s="75"/>
      <c r="B9" s="207" t="s">
        <v>34</v>
      </c>
      <c r="C9" s="510">
        <v>2014</v>
      </c>
      <c r="D9" s="75"/>
      <c r="E9" s="75"/>
      <c r="F9" s="75"/>
      <c r="G9" s="75"/>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row>
    <row r="10" spans="1:48" ht="15" customHeight="1" x14ac:dyDescent="0.2">
      <c r="A10" s="81"/>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row>
    <row r="11" spans="1:48" ht="19.5" customHeight="1" x14ac:dyDescent="0.2">
      <c r="A11" s="208"/>
      <c r="B11" s="765" t="s">
        <v>289</v>
      </c>
      <c r="C11" s="689"/>
      <c r="D11" s="689"/>
      <c r="E11" s="689"/>
      <c r="F11" s="689"/>
      <c r="G11" s="689"/>
      <c r="H11" s="689"/>
      <c r="I11" s="689"/>
      <c r="J11" s="689"/>
      <c r="K11" s="689"/>
      <c r="L11" s="689"/>
      <c r="M11" s="689"/>
      <c r="N11" s="689"/>
      <c r="O11" s="765" t="s">
        <v>290</v>
      </c>
      <c r="P11" s="689"/>
      <c r="Q11" s="689"/>
      <c r="R11" s="689"/>
      <c r="S11" s="689"/>
      <c r="T11" s="689"/>
      <c r="U11" s="689"/>
      <c r="V11" s="689"/>
      <c r="W11" s="689"/>
      <c r="X11" s="689"/>
      <c r="Y11" s="689"/>
      <c r="Z11" s="690"/>
      <c r="AA11" s="689"/>
      <c r="AB11" s="766" t="s">
        <v>736</v>
      </c>
      <c r="AC11" s="767"/>
      <c r="AD11" s="767"/>
      <c r="AE11" s="767"/>
      <c r="AF11" s="767"/>
      <c r="AG11" s="767"/>
      <c r="AH11" s="690"/>
      <c r="AI11" s="765" t="s">
        <v>682</v>
      </c>
      <c r="AJ11" s="689"/>
      <c r="AK11" s="689"/>
      <c r="AL11" s="689"/>
      <c r="AM11" s="689"/>
      <c r="AN11" s="689"/>
      <c r="AO11" s="689"/>
      <c r="AP11" s="689"/>
      <c r="AQ11" s="689"/>
      <c r="AR11" s="689"/>
      <c r="AS11" s="689"/>
      <c r="AT11" s="690"/>
      <c r="AU11" s="1321"/>
      <c r="AV11" s="206"/>
    </row>
    <row r="12" spans="1:48" ht="15" customHeight="1" x14ac:dyDescent="0.2">
      <c r="A12" s="212"/>
      <c r="B12" s="769" t="s">
        <v>291</v>
      </c>
      <c r="C12" s="770"/>
      <c r="D12" s="770"/>
      <c r="E12" s="770"/>
      <c r="F12" s="770"/>
      <c r="G12" s="770"/>
      <c r="H12" s="770"/>
      <c r="I12" s="770"/>
      <c r="J12" s="770"/>
      <c r="K12" s="770"/>
      <c r="L12" s="770"/>
      <c r="M12" s="690"/>
      <c r="N12" s="1321"/>
      <c r="O12" s="769" t="s">
        <v>291</v>
      </c>
      <c r="P12" s="770"/>
      <c r="Q12" s="770"/>
      <c r="R12" s="770"/>
      <c r="S12" s="770"/>
      <c r="T12" s="770"/>
      <c r="U12" s="770"/>
      <c r="V12" s="770"/>
      <c r="W12" s="770"/>
      <c r="X12" s="770"/>
      <c r="Y12" s="770"/>
      <c r="Z12" s="690"/>
      <c r="AA12" s="770"/>
      <c r="AB12" s="771" t="s">
        <v>291</v>
      </c>
      <c r="AC12" s="772"/>
      <c r="AD12" s="772"/>
      <c r="AE12" s="772"/>
      <c r="AF12" s="772"/>
      <c r="AG12" s="772"/>
      <c r="AH12" s="690"/>
      <c r="AI12" s="769" t="s">
        <v>291</v>
      </c>
      <c r="AJ12" s="770"/>
      <c r="AK12" s="770"/>
      <c r="AL12" s="770"/>
      <c r="AM12" s="770"/>
      <c r="AN12" s="770"/>
      <c r="AO12" s="770"/>
      <c r="AP12" s="770"/>
      <c r="AQ12" s="770"/>
      <c r="AR12" s="770"/>
      <c r="AS12" s="770"/>
      <c r="AT12" s="690"/>
      <c r="AU12" s="1321"/>
      <c r="AV12" s="206"/>
    </row>
    <row r="13" spans="1:48" ht="43.5" customHeight="1" x14ac:dyDescent="0.2">
      <c r="A13" s="217" t="s">
        <v>800</v>
      </c>
      <c r="B13" s="1761" t="s">
        <v>292</v>
      </c>
      <c r="C13" s="1762"/>
      <c r="D13" s="1762" t="s">
        <v>293</v>
      </c>
      <c r="E13" s="1762"/>
      <c r="F13" s="1762" t="s">
        <v>294</v>
      </c>
      <c r="G13" s="1762"/>
      <c r="H13" s="1762" t="s">
        <v>681</v>
      </c>
      <c r="I13" s="1762"/>
      <c r="J13" s="1762" t="s">
        <v>295</v>
      </c>
      <c r="K13" s="1762"/>
      <c r="L13" s="774" t="s">
        <v>735</v>
      </c>
      <c r="M13" s="1759" t="s">
        <v>42</v>
      </c>
      <c r="N13" s="1760"/>
      <c r="O13" s="1761" t="s">
        <v>292</v>
      </c>
      <c r="P13" s="1762"/>
      <c r="Q13" s="1762" t="s">
        <v>293</v>
      </c>
      <c r="R13" s="1762"/>
      <c r="S13" s="1762" t="s">
        <v>294</v>
      </c>
      <c r="T13" s="1762"/>
      <c r="U13" s="1762" t="s">
        <v>681</v>
      </c>
      <c r="V13" s="1762"/>
      <c r="W13" s="1762" t="s">
        <v>295</v>
      </c>
      <c r="X13" s="1762"/>
      <c r="Y13" s="774" t="s">
        <v>735</v>
      </c>
      <c r="Z13" s="1765" t="s">
        <v>42</v>
      </c>
      <c r="AA13" s="1766"/>
      <c r="AB13" s="776" t="s">
        <v>292</v>
      </c>
      <c r="AC13" s="777" t="s">
        <v>293</v>
      </c>
      <c r="AD13" s="777" t="s">
        <v>294</v>
      </c>
      <c r="AE13" s="777" t="s">
        <v>681</v>
      </c>
      <c r="AF13" s="693" t="s">
        <v>295</v>
      </c>
      <c r="AG13" s="778" t="s">
        <v>735</v>
      </c>
      <c r="AH13" s="775" t="s">
        <v>42</v>
      </c>
      <c r="AI13" s="1761" t="s">
        <v>292</v>
      </c>
      <c r="AJ13" s="1762"/>
      <c r="AK13" s="1762" t="s">
        <v>293</v>
      </c>
      <c r="AL13" s="1762"/>
      <c r="AM13" s="1762" t="s">
        <v>294</v>
      </c>
      <c r="AN13" s="1762"/>
      <c r="AO13" s="1762" t="s">
        <v>681</v>
      </c>
      <c r="AP13" s="1762"/>
      <c r="AQ13" s="1762" t="s">
        <v>295</v>
      </c>
      <c r="AR13" s="1762"/>
      <c r="AS13" s="774" t="s">
        <v>735</v>
      </c>
      <c r="AT13" s="1763" t="s">
        <v>42</v>
      </c>
      <c r="AU13" s="1764"/>
      <c r="AV13" s="206"/>
    </row>
    <row r="14" spans="1:48" s="39" customFormat="1" ht="18" customHeight="1" x14ac:dyDescent="0.2">
      <c r="A14" s="779" t="s">
        <v>841</v>
      </c>
      <c r="B14" s="780">
        <f>SUM(B15:B20)</f>
        <v>470.45927089999998</v>
      </c>
      <c r="C14" s="781"/>
      <c r="D14" s="781">
        <f>SUM(D15:D20)</f>
        <v>342.15220800000003</v>
      </c>
      <c r="E14" s="781"/>
      <c r="F14" s="781">
        <f>SUM(F15:F20)</f>
        <v>6843.0438200000008</v>
      </c>
      <c r="G14" s="784"/>
      <c r="H14" s="784">
        <f>SUM(H15:H20)</f>
        <v>135.43524690000001</v>
      </c>
      <c r="I14" s="784"/>
      <c r="J14" s="782">
        <f>SUM(J15:J20)</f>
        <v>548.86915299999998</v>
      </c>
      <c r="K14" s="1313"/>
      <c r="L14" s="1322"/>
      <c r="M14" s="1313">
        <f>SUM(L14,J14,H14,F14,D14,B14)</f>
        <v>8339.9596988000012</v>
      </c>
      <c r="N14" s="1327"/>
      <c r="O14" s="780">
        <f>SUM(O15:O20)</f>
        <v>142.56341789999999</v>
      </c>
      <c r="P14" s="781"/>
      <c r="Q14" s="781">
        <f>SUM(Q15:Q20)</f>
        <v>156.81975979999999</v>
      </c>
      <c r="R14" s="781"/>
      <c r="S14" s="781">
        <f>SUM(S15:S20)</f>
        <v>1218.9172149999999</v>
      </c>
      <c r="T14" s="784"/>
      <c r="U14" s="784">
        <f>SUM(U15:U20)</f>
        <v>35.640854900000001</v>
      </c>
      <c r="V14" s="784"/>
      <c r="W14" s="782">
        <f>SUM(W15:W20)</f>
        <v>99.794391899999994</v>
      </c>
      <c r="X14" s="1313"/>
      <c r="Y14" s="1322"/>
      <c r="Z14" s="1313">
        <f>SUM(W14,U14,S14,Q14,O14)</f>
        <v>1653.7356394999997</v>
      </c>
      <c r="AA14" s="1327"/>
      <c r="AB14" s="785"/>
      <c r="AC14" s="786"/>
      <c r="AD14" s="786"/>
      <c r="AE14" s="787"/>
      <c r="AF14" s="788"/>
      <c r="AG14" s="789"/>
      <c r="AH14" s="783"/>
      <c r="AI14" s="780">
        <f>SUM(AI15:AI20)</f>
        <v>613.02270599999997</v>
      </c>
      <c r="AJ14" s="781"/>
      <c r="AK14" s="781">
        <f>SUM(AK15:AK20)</f>
        <v>498.97196600000007</v>
      </c>
      <c r="AL14" s="781"/>
      <c r="AM14" s="781">
        <f>SUM(AM15:AM20)</f>
        <v>8061.9620299999997</v>
      </c>
      <c r="AN14" s="784"/>
      <c r="AO14" s="784">
        <f>SUM(AO15:AO20)</f>
        <v>171.0761019</v>
      </c>
      <c r="AP14" s="784"/>
      <c r="AQ14" s="782">
        <f>SUM(AQ15:AQ20)</f>
        <v>648.66355999999996</v>
      </c>
      <c r="AR14" s="1313"/>
      <c r="AS14" s="1322"/>
      <c r="AT14" s="1313">
        <f>SUM(AQ14,AO14,AM14,AK14,AI14)</f>
        <v>9993.6963638999987</v>
      </c>
      <c r="AU14" s="1327"/>
      <c r="AV14" s="206"/>
    </row>
    <row r="15" spans="1:48" ht="15" customHeight="1" x14ac:dyDescent="0.2">
      <c r="A15" s="215" t="s">
        <v>236</v>
      </c>
      <c r="B15" s="790">
        <v>185.33243999999999</v>
      </c>
      <c r="C15" s="791"/>
      <c r="D15" s="791">
        <v>64.153537999999998</v>
      </c>
      <c r="E15" s="791"/>
      <c r="F15" s="791">
        <v>2637.4229999999998</v>
      </c>
      <c r="G15" s="794"/>
      <c r="H15" s="794">
        <v>49.897196000000001</v>
      </c>
      <c r="I15" s="794"/>
      <c r="J15" s="792">
        <v>249.48598000000001</v>
      </c>
      <c r="K15" s="1314"/>
      <c r="L15" s="1323"/>
      <c r="M15" s="1314">
        <f t="shared" ref="M15:M20" si="0">SUM(L15,J15,H15,F15,D15,B15)</f>
        <v>3186.2921539999998</v>
      </c>
      <c r="N15" s="1328"/>
      <c r="O15" s="790">
        <v>21.384512999999998</v>
      </c>
      <c r="P15" s="791"/>
      <c r="Q15" s="791">
        <v>7.1281708999999998</v>
      </c>
      <c r="R15" s="791"/>
      <c r="S15" s="791">
        <v>270.87049400000001</v>
      </c>
      <c r="T15" s="794"/>
      <c r="U15" s="794">
        <v>7.1281708999999998</v>
      </c>
      <c r="V15" s="794"/>
      <c r="W15" s="792">
        <v>21.384512999999998</v>
      </c>
      <c r="X15" s="1314"/>
      <c r="Y15" s="1323"/>
      <c r="Z15" s="1314">
        <f t="shared" ref="Z15:Z20" si="1">SUM(W15,U15,S15,Q15,O15)</f>
        <v>327.89586180000003</v>
      </c>
      <c r="AA15" s="1328"/>
      <c r="AB15" s="795"/>
      <c r="AC15" s="796"/>
      <c r="AD15" s="796"/>
      <c r="AE15" s="797"/>
      <c r="AF15" s="798"/>
      <c r="AG15" s="799"/>
      <c r="AH15" s="793"/>
      <c r="AI15" s="790">
        <v>206.71696</v>
      </c>
      <c r="AJ15" s="791"/>
      <c r="AK15" s="791">
        <v>71.281709000000006</v>
      </c>
      <c r="AL15" s="791"/>
      <c r="AM15" s="791">
        <v>2908.2939999999999</v>
      </c>
      <c r="AN15" s="794"/>
      <c r="AO15" s="794">
        <v>57.025367000000003</v>
      </c>
      <c r="AP15" s="794"/>
      <c r="AQ15" s="792">
        <v>270.87049400000001</v>
      </c>
      <c r="AR15" s="1314"/>
      <c r="AS15" s="1323"/>
      <c r="AT15" s="1314">
        <f t="shared" ref="AT15:AT20" si="2">SUM(AQ15,AO15,AM15,AK15,AI15)</f>
        <v>3514.1885299999999</v>
      </c>
      <c r="AU15" s="1328"/>
      <c r="AV15" s="206"/>
    </row>
    <row r="16" spans="1:48" ht="15" customHeight="1" x14ac:dyDescent="0.2">
      <c r="A16" s="215" t="s">
        <v>237</v>
      </c>
      <c r="B16" s="790">
        <v>114.05073</v>
      </c>
      <c r="C16" s="791"/>
      <c r="D16" s="791">
        <v>14.256342</v>
      </c>
      <c r="E16" s="791"/>
      <c r="F16" s="791">
        <v>1097.7380000000001</v>
      </c>
      <c r="G16" s="794"/>
      <c r="H16" s="794">
        <v>21.384512999999998</v>
      </c>
      <c r="I16" s="794"/>
      <c r="J16" s="792">
        <v>35.640853999999997</v>
      </c>
      <c r="K16" s="1314"/>
      <c r="L16" s="1323"/>
      <c r="M16" s="1314">
        <f t="shared" si="0"/>
        <v>1283.0704389999999</v>
      </c>
      <c r="N16" s="1328"/>
      <c r="O16" s="790">
        <v>42.769024999999999</v>
      </c>
      <c r="P16" s="791"/>
      <c r="Q16" s="791">
        <v>35.640853999999997</v>
      </c>
      <c r="R16" s="791"/>
      <c r="S16" s="791">
        <v>178.20427000000001</v>
      </c>
      <c r="T16" s="794"/>
      <c r="U16" s="794">
        <v>0</v>
      </c>
      <c r="V16" s="794"/>
      <c r="W16" s="792">
        <v>0</v>
      </c>
      <c r="X16" s="1314"/>
      <c r="Y16" s="1323"/>
      <c r="Z16" s="1314">
        <f t="shared" si="1"/>
        <v>256.614149</v>
      </c>
      <c r="AA16" s="1328"/>
      <c r="AB16" s="795"/>
      <c r="AC16" s="796"/>
      <c r="AD16" s="796"/>
      <c r="AE16" s="797"/>
      <c r="AF16" s="798"/>
      <c r="AG16" s="799"/>
      <c r="AH16" s="793"/>
      <c r="AI16" s="790">
        <v>156.81976</v>
      </c>
      <c r="AJ16" s="791"/>
      <c r="AK16" s="791">
        <v>49.897196000000001</v>
      </c>
      <c r="AL16" s="791"/>
      <c r="AM16" s="791">
        <v>1275.943</v>
      </c>
      <c r="AN16" s="794"/>
      <c r="AO16" s="794">
        <v>21.384512999999998</v>
      </c>
      <c r="AP16" s="794"/>
      <c r="AQ16" s="792">
        <v>35.640853999999997</v>
      </c>
      <c r="AR16" s="1314"/>
      <c r="AS16" s="1323"/>
      <c r="AT16" s="1314">
        <f t="shared" si="2"/>
        <v>1539.6853229999999</v>
      </c>
      <c r="AU16" s="1328"/>
      <c r="AV16" s="206"/>
    </row>
    <row r="17" spans="1:48" ht="15" customHeight="1" x14ac:dyDescent="0.2">
      <c r="A17" s="215" t="s">
        <v>238</v>
      </c>
      <c r="B17" s="790">
        <v>57.025367000000003</v>
      </c>
      <c r="C17" s="791"/>
      <c r="D17" s="791">
        <v>57.025367000000003</v>
      </c>
      <c r="E17" s="791"/>
      <c r="F17" s="791">
        <v>712.81709000000001</v>
      </c>
      <c r="G17" s="794"/>
      <c r="H17" s="794">
        <v>0</v>
      </c>
      <c r="I17" s="794"/>
      <c r="J17" s="792">
        <v>42.769024999999999</v>
      </c>
      <c r="K17" s="1314"/>
      <c r="L17" s="1323"/>
      <c r="M17" s="1314">
        <f t="shared" si="0"/>
        <v>869.63684899999998</v>
      </c>
      <c r="N17" s="1328"/>
      <c r="O17" s="790">
        <v>7.1281708999999998</v>
      </c>
      <c r="P17" s="791"/>
      <c r="Q17" s="791">
        <v>7.1281708999999998</v>
      </c>
      <c r="R17" s="791"/>
      <c r="S17" s="791">
        <v>71.281709000000006</v>
      </c>
      <c r="T17" s="794"/>
      <c r="U17" s="794">
        <v>0</v>
      </c>
      <c r="V17" s="794"/>
      <c r="W17" s="792">
        <v>0</v>
      </c>
      <c r="X17" s="1314"/>
      <c r="Y17" s="1323"/>
      <c r="Z17" s="1314">
        <f t="shared" si="1"/>
        <v>85.538050800000008</v>
      </c>
      <c r="AA17" s="1328"/>
      <c r="AB17" s="795"/>
      <c r="AC17" s="796"/>
      <c r="AD17" s="796"/>
      <c r="AE17" s="797"/>
      <c r="AF17" s="798"/>
      <c r="AG17" s="799"/>
      <c r="AH17" s="793"/>
      <c r="AI17" s="790">
        <v>64.153537999999998</v>
      </c>
      <c r="AJ17" s="791"/>
      <c r="AK17" s="791">
        <v>64.153537999999998</v>
      </c>
      <c r="AL17" s="791"/>
      <c r="AM17" s="791">
        <v>784.09879999999998</v>
      </c>
      <c r="AN17" s="794"/>
      <c r="AO17" s="794">
        <v>0</v>
      </c>
      <c r="AP17" s="794"/>
      <c r="AQ17" s="792">
        <v>42.769024999999999</v>
      </c>
      <c r="AR17" s="1314"/>
      <c r="AS17" s="1323"/>
      <c r="AT17" s="1314">
        <f t="shared" si="2"/>
        <v>955.17490100000009</v>
      </c>
      <c r="AU17" s="1328"/>
      <c r="AV17" s="206"/>
    </row>
    <row r="18" spans="1:48" ht="15" customHeight="1" x14ac:dyDescent="0.2">
      <c r="A18" s="215" t="s">
        <v>239</v>
      </c>
      <c r="B18" s="790">
        <v>35.640853999999997</v>
      </c>
      <c r="C18" s="791"/>
      <c r="D18" s="791">
        <v>57.025367000000003</v>
      </c>
      <c r="E18" s="791"/>
      <c r="F18" s="791">
        <v>349.28037</v>
      </c>
      <c r="G18" s="794"/>
      <c r="H18" s="794">
        <v>7.1281708999999998</v>
      </c>
      <c r="I18" s="794"/>
      <c r="J18" s="792">
        <v>114.05073</v>
      </c>
      <c r="K18" s="1314"/>
      <c r="L18" s="1323"/>
      <c r="M18" s="1314">
        <f t="shared" si="0"/>
        <v>563.12549189999993</v>
      </c>
      <c r="N18" s="1328"/>
      <c r="O18" s="790">
        <v>0</v>
      </c>
      <c r="P18" s="791"/>
      <c r="Q18" s="791">
        <v>0</v>
      </c>
      <c r="R18" s="791"/>
      <c r="S18" s="791">
        <v>14.256342</v>
      </c>
      <c r="T18" s="794"/>
      <c r="U18" s="794">
        <v>0</v>
      </c>
      <c r="V18" s="794"/>
      <c r="W18" s="792">
        <v>7.1281708999999998</v>
      </c>
      <c r="X18" s="1314"/>
      <c r="Y18" s="1323"/>
      <c r="Z18" s="1314">
        <f t="shared" si="1"/>
        <v>21.384512900000001</v>
      </c>
      <c r="AA18" s="1328"/>
      <c r="AB18" s="795"/>
      <c r="AC18" s="796"/>
      <c r="AD18" s="796"/>
      <c r="AE18" s="797"/>
      <c r="AF18" s="798"/>
      <c r="AG18" s="799"/>
      <c r="AH18" s="793"/>
      <c r="AI18" s="790">
        <v>35.640853999999997</v>
      </c>
      <c r="AJ18" s="791"/>
      <c r="AK18" s="791">
        <v>57.025367000000003</v>
      </c>
      <c r="AL18" s="791"/>
      <c r="AM18" s="791">
        <v>363.53672</v>
      </c>
      <c r="AN18" s="794"/>
      <c r="AO18" s="794">
        <v>7.1281708999999998</v>
      </c>
      <c r="AP18" s="794"/>
      <c r="AQ18" s="792">
        <v>121.17891</v>
      </c>
      <c r="AR18" s="1314"/>
      <c r="AS18" s="1323"/>
      <c r="AT18" s="1314">
        <f t="shared" si="2"/>
        <v>584.51002189999997</v>
      </c>
      <c r="AU18" s="1328"/>
      <c r="AV18" s="206"/>
    </row>
    <row r="19" spans="1:48" ht="15" customHeight="1" x14ac:dyDescent="0.2">
      <c r="A19" s="215" t="s">
        <v>240</v>
      </c>
      <c r="B19" s="790">
        <v>71.281709000000006</v>
      </c>
      <c r="C19" s="791"/>
      <c r="D19" s="791">
        <v>121.17891</v>
      </c>
      <c r="E19" s="791"/>
      <c r="F19" s="791">
        <v>1447.019</v>
      </c>
      <c r="G19" s="794"/>
      <c r="H19" s="794">
        <v>21.384512999999998</v>
      </c>
      <c r="I19" s="794"/>
      <c r="J19" s="792">
        <v>85.538050999999996</v>
      </c>
      <c r="K19" s="1314"/>
      <c r="L19" s="1323"/>
      <c r="M19" s="1314">
        <f t="shared" si="0"/>
        <v>1746.4021830000002</v>
      </c>
      <c r="N19" s="1328"/>
      <c r="O19" s="790">
        <v>49.897196000000001</v>
      </c>
      <c r="P19" s="791"/>
      <c r="Q19" s="791">
        <v>85.538050999999996</v>
      </c>
      <c r="R19" s="791"/>
      <c r="S19" s="791">
        <v>427.69024999999999</v>
      </c>
      <c r="T19" s="794"/>
      <c r="U19" s="794">
        <v>0</v>
      </c>
      <c r="V19" s="794"/>
      <c r="W19" s="792">
        <v>35.640853999999997</v>
      </c>
      <c r="X19" s="1314"/>
      <c r="Y19" s="1323"/>
      <c r="Z19" s="1314">
        <f t="shared" si="1"/>
        <v>598.76635099999999</v>
      </c>
      <c r="AA19" s="1328"/>
      <c r="AB19" s="795"/>
      <c r="AC19" s="796"/>
      <c r="AD19" s="796"/>
      <c r="AE19" s="797"/>
      <c r="AF19" s="798"/>
      <c r="AG19" s="799"/>
      <c r="AH19" s="793"/>
      <c r="AI19" s="790">
        <v>121.17891</v>
      </c>
      <c r="AJ19" s="791"/>
      <c r="AK19" s="791">
        <v>206.71696</v>
      </c>
      <c r="AL19" s="791"/>
      <c r="AM19" s="791">
        <v>1874.7090000000001</v>
      </c>
      <c r="AN19" s="794"/>
      <c r="AO19" s="794">
        <v>21.384512999999998</v>
      </c>
      <c r="AP19" s="794"/>
      <c r="AQ19" s="792">
        <v>121.17891</v>
      </c>
      <c r="AR19" s="1314"/>
      <c r="AS19" s="1323"/>
      <c r="AT19" s="1314">
        <f t="shared" si="2"/>
        <v>2345.1682930000002</v>
      </c>
      <c r="AU19" s="1328"/>
      <c r="AV19" s="206"/>
    </row>
    <row r="20" spans="1:48" ht="15" customHeight="1" x14ac:dyDescent="0.2">
      <c r="A20" s="215" t="s">
        <v>241</v>
      </c>
      <c r="B20" s="790">
        <v>7.1281708999999998</v>
      </c>
      <c r="C20" s="791"/>
      <c r="D20" s="791">
        <v>28.512684</v>
      </c>
      <c r="E20" s="791"/>
      <c r="F20" s="791">
        <v>598.76635999999996</v>
      </c>
      <c r="G20" s="794"/>
      <c r="H20" s="794">
        <v>35.640853999999997</v>
      </c>
      <c r="I20" s="794"/>
      <c r="J20" s="792">
        <v>21.384512999999998</v>
      </c>
      <c r="K20" s="1314"/>
      <c r="L20" s="1323"/>
      <c r="M20" s="1314">
        <f t="shared" si="0"/>
        <v>691.43258189999995</v>
      </c>
      <c r="N20" s="1328"/>
      <c r="O20" s="790">
        <v>21.384512999999998</v>
      </c>
      <c r="P20" s="791"/>
      <c r="Q20" s="791">
        <v>21.384512999999998</v>
      </c>
      <c r="R20" s="791"/>
      <c r="S20" s="791">
        <v>256.61415</v>
      </c>
      <c r="T20" s="794"/>
      <c r="U20" s="794">
        <v>28.512684</v>
      </c>
      <c r="V20" s="794"/>
      <c r="W20" s="792">
        <v>35.640853999999997</v>
      </c>
      <c r="X20" s="1314"/>
      <c r="Y20" s="1323"/>
      <c r="Z20" s="1314">
        <f t="shared" si="1"/>
        <v>363.53671399999996</v>
      </c>
      <c r="AA20" s="1328"/>
      <c r="AB20" s="795"/>
      <c r="AC20" s="796"/>
      <c r="AD20" s="796"/>
      <c r="AE20" s="797"/>
      <c r="AF20" s="798"/>
      <c r="AG20" s="799"/>
      <c r="AH20" s="793"/>
      <c r="AI20" s="790">
        <v>28.512684</v>
      </c>
      <c r="AJ20" s="791"/>
      <c r="AK20" s="791">
        <v>49.897196000000001</v>
      </c>
      <c r="AL20" s="791"/>
      <c r="AM20" s="791">
        <v>855.38050999999996</v>
      </c>
      <c r="AN20" s="794"/>
      <c r="AO20" s="794">
        <v>64.153537999999998</v>
      </c>
      <c r="AP20" s="794"/>
      <c r="AQ20" s="792">
        <v>57.025367000000003</v>
      </c>
      <c r="AR20" s="1314"/>
      <c r="AS20" s="1323"/>
      <c r="AT20" s="1314">
        <f t="shared" si="2"/>
        <v>1054.9692949999999</v>
      </c>
      <c r="AU20" s="1328"/>
      <c r="AV20" s="206"/>
    </row>
    <row r="21" spans="1:48" ht="15" customHeight="1" x14ac:dyDescent="0.2">
      <c r="A21" s="216" t="s">
        <v>242</v>
      </c>
      <c r="B21" s="790"/>
      <c r="C21" s="791"/>
      <c r="D21" s="791"/>
      <c r="E21" s="791"/>
      <c r="F21" s="791"/>
      <c r="G21" s="794"/>
      <c r="H21" s="794"/>
      <c r="I21" s="794"/>
      <c r="J21" s="792"/>
      <c r="K21" s="1314"/>
      <c r="L21" s="1323"/>
      <c r="M21" s="1314"/>
      <c r="N21" s="1328"/>
      <c r="O21" s="790"/>
      <c r="P21" s="791"/>
      <c r="Q21" s="791"/>
      <c r="R21" s="791"/>
      <c r="S21" s="791"/>
      <c r="T21" s="794"/>
      <c r="U21" s="794"/>
      <c r="V21" s="794"/>
      <c r="W21" s="792"/>
      <c r="X21" s="1314"/>
      <c r="Y21" s="1323"/>
      <c r="Z21" s="1314"/>
      <c r="AA21" s="1328"/>
      <c r="AB21" s="795"/>
      <c r="AC21" s="796"/>
      <c r="AD21" s="796"/>
      <c r="AE21" s="797"/>
      <c r="AF21" s="798"/>
      <c r="AG21" s="799"/>
      <c r="AH21" s="793"/>
      <c r="AI21" s="790"/>
      <c r="AJ21" s="791"/>
      <c r="AK21" s="791"/>
      <c r="AL21" s="791"/>
      <c r="AM21" s="791"/>
      <c r="AN21" s="794"/>
      <c r="AO21" s="794"/>
      <c r="AP21" s="794"/>
      <c r="AQ21" s="792"/>
      <c r="AR21" s="1314"/>
      <c r="AS21" s="1323"/>
      <c r="AT21" s="1314"/>
      <c r="AU21" s="1328"/>
      <c r="AV21" s="206"/>
    </row>
    <row r="22" spans="1:48" ht="25.5" x14ac:dyDescent="0.2">
      <c r="A22" s="218" t="s">
        <v>297</v>
      </c>
      <c r="B22" s="803">
        <f>SUM(B23:B28)</f>
        <v>306.51134489999998</v>
      </c>
      <c r="C22" s="804"/>
      <c r="D22" s="804">
        <f>SUM(D23:D28)</f>
        <v>263.74232289999998</v>
      </c>
      <c r="E22" s="804"/>
      <c r="F22" s="804">
        <f>SUM(F23:F28)</f>
        <v>4562.0294320000003</v>
      </c>
      <c r="G22" s="807"/>
      <c r="H22" s="807">
        <f>SUM(H23:H28)</f>
        <v>114.05073490000001</v>
      </c>
      <c r="I22" s="807"/>
      <c r="J22" s="805">
        <f>SUM(J23:J28)</f>
        <v>292.25500679999999</v>
      </c>
      <c r="K22" s="1315"/>
      <c r="L22" s="1324"/>
      <c r="M22" s="1315">
        <f>SUM(J22,H22,F22,D22,B22)</f>
        <v>5538.5888414999999</v>
      </c>
      <c r="N22" s="1329"/>
      <c r="O22" s="803">
        <f>SUM(O23:O28)</f>
        <v>92.666221899999996</v>
      </c>
      <c r="P22" s="804"/>
      <c r="Q22" s="804">
        <f>SUM(Q23:Q28)</f>
        <v>92.666221899999996</v>
      </c>
      <c r="R22" s="804"/>
      <c r="S22" s="804">
        <f>SUM(S23:S28)</f>
        <v>712.81709690000002</v>
      </c>
      <c r="T22" s="807"/>
      <c r="U22" s="807">
        <f>SUM(U23:U28)</f>
        <v>28.512683899999999</v>
      </c>
      <c r="V22" s="807"/>
      <c r="W22" s="805">
        <f>SUM(W23:W28)</f>
        <v>71.281709899999996</v>
      </c>
      <c r="X22" s="1315"/>
      <c r="Y22" s="1324"/>
      <c r="Z22" s="1315">
        <f>SUM(W22,U22,S22,Q22,O22)</f>
        <v>997.94393449999995</v>
      </c>
      <c r="AA22" s="1329"/>
      <c r="AB22" s="808"/>
      <c r="AC22" s="809"/>
      <c r="AD22" s="809"/>
      <c r="AE22" s="810"/>
      <c r="AF22" s="811"/>
      <c r="AG22" s="812"/>
      <c r="AH22" s="806"/>
      <c r="AI22" s="803">
        <f>SUM(AI23:AI28)</f>
        <v>399.17757200000005</v>
      </c>
      <c r="AJ22" s="804"/>
      <c r="AK22" s="804">
        <f>SUM(AK23:AK28)</f>
        <v>356.408545</v>
      </c>
      <c r="AL22" s="804"/>
      <c r="AM22" s="804">
        <f>SUM(AM23:AM28)</f>
        <v>5274.8471</v>
      </c>
      <c r="AN22" s="807"/>
      <c r="AO22" s="807">
        <f>SUM(AO23:AO28)</f>
        <v>142.56341789999999</v>
      </c>
      <c r="AP22" s="807"/>
      <c r="AQ22" s="805">
        <f>SUM(AQ23:AQ28)</f>
        <v>363.53671279999998</v>
      </c>
      <c r="AR22" s="1315"/>
      <c r="AS22" s="1324"/>
      <c r="AT22" s="1315">
        <f>SUM(AQ22,AO22,AM22,AK22,AI22)</f>
        <v>6536.5333477000004</v>
      </c>
      <c r="AU22" s="1329"/>
      <c r="AV22" s="206"/>
    </row>
    <row r="23" spans="1:48" ht="15" customHeight="1" x14ac:dyDescent="0.2">
      <c r="A23" s="219" t="s">
        <v>236</v>
      </c>
      <c r="B23" s="790">
        <v>114.05073</v>
      </c>
      <c r="C23" s="791"/>
      <c r="D23" s="791">
        <v>64.153537999999998</v>
      </c>
      <c r="E23" s="791"/>
      <c r="F23" s="791">
        <v>1874.7090000000001</v>
      </c>
      <c r="G23" s="794"/>
      <c r="H23" s="794">
        <v>42.769024999999999</v>
      </c>
      <c r="I23" s="794"/>
      <c r="J23" s="792">
        <v>156.81976</v>
      </c>
      <c r="K23" s="1314"/>
      <c r="L23" s="1323"/>
      <c r="M23" s="1314">
        <f t="shared" ref="M23:M28" si="3">SUM(J23,H23,F23,D23,B23)</f>
        <v>2252.5020530000002</v>
      </c>
      <c r="N23" s="1328"/>
      <c r="O23" s="790">
        <v>7.1281708999999998</v>
      </c>
      <c r="P23" s="791"/>
      <c r="Q23" s="791">
        <v>7.1281708999999998</v>
      </c>
      <c r="R23" s="791"/>
      <c r="S23" s="791">
        <v>149.69158999999999</v>
      </c>
      <c r="T23" s="794"/>
      <c r="U23" s="794">
        <v>7.1281708999999998</v>
      </c>
      <c r="V23" s="794"/>
      <c r="W23" s="792">
        <v>21.384512999999998</v>
      </c>
      <c r="X23" s="1314"/>
      <c r="Y23" s="1323"/>
      <c r="Z23" s="1314">
        <f t="shared" ref="Z23:Z28" si="4">SUM(W23,U23,S23,Q23,O23)</f>
        <v>192.46061569999995</v>
      </c>
      <c r="AA23" s="1328"/>
      <c r="AB23" s="795"/>
      <c r="AC23" s="796"/>
      <c r="AD23" s="796"/>
      <c r="AE23" s="797"/>
      <c r="AF23" s="798"/>
      <c r="AG23" s="799"/>
      <c r="AH23" s="793"/>
      <c r="AI23" s="790">
        <v>121.17891</v>
      </c>
      <c r="AJ23" s="791"/>
      <c r="AK23" s="791">
        <v>71.281709000000006</v>
      </c>
      <c r="AL23" s="791"/>
      <c r="AM23" s="791">
        <v>2024.4010000000001</v>
      </c>
      <c r="AN23" s="794"/>
      <c r="AO23" s="794">
        <v>49.897196000000001</v>
      </c>
      <c r="AP23" s="794"/>
      <c r="AQ23" s="792">
        <v>178.20427000000001</v>
      </c>
      <c r="AR23" s="1314"/>
      <c r="AS23" s="1323"/>
      <c r="AT23" s="1314">
        <f t="shared" ref="AT23:AT28" si="5">SUM(AQ23,AO23,AM23,AK23,AI23)</f>
        <v>2444.9630849999999</v>
      </c>
      <c r="AU23" s="1328"/>
      <c r="AV23" s="206"/>
    </row>
    <row r="24" spans="1:48" ht="15" customHeight="1" x14ac:dyDescent="0.2">
      <c r="A24" s="219" t="s">
        <v>237</v>
      </c>
      <c r="B24" s="815">
        <v>85.538050999999996</v>
      </c>
      <c r="C24" s="816"/>
      <c r="D24" s="816">
        <v>7.1281708999999998</v>
      </c>
      <c r="E24" s="816"/>
      <c r="F24" s="816">
        <v>841.12417000000005</v>
      </c>
      <c r="G24" s="819"/>
      <c r="H24" s="819">
        <v>14.256342</v>
      </c>
      <c r="I24" s="819"/>
      <c r="J24" s="817">
        <v>7.1281708999999998</v>
      </c>
      <c r="K24" s="1316"/>
      <c r="L24" s="1325"/>
      <c r="M24" s="1316">
        <f t="shared" si="3"/>
        <v>955.17490480000004</v>
      </c>
      <c r="N24" s="1330"/>
      <c r="O24" s="815">
        <v>28.512684</v>
      </c>
      <c r="P24" s="816"/>
      <c r="Q24" s="816">
        <v>21.384512999999998</v>
      </c>
      <c r="R24" s="816"/>
      <c r="S24" s="816">
        <v>128.30708000000001</v>
      </c>
      <c r="T24" s="819"/>
      <c r="U24" s="819">
        <v>0</v>
      </c>
      <c r="V24" s="819"/>
      <c r="W24" s="817">
        <v>0</v>
      </c>
      <c r="X24" s="1316"/>
      <c r="Y24" s="1325"/>
      <c r="Z24" s="1316">
        <f t="shared" si="4"/>
        <v>178.20427700000002</v>
      </c>
      <c r="AA24" s="1330"/>
      <c r="AB24" s="820"/>
      <c r="AC24" s="821"/>
      <c r="AD24" s="821"/>
      <c r="AE24" s="822"/>
      <c r="AF24" s="823"/>
      <c r="AG24" s="824"/>
      <c r="AH24" s="818"/>
      <c r="AI24" s="815">
        <v>114.05073</v>
      </c>
      <c r="AJ24" s="816"/>
      <c r="AK24" s="816">
        <v>28.512684</v>
      </c>
      <c r="AL24" s="816"/>
      <c r="AM24" s="816">
        <v>969.43124</v>
      </c>
      <c r="AN24" s="819"/>
      <c r="AO24" s="819">
        <v>14.256342</v>
      </c>
      <c r="AP24" s="819"/>
      <c r="AQ24" s="817">
        <v>7.1281708999999998</v>
      </c>
      <c r="AR24" s="1316"/>
      <c r="AS24" s="1325"/>
      <c r="AT24" s="1316">
        <f t="shared" si="5"/>
        <v>1133.3791669</v>
      </c>
      <c r="AU24" s="1330"/>
      <c r="AV24" s="206"/>
    </row>
    <row r="25" spans="1:48" ht="15" customHeight="1" x14ac:dyDescent="0.2">
      <c r="A25" s="219" t="s">
        <v>238</v>
      </c>
      <c r="B25" s="815">
        <v>28.512684</v>
      </c>
      <c r="C25" s="816"/>
      <c r="D25" s="816">
        <v>42.769024999999999</v>
      </c>
      <c r="E25" s="816"/>
      <c r="F25" s="816">
        <v>399.17757</v>
      </c>
      <c r="G25" s="819"/>
      <c r="H25" s="819">
        <v>0</v>
      </c>
      <c r="I25" s="819"/>
      <c r="J25" s="817">
        <v>7.1281708999999998</v>
      </c>
      <c r="K25" s="1316"/>
      <c r="L25" s="1325"/>
      <c r="M25" s="1316">
        <f t="shared" si="3"/>
        <v>477.58744989999997</v>
      </c>
      <c r="N25" s="1330"/>
      <c r="O25" s="815">
        <v>0</v>
      </c>
      <c r="P25" s="816"/>
      <c r="Q25" s="816">
        <v>0</v>
      </c>
      <c r="R25" s="816"/>
      <c r="S25" s="816">
        <v>49.897196000000001</v>
      </c>
      <c r="T25" s="819"/>
      <c r="U25" s="819">
        <v>0</v>
      </c>
      <c r="V25" s="819"/>
      <c r="W25" s="817">
        <v>0</v>
      </c>
      <c r="X25" s="1316"/>
      <c r="Y25" s="1325"/>
      <c r="Z25" s="1316">
        <f t="shared" si="4"/>
        <v>49.897196000000001</v>
      </c>
      <c r="AA25" s="1330"/>
      <c r="AB25" s="820"/>
      <c r="AC25" s="821"/>
      <c r="AD25" s="821"/>
      <c r="AE25" s="822"/>
      <c r="AF25" s="823"/>
      <c r="AG25" s="824"/>
      <c r="AH25" s="818"/>
      <c r="AI25" s="815">
        <v>28.512684</v>
      </c>
      <c r="AJ25" s="816"/>
      <c r="AK25" s="816">
        <v>42.769024999999999</v>
      </c>
      <c r="AL25" s="816"/>
      <c r="AM25" s="816">
        <v>449.07477</v>
      </c>
      <c r="AN25" s="819"/>
      <c r="AO25" s="819">
        <v>0</v>
      </c>
      <c r="AP25" s="819"/>
      <c r="AQ25" s="817">
        <v>7.1281708999999998</v>
      </c>
      <c r="AR25" s="1316"/>
      <c r="AS25" s="1325"/>
      <c r="AT25" s="1316">
        <f t="shared" si="5"/>
        <v>527.48464990000002</v>
      </c>
      <c r="AU25" s="1330"/>
      <c r="AV25" s="206"/>
    </row>
    <row r="26" spans="1:48" ht="15" customHeight="1" x14ac:dyDescent="0.2">
      <c r="A26" s="219" t="s">
        <v>239</v>
      </c>
      <c r="B26" s="815">
        <v>21.384512999999998</v>
      </c>
      <c r="C26" s="816"/>
      <c r="D26" s="816">
        <v>35.640853999999997</v>
      </c>
      <c r="E26" s="816"/>
      <c r="F26" s="816">
        <v>242.35781</v>
      </c>
      <c r="G26" s="819"/>
      <c r="H26" s="819">
        <v>7.1281708999999998</v>
      </c>
      <c r="I26" s="819"/>
      <c r="J26" s="817">
        <v>71.281709000000006</v>
      </c>
      <c r="K26" s="1316"/>
      <c r="L26" s="1325"/>
      <c r="M26" s="1316">
        <f t="shared" si="3"/>
        <v>377.79305690000001</v>
      </c>
      <c r="N26" s="1330"/>
      <c r="O26" s="815">
        <v>0</v>
      </c>
      <c r="P26" s="816"/>
      <c r="Q26" s="816">
        <v>0</v>
      </c>
      <c r="R26" s="816"/>
      <c r="S26" s="816">
        <v>7.1281708999999998</v>
      </c>
      <c r="T26" s="819"/>
      <c r="U26" s="819">
        <v>0</v>
      </c>
      <c r="V26" s="819"/>
      <c r="W26" s="817">
        <v>7.1281708999999998</v>
      </c>
      <c r="X26" s="1316"/>
      <c r="Y26" s="1325"/>
      <c r="Z26" s="1316">
        <f t="shared" si="4"/>
        <v>14.2563418</v>
      </c>
      <c r="AA26" s="1330"/>
      <c r="AB26" s="820"/>
      <c r="AC26" s="821"/>
      <c r="AD26" s="821"/>
      <c r="AE26" s="822"/>
      <c r="AF26" s="823"/>
      <c r="AG26" s="824"/>
      <c r="AH26" s="818"/>
      <c r="AI26" s="815">
        <v>21.384512999999998</v>
      </c>
      <c r="AJ26" s="816"/>
      <c r="AK26" s="816">
        <v>35.640853999999997</v>
      </c>
      <c r="AL26" s="816"/>
      <c r="AM26" s="816">
        <v>249.48598000000001</v>
      </c>
      <c r="AN26" s="819"/>
      <c r="AO26" s="819">
        <v>7.1281708999999998</v>
      </c>
      <c r="AP26" s="819"/>
      <c r="AQ26" s="817">
        <v>78.409880000000001</v>
      </c>
      <c r="AR26" s="1316"/>
      <c r="AS26" s="1325"/>
      <c r="AT26" s="1316">
        <f t="shared" si="5"/>
        <v>392.04939790000003</v>
      </c>
      <c r="AU26" s="1330"/>
      <c r="AV26" s="206"/>
    </row>
    <row r="27" spans="1:48" ht="15" customHeight="1" x14ac:dyDescent="0.2">
      <c r="A27" s="219" t="s">
        <v>240</v>
      </c>
      <c r="B27" s="815">
        <v>49.897196000000001</v>
      </c>
      <c r="C27" s="816"/>
      <c r="D27" s="816">
        <v>92.666222000000005</v>
      </c>
      <c r="E27" s="816"/>
      <c r="F27" s="816">
        <v>869.63684999999998</v>
      </c>
      <c r="G27" s="819"/>
      <c r="H27" s="819">
        <v>21.384512999999998</v>
      </c>
      <c r="I27" s="819"/>
      <c r="J27" s="817">
        <v>35.640853999999997</v>
      </c>
      <c r="K27" s="1316"/>
      <c r="L27" s="1325"/>
      <c r="M27" s="1316">
        <f t="shared" si="3"/>
        <v>1069.2256349999998</v>
      </c>
      <c r="N27" s="1330"/>
      <c r="O27" s="815">
        <v>42.769024999999999</v>
      </c>
      <c r="P27" s="816"/>
      <c r="Q27" s="816">
        <v>64.153537999999998</v>
      </c>
      <c r="R27" s="816"/>
      <c r="S27" s="816">
        <v>249.48598000000001</v>
      </c>
      <c r="T27" s="819"/>
      <c r="U27" s="819">
        <v>0</v>
      </c>
      <c r="V27" s="819"/>
      <c r="W27" s="817">
        <v>21.384512999999998</v>
      </c>
      <c r="X27" s="1316"/>
      <c r="Y27" s="1325"/>
      <c r="Z27" s="1316">
        <f t="shared" si="4"/>
        <v>377.79305600000004</v>
      </c>
      <c r="AA27" s="1330"/>
      <c r="AB27" s="820"/>
      <c r="AC27" s="821"/>
      <c r="AD27" s="821"/>
      <c r="AE27" s="822"/>
      <c r="AF27" s="823"/>
      <c r="AG27" s="824"/>
      <c r="AH27" s="818"/>
      <c r="AI27" s="815">
        <v>92.666222000000005</v>
      </c>
      <c r="AJ27" s="816"/>
      <c r="AK27" s="816">
        <v>156.81976</v>
      </c>
      <c r="AL27" s="816"/>
      <c r="AM27" s="816">
        <v>1119.123</v>
      </c>
      <c r="AN27" s="819"/>
      <c r="AO27" s="819">
        <v>21.384512999999998</v>
      </c>
      <c r="AP27" s="819"/>
      <c r="AQ27" s="817">
        <v>57.025367000000003</v>
      </c>
      <c r="AR27" s="1316"/>
      <c r="AS27" s="1325"/>
      <c r="AT27" s="1316">
        <f t="shared" si="5"/>
        <v>1447.0188620000001</v>
      </c>
      <c r="AU27" s="1330"/>
      <c r="AV27" s="206"/>
    </row>
    <row r="28" spans="1:48" ht="15" customHeight="1" x14ac:dyDescent="0.2">
      <c r="A28" s="219" t="s">
        <v>241</v>
      </c>
      <c r="B28" s="815">
        <v>7.1281708999999998</v>
      </c>
      <c r="C28" s="816"/>
      <c r="D28" s="816">
        <v>21.384512999999998</v>
      </c>
      <c r="E28" s="816"/>
      <c r="F28" s="816">
        <v>335.02403199999998</v>
      </c>
      <c r="G28" s="819"/>
      <c r="H28" s="819">
        <v>28.512684</v>
      </c>
      <c r="I28" s="819"/>
      <c r="J28" s="817">
        <v>14.256342</v>
      </c>
      <c r="K28" s="1316"/>
      <c r="L28" s="1325"/>
      <c r="M28" s="1316">
        <f t="shared" si="3"/>
        <v>406.30574189999993</v>
      </c>
      <c r="N28" s="1330"/>
      <c r="O28" s="815">
        <v>14.256342</v>
      </c>
      <c r="P28" s="816"/>
      <c r="Q28" s="816">
        <v>0</v>
      </c>
      <c r="R28" s="816"/>
      <c r="S28" s="816">
        <v>128.30708000000001</v>
      </c>
      <c r="T28" s="819"/>
      <c r="U28" s="819">
        <v>21.384512999999998</v>
      </c>
      <c r="V28" s="819"/>
      <c r="W28" s="817">
        <v>21.384512999999998</v>
      </c>
      <c r="X28" s="1316"/>
      <c r="Y28" s="1325"/>
      <c r="Z28" s="1316">
        <f t="shared" si="4"/>
        <v>185.332448</v>
      </c>
      <c r="AA28" s="1330"/>
      <c r="AB28" s="820"/>
      <c r="AC28" s="821"/>
      <c r="AD28" s="821"/>
      <c r="AE28" s="822"/>
      <c r="AF28" s="823"/>
      <c r="AG28" s="824"/>
      <c r="AH28" s="818"/>
      <c r="AI28" s="815">
        <v>21.384512999999998</v>
      </c>
      <c r="AJ28" s="816"/>
      <c r="AK28" s="816">
        <v>21.384512999999998</v>
      </c>
      <c r="AL28" s="816"/>
      <c r="AM28" s="816">
        <v>463.33111000000002</v>
      </c>
      <c r="AN28" s="819"/>
      <c r="AO28" s="819">
        <v>49.897196000000001</v>
      </c>
      <c r="AP28" s="819"/>
      <c r="AQ28" s="817">
        <v>35.640853999999997</v>
      </c>
      <c r="AR28" s="1316"/>
      <c r="AS28" s="1325"/>
      <c r="AT28" s="1316">
        <f t="shared" si="5"/>
        <v>591.63818599999991</v>
      </c>
      <c r="AU28" s="1330"/>
      <c r="AV28" s="206"/>
    </row>
    <row r="29" spans="1:48" ht="15" customHeight="1" x14ac:dyDescent="0.2">
      <c r="A29" s="220" t="s">
        <v>242</v>
      </c>
      <c r="B29" s="827"/>
      <c r="C29" s="828"/>
      <c r="D29" s="828"/>
      <c r="E29" s="828"/>
      <c r="F29" s="828"/>
      <c r="G29" s="831"/>
      <c r="H29" s="831"/>
      <c r="I29" s="831"/>
      <c r="J29" s="829"/>
      <c r="K29" s="827"/>
      <c r="L29" s="1326"/>
      <c r="M29" s="827"/>
      <c r="N29" s="1331"/>
      <c r="O29" s="827"/>
      <c r="P29" s="828"/>
      <c r="Q29" s="828"/>
      <c r="R29" s="828"/>
      <c r="S29" s="828"/>
      <c r="T29" s="831"/>
      <c r="U29" s="831"/>
      <c r="V29" s="831"/>
      <c r="W29" s="829"/>
      <c r="X29" s="827"/>
      <c r="Y29" s="1326"/>
      <c r="Z29" s="827"/>
      <c r="AA29" s="1331"/>
      <c r="AB29" s="827"/>
      <c r="AC29" s="828"/>
      <c r="AD29" s="828"/>
      <c r="AE29" s="831"/>
      <c r="AF29" s="829"/>
      <c r="AG29" s="832"/>
      <c r="AH29" s="830"/>
      <c r="AI29" s="827"/>
      <c r="AJ29" s="828"/>
      <c r="AK29" s="828"/>
      <c r="AL29" s="828"/>
      <c r="AM29" s="828"/>
      <c r="AN29" s="831"/>
      <c r="AO29" s="831"/>
      <c r="AP29" s="831"/>
      <c r="AQ29" s="829"/>
      <c r="AR29" s="827"/>
      <c r="AS29" s="1326"/>
      <c r="AT29" s="827"/>
      <c r="AU29" s="1331"/>
      <c r="AV29" s="206"/>
    </row>
    <row r="30" spans="1:48" ht="25.5" x14ac:dyDescent="0.2">
      <c r="A30" s="218" t="s">
        <v>298</v>
      </c>
      <c r="B30" s="803">
        <f>SUM(B31:B36)</f>
        <v>163.94793200000001</v>
      </c>
      <c r="C30" s="804"/>
      <c r="D30" s="804">
        <f>SUM(D31:D37)</f>
        <v>78.40988080000001</v>
      </c>
      <c r="E30" s="804"/>
      <c r="F30" s="804">
        <f>SUM(F31:F36)</f>
        <v>2281.0146799999998</v>
      </c>
      <c r="G30" s="807"/>
      <c r="H30" s="807">
        <f>SUM(H31:H36)</f>
        <v>21.384512699999998</v>
      </c>
      <c r="I30" s="807"/>
      <c r="J30" s="805">
        <f>SUM(J31:J36)</f>
        <v>256.61415190000002</v>
      </c>
      <c r="K30" s="1315"/>
      <c r="L30" s="1324"/>
      <c r="M30" s="1315">
        <f>SUM(J30,H30,F30,D30,B30)</f>
        <v>2801.3711573999999</v>
      </c>
      <c r="N30" s="1329"/>
      <c r="O30" s="803">
        <f>SUM(O31:O36)</f>
        <v>49.897196700000002</v>
      </c>
      <c r="P30" s="804"/>
      <c r="Q30" s="804">
        <f>SUM(Q31:Q36)</f>
        <v>64.153538900000001</v>
      </c>
      <c r="R30" s="804"/>
      <c r="S30" s="804">
        <f>SUM(S31:S36)</f>
        <v>506.10013990000004</v>
      </c>
      <c r="T30" s="807"/>
      <c r="U30" s="807">
        <f>SUM(U31:U36)</f>
        <v>7.1281708999999998</v>
      </c>
      <c r="V30" s="807"/>
      <c r="W30" s="805">
        <f>SUM(W31:W36)</f>
        <v>28.512684</v>
      </c>
      <c r="X30" s="1315"/>
      <c r="Y30" s="1324"/>
      <c r="Z30" s="1315">
        <f>SUM(W30,U30,S30,Q30,O30)</f>
        <v>655.79173040000001</v>
      </c>
      <c r="AA30" s="1329"/>
      <c r="AB30" s="808"/>
      <c r="AC30" s="809"/>
      <c r="AD30" s="809"/>
      <c r="AE30" s="810"/>
      <c r="AF30" s="811"/>
      <c r="AG30" s="812"/>
      <c r="AH30" s="806"/>
      <c r="AI30" s="803">
        <f>SUM(AI31:AI36)</f>
        <v>213.84512689999997</v>
      </c>
      <c r="AJ30" s="804"/>
      <c r="AK30" s="804">
        <f>SUM(AK31:AK36)</f>
        <v>142.56341900000001</v>
      </c>
      <c r="AL30" s="804"/>
      <c r="AM30" s="804">
        <f>SUM(AM31:AM36)</f>
        <v>2787.1148119999998</v>
      </c>
      <c r="AN30" s="807"/>
      <c r="AO30" s="807">
        <f>SUM(AO31:AO36)</f>
        <v>28.512683799999998</v>
      </c>
      <c r="AP30" s="807"/>
      <c r="AQ30" s="805">
        <f>SUM(AQ31:AQ36)</f>
        <v>285.12683600000003</v>
      </c>
      <c r="AR30" s="1315"/>
      <c r="AS30" s="1324"/>
      <c r="AT30" s="1315">
        <f>SUM(AQ30,AO30,AM30,AK30,AI30)</f>
        <v>3457.1628776999996</v>
      </c>
      <c r="AU30" s="1329"/>
      <c r="AV30" s="206"/>
    </row>
    <row r="31" spans="1:48" ht="15" customHeight="1" x14ac:dyDescent="0.2">
      <c r="A31" s="219" t="s">
        <v>236</v>
      </c>
      <c r="B31" s="790">
        <v>71.281709000000006</v>
      </c>
      <c r="C31" s="791"/>
      <c r="D31" s="791">
        <v>0</v>
      </c>
      <c r="E31" s="791"/>
      <c r="F31" s="791">
        <v>762.71429000000001</v>
      </c>
      <c r="G31" s="794"/>
      <c r="H31" s="794">
        <v>7.1281708999999998</v>
      </c>
      <c r="I31" s="794"/>
      <c r="J31" s="792">
        <v>92.666222000000005</v>
      </c>
      <c r="K31" s="1314"/>
      <c r="L31" s="1323"/>
      <c r="M31" s="1314">
        <f t="shared" ref="M31:M36" si="6">SUM(J31,H31,F31,D31,B31)</f>
        <v>933.79039190000003</v>
      </c>
      <c r="N31" s="1328"/>
      <c r="O31" s="790">
        <v>14.256342</v>
      </c>
      <c r="P31" s="791"/>
      <c r="Q31" s="791">
        <v>0</v>
      </c>
      <c r="R31" s="791"/>
      <c r="S31" s="791">
        <v>121.17891</v>
      </c>
      <c r="T31" s="794"/>
      <c r="U31" s="794">
        <v>0</v>
      </c>
      <c r="V31" s="794"/>
      <c r="W31" s="792">
        <v>0</v>
      </c>
      <c r="X31" s="1314"/>
      <c r="Y31" s="1323"/>
      <c r="Z31" s="1314">
        <f t="shared" ref="Z31:Z36" si="7">SUM(W31,U31,S31,Q31,O31)</f>
        <v>135.43525199999999</v>
      </c>
      <c r="AA31" s="1328"/>
      <c r="AB31" s="795"/>
      <c r="AC31" s="796"/>
      <c r="AD31" s="796"/>
      <c r="AE31" s="797"/>
      <c r="AF31" s="798"/>
      <c r="AG31" s="799"/>
      <c r="AH31" s="793"/>
      <c r="AI31" s="790">
        <v>85.538050999999996</v>
      </c>
      <c r="AJ31" s="791"/>
      <c r="AK31" s="791">
        <v>0</v>
      </c>
      <c r="AL31" s="791"/>
      <c r="AM31" s="791">
        <v>883.89319</v>
      </c>
      <c r="AN31" s="794"/>
      <c r="AO31" s="794">
        <v>7.1281708999999998</v>
      </c>
      <c r="AP31" s="794"/>
      <c r="AQ31" s="792">
        <v>92.666222000000005</v>
      </c>
      <c r="AR31" s="1314"/>
      <c r="AS31" s="1323"/>
      <c r="AT31" s="1314">
        <f t="shared" ref="AT31:AT36" si="8">SUM(AQ31,AO31,AM31,AK31,AI31)</f>
        <v>1069.2256339</v>
      </c>
      <c r="AU31" s="1328"/>
      <c r="AV31" s="206"/>
    </row>
    <row r="32" spans="1:48" ht="15" customHeight="1" x14ac:dyDescent="0.2">
      <c r="A32" s="219" t="s">
        <v>237</v>
      </c>
      <c r="B32" s="815">
        <v>28.512684</v>
      </c>
      <c r="C32" s="816"/>
      <c r="D32" s="816">
        <v>7.1281708999999998</v>
      </c>
      <c r="E32" s="816"/>
      <c r="F32" s="816">
        <v>256.61415</v>
      </c>
      <c r="G32" s="819"/>
      <c r="H32" s="819">
        <v>7.1281708999999998</v>
      </c>
      <c r="I32" s="819"/>
      <c r="J32" s="817">
        <v>28.512684</v>
      </c>
      <c r="K32" s="1316"/>
      <c r="L32" s="1325"/>
      <c r="M32" s="1316">
        <f t="shared" si="6"/>
        <v>327.89585979999998</v>
      </c>
      <c r="N32" s="1330"/>
      <c r="O32" s="815">
        <v>14.256342</v>
      </c>
      <c r="P32" s="816"/>
      <c r="Q32" s="816">
        <v>14.256342</v>
      </c>
      <c r="R32" s="816"/>
      <c r="S32" s="816">
        <v>49.897196000000001</v>
      </c>
      <c r="T32" s="819"/>
      <c r="U32" s="819">
        <v>0</v>
      </c>
      <c r="V32" s="819"/>
      <c r="W32" s="817">
        <v>0</v>
      </c>
      <c r="X32" s="1316"/>
      <c r="Y32" s="1325"/>
      <c r="Z32" s="1314">
        <f t="shared" si="7"/>
        <v>78.409880000000001</v>
      </c>
      <c r="AA32" s="1330"/>
      <c r="AB32" s="820"/>
      <c r="AC32" s="821"/>
      <c r="AD32" s="821"/>
      <c r="AE32" s="822"/>
      <c r="AF32" s="823"/>
      <c r="AG32" s="824"/>
      <c r="AH32" s="818"/>
      <c r="AI32" s="815">
        <v>42.769024999999999</v>
      </c>
      <c r="AJ32" s="816"/>
      <c r="AK32" s="816">
        <v>21.384512999999998</v>
      </c>
      <c r="AL32" s="816"/>
      <c r="AM32" s="816">
        <v>306.51134999999999</v>
      </c>
      <c r="AN32" s="819"/>
      <c r="AO32" s="819">
        <v>7.1281708999999998</v>
      </c>
      <c r="AP32" s="819"/>
      <c r="AQ32" s="817">
        <v>28.512684</v>
      </c>
      <c r="AR32" s="1316"/>
      <c r="AS32" s="1325"/>
      <c r="AT32" s="1316">
        <f t="shared" si="8"/>
        <v>406.30574289999998</v>
      </c>
      <c r="AU32" s="1330"/>
      <c r="AV32" s="206"/>
    </row>
    <row r="33" spans="1:48" ht="15" customHeight="1" x14ac:dyDescent="0.2">
      <c r="A33" s="219" t="s">
        <v>238</v>
      </c>
      <c r="B33" s="815">
        <v>28.512684</v>
      </c>
      <c r="C33" s="816"/>
      <c r="D33" s="816">
        <v>14.256342</v>
      </c>
      <c r="E33" s="816"/>
      <c r="F33" s="816">
        <v>313.63952</v>
      </c>
      <c r="G33" s="819"/>
      <c r="H33" s="819">
        <v>0</v>
      </c>
      <c r="I33" s="819"/>
      <c r="J33" s="817">
        <v>35.640853999999997</v>
      </c>
      <c r="K33" s="1316"/>
      <c r="L33" s="1325"/>
      <c r="M33" s="1316">
        <f t="shared" si="6"/>
        <v>392.04939999999999</v>
      </c>
      <c r="N33" s="1330"/>
      <c r="O33" s="815">
        <v>7.1281708999999998</v>
      </c>
      <c r="P33" s="816"/>
      <c r="Q33" s="816">
        <v>7.1281708999999998</v>
      </c>
      <c r="R33" s="816"/>
      <c r="S33" s="816">
        <v>21.384512999999998</v>
      </c>
      <c r="T33" s="819"/>
      <c r="U33" s="819">
        <v>0</v>
      </c>
      <c r="V33" s="819"/>
      <c r="W33" s="817">
        <v>0</v>
      </c>
      <c r="X33" s="1316"/>
      <c r="Y33" s="1325"/>
      <c r="Z33" s="1314">
        <f t="shared" si="7"/>
        <v>35.6408548</v>
      </c>
      <c r="AA33" s="1330"/>
      <c r="AB33" s="820"/>
      <c r="AC33" s="821"/>
      <c r="AD33" s="821"/>
      <c r="AE33" s="822"/>
      <c r="AF33" s="823"/>
      <c r="AG33" s="824"/>
      <c r="AH33" s="818"/>
      <c r="AI33" s="815">
        <v>35.640853999999997</v>
      </c>
      <c r="AJ33" s="816"/>
      <c r="AK33" s="816">
        <v>21.384512999999998</v>
      </c>
      <c r="AL33" s="816"/>
      <c r="AM33" s="816">
        <v>335.02403199999998</v>
      </c>
      <c r="AN33" s="819"/>
      <c r="AO33" s="819">
        <v>0</v>
      </c>
      <c r="AP33" s="819"/>
      <c r="AQ33" s="817">
        <v>35.640853999999997</v>
      </c>
      <c r="AR33" s="1316"/>
      <c r="AS33" s="1325"/>
      <c r="AT33" s="1316">
        <f t="shared" si="8"/>
        <v>427.69025299999998</v>
      </c>
      <c r="AU33" s="1330"/>
      <c r="AV33" s="206"/>
    </row>
    <row r="34" spans="1:48" ht="15" customHeight="1" x14ac:dyDescent="0.2">
      <c r="A34" s="219" t="s">
        <v>239</v>
      </c>
      <c r="B34" s="815">
        <v>14.256342</v>
      </c>
      <c r="C34" s="816"/>
      <c r="D34" s="816">
        <v>21.384512999999998</v>
      </c>
      <c r="E34" s="816"/>
      <c r="F34" s="816">
        <v>106.92256</v>
      </c>
      <c r="G34" s="819"/>
      <c r="H34" s="819">
        <v>0</v>
      </c>
      <c r="I34" s="819"/>
      <c r="J34" s="817">
        <v>42.769024999999999</v>
      </c>
      <c r="K34" s="1316"/>
      <c r="L34" s="1325"/>
      <c r="M34" s="1316">
        <f t="shared" si="6"/>
        <v>185.33243999999999</v>
      </c>
      <c r="N34" s="1330"/>
      <c r="O34" s="815">
        <v>0</v>
      </c>
      <c r="P34" s="816"/>
      <c r="Q34" s="816">
        <v>0</v>
      </c>
      <c r="R34" s="816"/>
      <c r="S34" s="816">
        <v>7.1281708999999998</v>
      </c>
      <c r="T34" s="819"/>
      <c r="U34" s="819">
        <v>0</v>
      </c>
      <c r="V34" s="819"/>
      <c r="W34" s="817">
        <v>0</v>
      </c>
      <c r="X34" s="1316"/>
      <c r="Y34" s="1325"/>
      <c r="Z34" s="1314">
        <f t="shared" si="7"/>
        <v>7.1281708999999998</v>
      </c>
      <c r="AA34" s="1330"/>
      <c r="AB34" s="820"/>
      <c r="AC34" s="821"/>
      <c r="AD34" s="821"/>
      <c r="AE34" s="822"/>
      <c r="AF34" s="823"/>
      <c r="AG34" s="824"/>
      <c r="AH34" s="818"/>
      <c r="AI34" s="815">
        <v>14.256342</v>
      </c>
      <c r="AJ34" s="816"/>
      <c r="AK34" s="816">
        <v>21.384512999999998</v>
      </c>
      <c r="AL34" s="816"/>
      <c r="AM34" s="816">
        <v>114.05073</v>
      </c>
      <c r="AN34" s="819"/>
      <c r="AO34" s="819">
        <v>0</v>
      </c>
      <c r="AP34" s="819"/>
      <c r="AQ34" s="817">
        <v>42.769024999999999</v>
      </c>
      <c r="AR34" s="1316"/>
      <c r="AS34" s="1325"/>
      <c r="AT34" s="1316">
        <f t="shared" si="8"/>
        <v>192.46060999999997</v>
      </c>
      <c r="AU34" s="1330"/>
      <c r="AV34" s="206"/>
    </row>
    <row r="35" spans="1:48" ht="15" customHeight="1" x14ac:dyDescent="0.2">
      <c r="A35" s="219" t="s">
        <v>240</v>
      </c>
      <c r="B35" s="815">
        <v>21.384512999999998</v>
      </c>
      <c r="C35" s="816"/>
      <c r="D35" s="816">
        <v>28.512684</v>
      </c>
      <c r="E35" s="816"/>
      <c r="F35" s="816">
        <v>577.38184000000001</v>
      </c>
      <c r="G35" s="819"/>
      <c r="H35" s="819">
        <v>0</v>
      </c>
      <c r="I35" s="819"/>
      <c r="J35" s="817">
        <v>49.897196000000001</v>
      </c>
      <c r="K35" s="1316"/>
      <c r="L35" s="1325"/>
      <c r="M35" s="1316">
        <f t="shared" si="6"/>
        <v>677.17623300000002</v>
      </c>
      <c r="N35" s="1330"/>
      <c r="O35" s="815">
        <v>7.1281708999999998</v>
      </c>
      <c r="P35" s="816"/>
      <c r="Q35" s="816">
        <v>21.384512999999998</v>
      </c>
      <c r="R35" s="816"/>
      <c r="S35" s="816">
        <v>178.20427000000001</v>
      </c>
      <c r="T35" s="819"/>
      <c r="U35" s="819">
        <v>0</v>
      </c>
      <c r="V35" s="819"/>
      <c r="W35" s="817">
        <v>14.256342</v>
      </c>
      <c r="X35" s="1316"/>
      <c r="Y35" s="1325"/>
      <c r="Z35" s="1314">
        <f t="shared" si="7"/>
        <v>220.97329589999998</v>
      </c>
      <c r="AA35" s="1330"/>
      <c r="AB35" s="820"/>
      <c r="AC35" s="821"/>
      <c r="AD35" s="821"/>
      <c r="AE35" s="822"/>
      <c r="AF35" s="823"/>
      <c r="AG35" s="824"/>
      <c r="AH35" s="818"/>
      <c r="AI35" s="815">
        <v>28.512684</v>
      </c>
      <c r="AJ35" s="816"/>
      <c r="AK35" s="816">
        <v>49.897196000000001</v>
      </c>
      <c r="AL35" s="816"/>
      <c r="AM35" s="816">
        <v>755.58610999999996</v>
      </c>
      <c r="AN35" s="819"/>
      <c r="AO35" s="819">
        <v>0</v>
      </c>
      <c r="AP35" s="819"/>
      <c r="AQ35" s="817">
        <v>64.153537999999998</v>
      </c>
      <c r="AR35" s="1316"/>
      <c r="AS35" s="1325"/>
      <c r="AT35" s="1316">
        <f t="shared" si="8"/>
        <v>898.14952800000003</v>
      </c>
      <c r="AU35" s="1330"/>
      <c r="AV35" s="206"/>
    </row>
    <row r="36" spans="1:48" ht="15" customHeight="1" x14ac:dyDescent="0.2">
      <c r="A36" s="219" t="s">
        <v>241</v>
      </c>
      <c r="B36" s="815">
        <v>0</v>
      </c>
      <c r="C36" s="816"/>
      <c r="D36" s="816">
        <v>7.1281708999999998</v>
      </c>
      <c r="E36" s="816"/>
      <c r="F36" s="816">
        <v>263.74232000000001</v>
      </c>
      <c r="G36" s="819"/>
      <c r="H36" s="819">
        <v>7.1281708999999998</v>
      </c>
      <c r="I36" s="819"/>
      <c r="J36" s="817">
        <v>7.1281708999999998</v>
      </c>
      <c r="K36" s="1316"/>
      <c r="L36" s="1325"/>
      <c r="M36" s="1316">
        <f t="shared" si="6"/>
        <v>285.12683269999997</v>
      </c>
      <c r="N36" s="1330"/>
      <c r="O36" s="815">
        <v>7.1281708999999998</v>
      </c>
      <c r="P36" s="816"/>
      <c r="Q36" s="816">
        <v>21.384512999999998</v>
      </c>
      <c r="R36" s="816"/>
      <c r="S36" s="816">
        <v>128.30708000000001</v>
      </c>
      <c r="T36" s="819"/>
      <c r="U36" s="819">
        <v>7.1281708999999998</v>
      </c>
      <c r="V36" s="819"/>
      <c r="W36" s="817">
        <v>14.256342</v>
      </c>
      <c r="X36" s="1316"/>
      <c r="Y36" s="1325"/>
      <c r="Z36" s="1314">
        <f t="shared" si="7"/>
        <v>178.2042768</v>
      </c>
      <c r="AA36" s="1330"/>
      <c r="AB36" s="820"/>
      <c r="AC36" s="821"/>
      <c r="AD36" s="821"/>
      <c r="AE36" s="822"/>
      <c r="AF36" s="823"/>
      <c r="AG36" s="824"/>
      <c r="AH36" s="818"/>
      <c r="AI36" s="815">
        <v>7.1281708999999998</v>
      </c>
      <c r="AJ36" s="816"/>
      <c r="AK36" s="816">
        <v>28.512684</v>
      </c>
      <c r="AL36" s="816"/>
      <c r="AM36" s="816">
        <v>392.04939999999999</v>
      </c>
      <c r="AN36" s="819"/>
      <c r="AO36" s="819">
        <v>14.256342</v>
      </c>
      <c r="AP36" s="819"/>
      <c r="AQ36" s="817">
        <v>21.384512999999998</v>
      </c>
      <c r="AR36" s="1316"/>
      <c r="AS36" s="1325"/>
      <c r="AT36" s="1316">
        <f t="shared" si="8"/>
        <v>463.33110989999994</v>
      </c>
      <c r="AU36" s="1330"/>
      <c r="AV36" s="206"/>
    </row>
    <row r="37" spans="1:48" ht="15" customHeight="1" x14ac:dyDescent="0.2">
      <c r="A37" s="220" t="s">
        <v>242</v>
      </c>
      <c r="B37" s="827"/>
      <c r="C37" s="828"/>
      <c r="D37" s="828"/>
      <c r="E37" s="828"/>
      <c r="F37" s="828"/>
      <c r="G37" s="831"/>
      <c r="H37" s="831"/>
      <c r="I37" s="831"/>
      <c r="J37" s="829"/>
      <c r="K37" s="827"/>
      <c r="L37" s="1326"/>
      <c r="M37" s="827"/>
      <c r="N37" s="1331"/>
      <c r="O37" s="827"/>
      <c r="P37" s="828"/>
      <c r="Q37" s="828"/>
      <c r="R37" s="828"/>
      <c r="S37" s="828"/>
      <c r="T37" s="831"/>
      <c r="U37" s="831"/>
      <c r="V37" s="831"/>
      <c r="W37" s="829"/>
      <c r="X37" s="827"/>
      <c r="Y37" s="1326"/>
      <c r="Z37" s="827"/>
      <c r="AA37" s="1331"/>
      <c r="AB37" s="827"/>
      <c r="AC37" s="828"/>
      <c r="AD37" s="828"/>
      <c r="AE37" s="831"/>
      <c r="AF37" s="829"/>
      <c r="AG37" s="832"/>
      <c r="AH37" s="830"/>
      <c r="AI37" s="827"/>
      <c r="AJ37" s="828"/>
      <c r="AK37" s="828"/>
      <c r="AL37" s="828"/>
      <c r="AM37" s="828"/>
      <c r="AN37" s="831"/>
      <c r="AO37" s="831"/>
      <c r="AP37" s="831"/>
      <c r="AQ37" s="829"/>
      <c r="AR37" s="827"/>
      <c r="AS37" s="1326"/>
      <c r="AT37" s="827"/>
      <c r="AU37" s="1331"/>
      <c r="AV37" s="206"/>
    </row>
    <row r="38" spans="1:48" ht="25.5" x14ac:dyDescent="0.2">
      <c r="A38" s="221" t="s">
        <v>299</v>
      </c>
      <c r="B38" s="808"/>
      <c r="C38" s="809"/>
      <c r="D38" s="809"/>
      <c r="E38" s="809"/>
      <c r="F38" s="809"/>
      <c r="G38" s="810"/>
      <c r="H38" s="810"/>
      <c r="I38" s="810"/>
      <c r="J38" s="811"/>
      <c r="K38" s="1317"/>
      <c r="L38" s="1324"/>
      <c r="M38" s="1317"/>
      <c r="N38" s="1332"/>
      <c r="O38" s="808"/>
      <c r="P38" s="809"/>
      <c r="Q38" s="809"/>
      <c r="R38" s="809"/>
      <c r="S38" s="809"/>
      <c r="T38" s="810"/>
      <c r="U38" s="810"/>
      <c r="V38" s="810"/>
      <c r="W38" s="811"/>
      <c r="X38" s="1317"/>
      <c r="Y38" s="1324"/>
      <c r="Z38" s="1317"/>
      <c r="AA38" s="1332"/>
      <c r="AB38" s="808"/>
      <c r="AC38" s="809"/>
      <c r="AD38" s="809"/>
      <c r="AE38" s="810"/>
      <c r="AF38" s="811"/>
      <c r="AG38" s="812"/>
      <c r="AH38" s="813"/>
      <c r="AI38" s="808"/>
      <c r="AJ38" s="809"/>
      <c r="AK38" s="809"/>
      <c r="AL38" s="809"/>
      <c r="AM38" s="809"/>
      <c r="AN38" s="810"/>
      <c r="AO38" s="810"/>
      <c r="AP38" s="810"/>
      <c r="AQ38" s="811"/>
      <c r="AR38" s="1317"/>
      <c r="AS38" s="1324"/>
      <c r="AT38" s="1317"/>
      <c r="AU38" s="1332"/>
      <c r="AV38" s="206"/>
    </row>
    <row r="39" spans="1:48" ht="15" customHeight="1" x14ac:dyDescent="0.2">
      <c r="A39" s="222" t="s">
        <v>236</v>
      </c>
      <c r="B39" s="795"/>
      <c r="C39" s="796"/>
      <c r="D39" s="796"/>
      <c r="E39" s="796"/>
      <c r="F39" s="796"/>
      <c r="G39" s="797"/>
      <c r="H39" s="797"/>
      <c r="I39" s="797"/>
      <c r="J39" s="798"/>
      <c r="K39" s="1318"/>
      <c r="L39" s="1323"/>
      <c r="M39" s="1318"/>
      <c r="N39" s="1333"/>
      <c r="O39" s="795"/>
      <c r="P39" s="796"/>
      <c r="Q39" s="796"/>
      <c r="R39" s="796"/>
      <c r="S39" s="796"/>
      <c r="T39" s="797"/>
      <c r="U39" s="797"/>
      <c r="V39" s="797"/>
      <c r="W39" s="798"/>
      <c r="X39" s="1318"/>
      <c r="Y39" s="1323"/>
      <c r="Z39" s="1318"/>
      <c r="AA39" s="1333"/>
      <c r="AB39" s="795"/>
      <c r="AC39" s="796"/>
      <c r="AD39" s="796"/>
      <c r="AE39" s="797"/>
      <c r="AF39" s="798"/>
      <c r="AG39" s="799"/>
      <c r="AH39" s="800"/>
      <c r="AI39" s="795"/>
      <c r="AJ39" s="796"/>
      <c r="AK39" s="796"/>
      <c r="AL39" s="796"/>
      <c r="AM39" s="796"/>
      <c r="AN39" s="797"/>
      <c r="AO39" s="797"/>
      <c r="AP39" s="797"/>
      <c r="AQ39" s="798"/>
      <c r="AR39" s="1318"/>
      <c r="AS39" s="1323"/>
      <c r="AT39" s="1318"/>
      <c r="AU39" s="1333"/>
      <c r="AV39" s="206"/>
    </row>
    <row r="40" spans="1:48" ht="15" customHeight="1" x14ac:dyDescent="0.2">
      <c r="A40" s="222" t="s">
        <v>237</v>
      </c>
      <c r="B40" s="820"/>
      <c r="C40" s="821"/>
      <c r="D40" s="821"/>
      <c r="E40" s="821"/>
      <c r="F40" s="821"/>
      <c r="G40" s="822"/>
      <c r="H40" s="822"/>
      <c r="I40" s="822"/>
      <c r="J40" s="823"/>
      <c r="K40" s="1319"/>
      <c r="L40" s="1325"/>
      <c r="M40" s="1319"/>
      <c r="N40" s="1334"/>
      <c r="O40" s="820"/>
      <c r="P40" s="821"/>
      <c r="Q40" s="821"/>
      <c r="R40" s="821"/>
      <c r="S40" s="821"/>
      <c r="T40" s="822"/>
      <c r="U40" s="822"/>
      <c r="V40" s="822"/>
      <c r="W40" s="823"/>
      <c r="X40" s="1319"/>
      <c r="Y40" s="1325"/>
      <c r="Z40" s="1319"/>
      <c r="AA40" s="1334"/>
      <c r="AB40" s="820"/>
      <c r="AC40" s="821"/>
      <c r="AD40" s="821"/>
      <c r="AE40" s="822"/>
      <c r="AF40" s="823"/>
      <c r="AG40" s="824"/>
      <c r="AH40" s="825"/>
      <c r="AI40" s="820"/>
      <c r="AJ40" s="821"/>
      <c r="AK40" s="821"/>
      <c r="AL40" s="821"/>
      <c r="AM40" s="821"/>
      <c r="AN40" s="822"/>
      <c r="AO40" s="822"/>
      <c r="AP40" s="822"/>
      <c r="AQ40" s="823"/>
      <c r="AR40" s="1319"/>
      <c r="AS40" s="1325"/>
      <c r="AT40" s="1319"/>
      <c r="AU40" s="1334"/>
      <c r="AV40" s="206"/>
    </row>
    <row r="41" spans="1:48" ht="15" customHeight="1" x14ac:dyDescent="0.2">
      <c r="A41" s="222" t="s">
        <v>238</v>
      </c>
      <c r="B41" s="820"/>
      <c r="C41" s="821"/>
      <c r="D41" s="821"/>
      <c r="E41" s="821"/>
      <c r="F41" s="821"/>
      <c r="G41" s="822"/>
      <c r="H41" s="822"/>
      <c r="I41" s="822"/>
      <c r="J41" s="823"/>
      <c r="K41" s="1319"/>
      <c r="L41" s="1325"/>
      <c r="M41" s="1319"/>
      <c r="N41" s="1334"/>
      <c r="O41" s="820"/>
      <c r="P41" s="821"/>
      <c r="Q41" s="821"/>
      <c r="R41" s="821"/>
      <c r="S41" s="821"/>
      <c r="T41" s="822"/>
      <c r="U41" s="822"/>
      <c r="V41" s="822"/>
      <c r="W41" s="823"/>
      <c r="X41" s="1319"/>
      <c r="Y41" s="1325"/>
      <c r="Z41" s="1319"/>
      <c r="AA41" s="1334"/>
      <c r="AB41" s="820"/>
      <c r="AC41" s="821"/>
      <c r="AD41" s="821"/>
      <c r="AE41" s="822"/>
      <c r="AF41" s="823"/>
      <c r="AG41" s="824"/>
      <c r="AH41" s="825"/>
      <c r="AI41" s="820"/>
      <c r="AJ41" s="821"/>
      <c r="AK41" s="821"/>
      <c r="AL41" s="821"/>
      <c r="AM41" s="821"/>
      <c r="AN41" s="822"/>
      <c r="AO41" s="822"/>
      <c r="AP41" s="822"/>
      <c r="AQ41" s="823"/>
      <c r="AR41" s="1319"/>
      <c r="AS41" s="1325"/>
      <c r="AT41" s="1319"/>
      <c r="AU41" s="1334"/>
      <c r="AV41" s="206"/>
    </row>
    <row r="42" spans="1:48" ht="15" customHeight="1" x14ac:dyDescent="0.2">
      <c r="A42" s="222" t="s">
        <v>239</v>
      </c>
      <c r="B42" s="820"/>
      <c r="C42" s="821"/>
      <c r="D42" s="821"/>
      <c r="E42" s="821"/>
      <c r="F42" s="821"/>
      <c r="G42" s="822"/>
      <c r="H42" s="822"/>
      <c r="I42" s="822"/>
      <c r="J42" s="823"/>
      <c r="K42" s="1319"/>
      <c r="L42" s="1325"/>
      <c r="M42" s="1319"/>
      <c r="N42" s="1334"/>
      <c r="O42" s="820"/>
      <c r="P42" s="821"/>
      <c r="Q42" s="821"/>
      <c r="R42" s="821"/>
      <c r="S42" s="821"/>
      <c r="T42" s="822"/>
      <c r="U42" s="822"/>
      <c r="V42" s="822"/>
      <c r="W42" s="823"/>
      <c r="X42" s="1319"/>
      <c r="Y42" s="1325"/>
      <c r="Z42" s="1319"/>
      <c r="AA42" s="1334"/>
      <c r="AB42" s="820"/>
      <c r="AC42" s="821"/>
      <c r="AD42" s="821"/>
      <c r="AE42" s="822"/>
      <c r="AF42" s="823"/>
      <c r="AG42" s="824"/>
      <c r="AH42" s="825"/>
      <c r="AI42" s="820"/>
      <c r="AJ42" s="821"/>
      <c r="AK42" s="821"/>
      <c r="AL42" s="821"/>
      <c r="AM42" s="821"/>
      <c r="AN42" s="822"/>
      <c r="AO42" s="822"/>
      <c r="AP42" s="822"/>
      <c r="AQ42" s="823"/>
      <c r="AR42" s="1319"/>
      <c r="AS42" s="1325"/>
      <c r="AT42" s="1319"/>
      <c r="AU42" s="1334"/>
      <c r="AV42" s="206"/>
    </row>
    <row r="43" spans="1:48" ht="15" customHeight="1" x14ac:dyDescent="0.2">
      <c r="A43" s="222" t="s">
        <v>240</v>
      </c>
      <c r="B43" s="820"/>
      <c r="C43" s="821"/>
      <c r="D43" s="821"/>
      <c r="E43" s="821"/>
      <c r="F43" s="821"/>
      <c r="G43" s="822"/>
      <c r="H43" s="822"/>
      <c r="I43" s="822"/>
      <c r="J43" s="823"/>
      <c r="K43" s="1319"/>
      <c r="L43" s="1325"/>
      <c r="M43" s="1319"/>
      <c r="N43" s="1334"/>
      <c r="O43" s="820"/>
      <c r="P43" s="821"/>
      <c r="Q43" s="821"/>
      <c r="R43" s="821"/>
      <c r="S43" s="821"/>
      <c r="T43" s="822"/>
      <c r="U43" s="822"/>
      <c r="V43" s="822"/>
      <c r="W43" s="823"/>
      <c r="X43" s="1319"/>
      <c r="Y43" s="1325"/>
      <c r="Z43" s="1319"/>
      <c r="AA43" s="1334"/>
      <c r="AB43" s="820"/>
      <c r="AC43" s="821"/>
      <c r="AD43" s="821"/>
      <c r="AE43" s="822"/>
      <c r="AF43" s="823"/>
      <c r="AG43" s="824"/>
      <c r="AH43" s="825"/>
      <c r="AI43" s="820"/>
      <c r="AJ43" s="821"/>
      <c r="AK43" s="821"/>
      <c r="AL43" s="821"/>
      <c r="AM43" s="821"/>
      <c r="AN43" s="822"/>
      <c r="AO43" s="822"/>
      <c r="AP43" s="822"/>
      <c r="AQ43" s="823"/>
      <c r="AR43" s="1319"/>
      <c r="AS43" s="1325"/>
      <c r="AT43" s="1319"/>
      <c r="AU43" s="1334"/>
      <c r="AV43" s="206"/>
    </row>
    <row r="44" spans="1:48" ht="15" customHeight="1" x14ac:dyDescent="0.2">
      <c r="A44" s="222" t="s">
        <v>241</v>
      </c>
      <c r="B44" s="820"/>
      <c r="C44" s="821"/>
      <c r="D44" s="821"/>
      <c r="E44" s="821"/>
      <c r="F44" s="821"/>
      <c r="G44" s="822"/>
      <c r="H44" s="822"/>
      <c r="I44" s="822"/>
      <c r="J44" s="823"/>
      <c r="K44" s="1319"/>
      <c r="L44" s="1325"/>
      <c r="M44" s="1319"/>
      <c r="N44" s="1334"/>
      <c r="O44" s="820"/>
      <c r="P44" s="821"/>
      <c r="Q44" s="821"/>
      <c r="R44" s="821"/>
      <c r="S44" s="821"/>
      <c r="T44" s="822"/>
      <c r="U44" s="822"/>
      <c r="V44" s="822"/>
      <c r="W44" s="823"/>
      <c r="X44" s="1319"/>
      <c r="Y44" s="1325"/>
      <c r="Z44" s="1319"/>
      <c r="AA44" s="1334"/>
      <c r="AB44" s="820"/>
      <c r="AC44" s="821"/>
      <c r="AD44" s="821"/>
      <c r="AE44" s="822"/>
      <c r="AF44" s="823"/>
      <c r="AG44" s="824"/>
      <c r="AH44" s="825"/>
      <c r="AI44" s="820"/>
      <c r="AJ44" s="821"/>
      <c r="AK44" s="821"/>
      <c r="AL44" s="821"/>
      <c r="AM44" s="821"/>
      <c r="AN44" s="822"/>
      <c r="AO44" s="822"/>
      <c r="AP44" s="822"/>
      <c r="AQ44" s="823"/>
      <c r="AR44" s="1319"/>
      <c r="AS44" s="1325"/>
      <c r="AT44" s="1319"/>
      <c r="AU44" s="1334"/>
      <c r="AV44" s="206"/>
    </row>
    <row r="45" spans="1:48" ht="15" customHeight="1" x14ac:dyDescent="0.2">
      <c r="A45" s="220" t="s">
        <v>242</v>
      </c>
      <c r="B45" s="827"/>
      <c r="C45" s="828"/>
      <c r="D45" s="828"/>
      <c r="E45" s="828"/>
      <c r="F45" s="828"/>
      <c r="G45" s="831"/>
      <c r="H45" s="831"/>
      <c r="I45" s="831"/>
      <c r="J45" s="829"/>
      <c r="K45" s="827"/>
      <c r="L45" s="1326"/>
      <c r="M45" s="827"/>
      <c r="N45" s="1331"/>
      <c r="O45" s="827"/>
      <c r="P45" s="828"/>
      <c r="Q45" s="828"/>
      <c r="R45" s="828"/>
      <c r="S45" s="828"/>
      <c r="T45" s="831"/>
      <c r="U45" s="831"/>
      <c r="V45" s="831"/>
      <c r="W45" s="829"/>
      <c r="X45" s="827"/>
      <c r="Y45" s="1326"/>
      <c r="Z45" s="827"/>
      <c r="AA45" s="1331"/>
      <c r="AB45" s="827"/>
      <c r="AC45" s="828"/>
      <c r="AD45" s="828"/>
      <c r="AE45" s="831"/>
      <c r="AF45" s="829"/>
      <c r="AG45" s="832"/>
      <c r="AH45" s="830"/>
      <c r="AI45" s="827"/>
      <c r="AJ45" s="828"/>
      <c r="AK45" s="828"/>
      <c r="AL45" s="828"/>
      <c r="AM45" s="828"/>
      <c r="AN45" s="831"/>
      <c r="AO45" s="831"/>
      <c r="AP45" s="831"/>
      <c r="AQ45" s="829"/>
      <c r="AR45" s="827"/>
      <c r="AS45" s="1326"/>
      <c r="AT45" s="827"/>
      <c r="AU45" s="1331"/>
      <c r="AV45" s="206"/>
    </row>
    <row r="46" spans="1:48" ht="15" customHeight="1" x14ac:dyDescent="0.2">
      <c r="A46" s="79"/>
      <c r="B46" s="75"/>
      <c r="C46" s="75"/>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5"/>
      <c r="AH46" s="75"/>
      <c r="AI46" s="75"/>
      <c r="AJ46" s="75"/>
      <c r="AK46" s="75"/>
      <c r="AL46" s="75"/>
      <c r="AM46" s="75"/>
      <c r="AN46" s="75"/>
      <c r="AO46" s="75"/>
      <c r="AP46" s="75"/>
      <c r="AQ46" s="75"/>
      <c r="AR46" s="75"/>
      <c r="AS46" s="75"/>
      <c r="AT46" s="75"/>
      <c r="AU46" s="75"/>
      <c r="AV46" s="206"/>
    </row>
    <row r="47" spans="1:48" ht="15" customHeight="1" x14ac:dyDescent="0.2">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5"/>
      <c r="AH47" s="75"/>
      <c r="AI47" s="75"/>
      <c r="AJ47" s="75"/>
      <c r="AK47" s="75"/>
      <c r="AL47" s="75"/>
      <c r="AM47" s="75"/>
      <c r="AN47" s="75"/>
      <c r="AO47" s="75"/>
      <c r="AP47" s="75"/>
      <c r="AQ47" s="75"/>
      <c r="AR47" s="75"/>
      <c r="AS47" s="75"/>
      <c r="AT47" s="75"/>
      <c r="AU47" s="75"/>
      <c r="AV47" s="206"/>
    </row>
    <row r="48" spans="1:48" ht="15" customHeight="1" x14ac:dyDescent="0.2">
      <c r="A48" s="79" t="s">
        <v>32</v>
      </c>
      <c r="B48" s="56"/>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206"/>
    </row>
    <row r="49" spans="1:48" ht="15" customHeight="1" x14ac:dyDescent="0.2">
      <c r="A49" s="75"/>
      <c r="B49" s="58"/>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206"/>
    </row>
    <row r="50" spans="1:48" ht="15" customHeight="1" x14ac:dyDescent="0.2">
      <c r="A50" s="75"/>
      <c r="B50" s="58"/>
      <c r="C50" s="59"/>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206"/>
    </row>
    <row r="51" spans="1:48" ht="15" customHeight="1" x14ac:dyDescent="0.2">
      <c r="A51" s="75"/>
      <c r="B51" s="58"/>
      <c r="C51" s="59"/>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206"/>
    </row>
    <row r="52" spans="1:48" ht="15" customHeight="1" x14ac:dyDescent="0.2">
      <c r="A52" s="75"/>
      <c r="B52" s="75"/>
      <c r="C52" s="75"/>
      <c r="D52" s="75"/>
      <c r="E52" s="75"/>
      <c r="F52" s="75"/>
      <c r="G52" s="75"/>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5"/>
      <c r="AH52" s="75"/>
      <c r="AI52" s="75"/>
      <c r="AJ52" s="75"/>
      <c r="AK52" s="75"/>
      <c r="AL52" s="75"/>
      <c r="AM52" s="75"/>
      <c r="AN52" s="75"/>
      <c r="AO52" s="75"/>
      <c r="AP52" s="75"/>
      <c r="AQ52" s="75"/>
      <c r="AR52" s="75"/>
      <c r="AS52" s="75"/>
      <c r="AT52" s="75"/>
      <c r="AU52" s="75"/>
      <c r="AV52" s="206"/>
    </row>
    <row r="53" spans="1:48" ht="15" customHeight="1" x14ac:dyDescent="0.2">
      <c r="A53" s="79" t="s">
        <v>33</v>
      </c>
      <c r="B53" s="56"/>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206"/>
    </row>
    <row r="54" spans="1:48" ht="15" customHeight="1" x14ac:dyDescent="0.2">
      <c r="A54" s="79"/>
      <c r="B54" s="58"/>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206"/>
    </row>
    <row r="55" spans="1:48" ht="15" customHeight="1" x14ac:dyDescent="0.2">
      <c r="A55" s="75"/>
      <c r="B55" s="58"/>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206"/>
    </row>
    <row r="56" spans="1:48" ht="15" customHeight="1" x14ac:dyDescent="0.2">
      <c r="A56" s="75"/>
      <c r="B56" s="58"/>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206"/>
    </row>
    <row r="57" spans="1:48" ht="15" customHeight="1" x14ac:dyDescent="0.2">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I57" s="75"/>
      <c r="AJ57" s="75"/>
      <c r="AK57" s="75"/>
      <c r="AL57" s="75"/>
      <c r="AM57" s="75"/>
      <c r="AN57" s="75"/>
      <c r="AO57" s="75"/>
      <c r="AP57" s="75"/>
      <c r="AQ57" s="75"/>
      <c r="AR57" s="75"/>
      <c r="AS57" s="75"/>
      <c r="AT57" s="75"/>
      <c r="AU57" s="75"/>
      <c r="AV57" s="206"/>
    </row>
    <row r="58" spans="1:48" ht="12.75" x14ac:dyDescent="0.2">
      <c r="A58" s="79" t="s">
        <v>670</v>
      </c>
      <c r="B58" s="75"/>
      <c r="C58" s="75"/>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c r="AK58" s="75"/>
      <c r="AL58" s="75"/>
      <c r="AM58" s="75"/>
      <c r="AN58" s="75"/>
      <c r="AO58" s="75"/>
      <c r="AP58" s="75"/>
      <c r="AQ58" s="75"/>
      <c r="AR58" s="75"/>
      <c r="AS58" s="75"/>
      <c r="AT58" s="75"/>
      <c r="AU58" s="75"/>
      <c r="AV58" s="206"/>
    </row>
    <row r="59" spans="1:48" ht="12.75" x14ac:dyDescent="0.2">
      <c r="A59" s="579"/>
      <c r="B59" s="548"/>
      <c r="C59" s="75"/>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206"/>
    </row>
    <row r="60" spans="1:48" ht="12.75" x14ac:dyDescent="0.2">
      <c r="A60" s="75"/>
      <c r="B60" s="549"/>
      <c r="C60" s="75"/>
      <c r="D60" s="75"/>
      <c r="E60" s="75"/>
      <c r="F60" s="75"/>
      <c r="G60" s="75"/>
      <c r="H60" s="75"/>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206"/>
    </row>
    <row r="61" spans="1:48" ht="12.75" x14ac:dyDescent="0.2">
      <c r="A61" s="75"/>
      <c r="B61" s="549"/>
      <c r="C61" s="75"/>
      <c r="D61" s="75"/>
      <c r="E61" s="75"/>
      <c r="F61" s="75"/>
      <c r="G61" s="75"/>
      <c r="H61" s="75"/>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206"/>
    </row>
    <row r="62" spans="1:48" ht="12.75" x14ac:dyDescent="0.2">
      <c r="A62" s="75"/>
      <c r="B62" s="549"/>
      <c r="C62" s="75"/>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206"/>
    </row>
    <row r="63" spans="1:48" ht="15" customHeight="1" x14ac:dyDescent="0.2">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206"/>
    </row>
  </sheetData>
  <sheetProtection password="CD9E" sheet="1" objects="1" scenarios="1" selectLockedCells="1"/>
  <mergeCells count="18">
    <mergeCell ref="AT13:AU13"/>
    <mergeCell ref="O13:P13"/>
    <mergeCell ref="Q13:R13"/>
    <mergeCell ref="S13:T13"/>
    <mergeCell ref="U13:V13"/>
    <mergeCell ref="W13:X13"/>
    <mergeCell ref="Z13:AA13"/>
    <mergeCell ref="AI13:AJ13"/>
    <mergeCell ref="AK13:AL13"/>
    <mergeCell ref="AM13:AN13"/>
    <mergeCell ref="AO13:AP13"/>
    <mergeCell ref="AQ13:AR13"/>
    <mergeCell ref="M13:N13"/>
    <mergeCell ref="B13:C13"/>
    <mergeCell ref="D13:E13"/>
    <mergeCell ref="F13:G13"/>
    <mergeCell ref="H13:I13"/>
    <mergeCell ref="J13:K13"/>
  </mergeCells>
  <dataValidations disablePrompts="1" count="1">
    <dataValidation type="list" allowBlank="1" showInputMessage="1" showErrorMessage="1" sqref="B59:B62">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35433070866141736" right="0.35433070866141736" top="0.98425196850393704" bottom="0.98425196850393704" header="0.51181102362204722" footer="0.51181102362204722"/>
  <pageSetup paperSize="9" scale="47" orientation="landscape" r:id="rId1"/>
  <headerFooter alignWithMargins="0">
    <oddHeader>&amp;LCDH&amp;C &amp;F&amp;R&amp;A</oddHeader>
    <oddFooter>Page &amp;P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CCFFCC"/>
  </sheetPr>
  <dimension ref="A1:AX63"/>
  <sheetViews>
    <sheetView showGridLines="0" zoomScale="80" zoomScaleNormal="80" workbookViewId="0">
      <selection activeCell="L33" sqref="L33"/>
    </sheetView>
  </sheetViews>
  <sheetFormatPr baseColWidth="10" defaultColWidth="9.140625" defaultRowHeight="15" customHeight="1" x14ac:dyDescent="0.2"/>
  <cols>
    <col min="1" max="1" width="29.28515625" style="144" customWidth="1"/>
    <col min="2" max="2" width="12.7109375" style="144" customWidth="1"/>
    <col min="3" max="3" width="5.7109375" style="144" customWidth="1"/>
    <col min="4" max="4" width="12.7109375" style="144" customWidth="1"/>
    <col min="5" max="5" width="5.7109375" style="144" customWidth="1"/>
    <col min="6" max="6" width="12.7109375" style="144" customWidth="1"/>
    <col min="7" max="7" width="5.7109375" style="144" customWidth="1"/>
    <col min="8" max="8" width="12.7109375" style="144" customWidth="1"/>
    <col min="9" max="9" width="5.7109375" style="144" customWidth="1"/>
    <col min="10" max="10" width="13.140625" style="144" customWidth="1"/>
    <col min="11" max="11" width="5.7109375" style="144" customWidth="1"/>
    <col min="12" max="13" width="12.7109375" style="144" customWidth="1"/>
    <col min="14" max="14" width="5.7109375" style="144" customWidth="1"/>
    <col min="15" max="15" width="12.7109375" style="144" customWidth="1"/>
    <col min="16" max="16" width="5.7109375" style="144" customWidth="1"/>
    <col min="17" max="17" width="13.140625" style="837" customWidth="1"/>
    <col min="18" max="18" width="5.7109375" style="837" customWidth="1"/>
    <col min="19" max="19" width="12.7109375" style="837" customWidth="1"/>
    <col min="20" max="20" width="5.7109375" style="837" customWidth="1"/>
    <col min="21" max="21" width="12.7109375" style="837" customWidth="1"/>
    <col min="22" max="22" width="5.7109375" style="837" customWidth="1"/>
    <col min="23" max="23" width="12.7109375" style="837" customWidth="1"/>
    <col min="24" max="24" width="5.7109375" style="144" customWidth="1"/>
    <col min="25" max="25" width="11.85546875" style="144" customWidth="1"/>
    <col min="26" max="26" width="5.7109375" style="144" customWidth="1"/>
    <col min="27" max="27" width="12.7109375" style="144" customWidth="1"/>
    <col min="28" max="28" width="11.85546875" style="144" customWidth="1"/>
    <col min="29" max="29" width="5.7109375" style="144" customWidth="1"/>
    <col min="30" max="37" width="12.7109375" style="144" customWidth="1"/>
    <col min="38" max="38" width="5.7109375" style="144" customWidth="1"/>
    <col min="39" max="39" width="12.7109375" style="144" customWidth="1"/>
    <col min="40" max="40" width="5.7109375" style="144" customWidth="1"/>
    <col min="41" max="41" width="12.7109375" style="144" customWidth="1"/>
    <col min="42" max="42" width="5.7109375" style="144" customWidth="1"/>
    <col min="43" max="43" width="12.7109375" style="144" customWidth="1"/>
    <col min="44" max="44" width="5.7109375" style="144" customWidth="1"/>
    <col min="45" max="45" width="12.7109375" style="144" customWidth="1"/>
    <col min="46" max="46" width="5.7109375" style="144" customWidth="1"/>
    <col min="47" max="48" width="12.7109375" style="144" customWidth="1"/>
    <col min="49" max="49" width="5.7109375" style="144" customWidth="1"/>
    <col min="50" max="16384" width="9.140625" style="144"/>
  </cols>
  <sheetData>
    <row r="1" spans="1:50" s="679" customFormat="1" ht="12" customHeight="1" x14ac:dyDescent="0.2">
      <c r="A1" s="26" t="s">
        <v>6</v>
      </c>
      <c r="Q1" s="758"/>
      <c r="R1" s="758"/>
      <c r="S1" s="758"/>
      <c r="T1" s="758"/>
      <c r="U1" s="758"/>
      <c r="V1" s="758"/>
      <c r="W1" s="758"/>
    </row>
    <row r="2" spans="1:50" s="679" customFormat="1" ht="12" customHeight="1" x14ac:dyDescent="0.2">
      <c r="A2" s="28" t="s">
        <v>10</v>
      </c>
      <c r="Q2" s="758"/>
      <c r="R2" s="758"/>
      <c r="S2" s="758"/>
      <c r="T2" s="758"/>
      <c r="U2" s="758"/>
      <c r="V2" s="758"/>
      <c r="W2" s="758"/>
    </row>
    <row r="3" spans="1:50" s="679" customFormat="1" ht="12" customHeight="1" x14ac:dyDescent="0.2">
      <c r="A3" s="28" t="s">
        <v>7</v>
      </c>
      <c r="Q3" s="758"/>
      <c r="R3" s="758"/>
      <c r="S3" s="758"/>
      <c r="T3" s="758"/>
      <c r="U3" s="758"/>
      <c r="V3" s="758"/>
      <c r="W3" s="758"/>
    </row>
    <row r="4" spans="1:50" ht="15" customHeight="1" x14ac:dyDescent="0.2">
      <c r="A4" s="680" t="s">
        <v>248</v>
      </c>
      <c r="B4" s="680"/>
      <c r="C4" s="680"/>
      <c r="D4" s="680"/>
      <c r="E4" s="680"/>
      <c r="F4" s="680"/>
      <c r="G4" s="680"/>
      <c r="H4" s="680"/>
      <c r="I4" s="680"/>
      <c r="J4" s="680"/>
      <c r="K4" s="680"/>
      <c r="L4" s="681"/>
      <c r="M4" s="681"/>
      <c r="N4" s="681"/>
      <c r="O4" s="681"/>
      <c r="P4" s="681"/>
      <c r="Q4" s="759"/>
      <c r="R4" s="759"/>
      <c r="S4" s="760"/>
      <c r="T4" s="760"/>
      <c r="U4" s="760"/>
      <c r="V4" s="760"/>
      <c r="W4" s="760"/>
      <c r="X4" s="681"/>
      <c r="Y4" s="681"/>
      <c r="Z4" s="681"/>
      <c r="AA4" s="681"/>
      <c r="AB4" s="681"/>
      <c r="AC4" s="681"/>
      <c r="AD4" s="681"/>
      <c r="AE4" s="681"/>
      <c r="AF4" s="681"/>
      <c r="AG4" s="681"/>
      <c r="AH4" s="681"/>
      <c r="AI4" s="681"/>
      <c r="AJ4" s="681"/>
      <c r="AK4" s="681"/>
      <c r="AL4" s="681"/>
      <c r="AM4" s="681"/>
      <c r="AN4" s="681"/>
      <c r="AO4" s="681"/>
      <c r="AP4" s="681"/>
      <c r="AQ4" s="681"/>
      <c r="AR4" s="681"/>
      <c r="AS4" s="681"/>
      <c r="AT4" s="681"/>
      <c r="AU4" s="681"/>
      <c r="AV4" s="681"/>
      <c r="AW4" s="681"/>
      <c r="AX4" s="681"/>
    </row>
    <row r="5" spans="1:50" s="131" customFormat="1" ht="15" customHeight="1" x14ac:dyDescent="0.2">
      <c r="Q5" s="761"/>
      <c r="R5" s="761"/>
      <c r="S5" s="761"/>
      <c r="T5" s="761"/>
      <c r="U5" s="761"/>
      <c r="V5" s="761"/>
      <c r="W5" s="761"/>
    </row>
    <row r="6" spans="1:50" s="131" customFormat="1" ht="15" customHeight="1" x14ac:dyDescent="0.2">
      <c r="A6" s="206"/>
      <c r="B6" s="206"/>
      <c r="C6" s="206"/>
      <c r="D6" s="206"/>
      <c r="E6" s="206"/>
      <c r="F6" s="206"/>
      <c r="G6" s="206"/>
      <c r="H6" s="206"/>
      <c r="I6" s="206"/>
      <c r="J6" s="206"/>
      <c r="K6" s="206"/>
      <c r="L6" s="206"/>
      <c r="M6" s="206"/>
      <c r="N6" s="206"/>
      <c r="O6" s="206"/>
      <c r="P6" s="206"/>
      <c r="Q6" s="762"/>
      <c r="R6" s="762"/>
      <c r="S6" s="762"/>
      <c r="T6" s="762"/>
      <c r="U6" s="762"/>
      <c r="V6" s="762"/>
      <c r="W6" s="762"/>
      <c r="X6" s="206"/>
      <c r="Y6" s="206"/>
      <c r="Z6" s="206"/>
      <c r="AA6" s="206"/>
      <c r="AB6" s="206"/>
      <c r="AC6" s="206"/>
      <c r="AD6" s="206"/>
      <c r="AE6" s="206"/>
      <c r="AF6" s="206"/>
      <c r="AG6" s="206"/>
      <c r="AH6" s="206"/>
      <c r="AI6" s="206"/>
      <c r="AJ6" s="206"/>
      <c r="AK6" s="206"/>
      <c r="AL6" s="206"/>
      <c r="AM6" s="206"/>
      <c r="AN6" s="206"/>
      <c r="AO6" s="206"/>
      <c r="AP6" s="206"/>
      <c r="AQ6" s="206"/>
      <c r="AR6" s="206"/>
      <c r="AS6" s="206"/>
      <c r="AT6" s="206"/>
      <c r="AU6" s="206"/>
      <c r="AV6" s="206"/>
      <c r="AW6" s="206"/>
      <c r="AX6" s="206"/>
    </row>
    <row r="7" spans="1:50" ht="15" customHeight="1" x14ac:dyDescent="0.25">
      <c r="A7" s="682" t="s">
        <v>658</v>
      </c>
      <c r="B7" s="206"/>
      <c r="C7" s="206"/>
      <c r="D7" s="206"/>
      <c r="E7" s="206"/>
      <c r="F7" s="206"/>
      <c r="G7" s="206"/>
      <c r="H7" s="206"/>
      <c r="I7" s="206"/>
      <c r="J7" s="206"/>
      <c r="K7" s="206"/>
      <c r="L7" s="206"/>
      <c r="M7" s="206"/>
      <c r="N7" s="206"/>
      <c r="O7" s="206"/>
      <c r="P7" s="206"/>
      <c r="Q7" s="762"/>
      <c r="R7" s="762"/>
      <c r="S7" s="762"/>
      <c r="T7" s="762"/>
      <c r="U7" s="762"/>
      <c r="V7" s="762"/>
      <c r="W7" s="762"/>
      <c r="X7" s="206"/>
      <c r="Y7" s="206"/>
      <c r="Z7" s="206"/>
      <c r="AA7" s="206"/>
      <c r="AB7" s="206"/>
      <c r="AC7" s="206"/>
      <c r="AD7" s="206"/>
      <c r="AE7" s="206"/>
      <c r="AF7" s="206"/>
      <c r="AG7" s="206"/>
      <c r="AH7" s="206"/>
      <c r="AI7" s="206"/>
      <c r="AJ7" s="206"/>
      <c r="AK7" s="206"/>
      <c r="AL7" s="206"/>
      <c r="AM7" s="206"/>
      <c r="AN7" s="206"/>
      <c r="AO7" s="206"/>
      <c r="AP7" s="206"/>
      <c r="AQ7" s="206"/>
      <c r="AR7" s="206"/>
      <c r="AS7" s="206"/>
      <c r="AT7" s="206"/>
      <c r="AU7" s="206"/>
      <c r="AV7" s="206"/>
      <c r="AW7" s="206"/>
      <c r="AX7" s="206"/>
    </row>
    <row r="8" spans="1:50" ht="15" customHeight="1" x14ac:dyDescent="0.2">
      <c r="A8" s="683" t="s">
        <v>300</v>
      </c>
      <c r="B8" s="206"/>
      <c r="C8" s="206"/>
      <c r="D8" s="206"/>
      <c r="E8" s="206"/>
      <c r="F8" s="206"/>
      <c r="G8" s="206"/>
      <c r="H8" s="206"/>
      <c r="I8" s="206"/>
      <c r="J8" s="206"/>
      <c r="K8" s="206"/>
      <c r="L8" s="206"/>
      <c r="M8" s="206"/>
      <c r="N8" s="206"/>
      <c r="O8" s="206"/>
      <c r="P8" s="206"/>
      <c r="Q8" s="762"/>
      <c r="R8" s="762"/>
      <c r="S8" s="762"/>
      <c r="T8" s="762"/>
      <c r="U8" s="762"/>
      <c r="V8" s="762"/>
      <c r="W8" s="762"/>
      <c r="X8" s="206"/>
      <c r="Y8" s="206"/>
      <c r="Z8" s="206"/>
      <c r="AA8" s="206"/>
      <c r="AB8" s="206"/>
      <c r="AC8" s="206"/>
      <c r="AD8" s="206"/>
      <c r="AE8" s="206"/>
      <c r="AF8" s="206"/>
      <c r="AG8" s="206"/>
      <c r="AH8" s="206"/>
      <c r="AI8" s="206"/>
      <c r="AJ8" s="206"/>
      <c r="AK8" s="206"/>
      <c r="AL8" s="206"/>
      <c r="AM8" s="206"/>
      <c r="AN8" s="206"/>
      <c r="AO8" s="206"/>
      <c r="AP8" s="206"/>
      <c r="AQ8" s="206"/>
      <c r="AR8" s="206"/>
      <c r="AS8" s="206"/>
      <c r="AT8" s="206"/>
      <c r="AU8" s="206"/>
      <c r="AV8" s="206"/>
      <c r="AW8" s="206"/>
      <c r="AX8" s="206"/>
    </row>
    <row r="9" spans="1:50" ht="15" customHeight="1" x14ac:dyDescent="0.2">
      <c r="A9" s="206"/>
      <c r="B9" s="684" t="s">
        <v>34</v>
      </c>
      <c r="C9" s="763">
        <v>2014</v>
      </c>
      <c r="D9" s="206"/>
      <c r="E9" s="206"/>
      <c r="F9" s="206"/>
      <c r="G9" s="206"/>
      <c r="H9" s="206"/>
      <c r="I9" s="206"/>
      <c r="J9" s="206"/>
      <c r="K9" s="206"/>
      <c r="L9" s="206"/>
      <c r="M9" s="206"/>
      <c r="N9" s="206"/>
      <c r="O9" s="206"/>
      <c r="P9" s="206"/>
      <c r="Q9" s="762"/>
      <c r="R9" s="762"/>
      <c r="S9" s="762"/>
      <c r="T9" s="762"/>
      <c r="U9" s="762"/>
      <c r="V9" s="762"/>
      <c r="W9" s="762"/>
      <c r="X9" s="206"/>
      <c r="Y9" s="206"/>
      <c r="Z9" s="206"/>
      <c r="AA9" s="206"/>
      <c r="AB9" s="206"/>
      <c r="AC9" s="206"/>
      <c r="AD9" s="206"/>
      <c r="AE9" s="206"/>
      <c r="AF9" s="206"/>
      <c r="AG9" s="206"/>
      <c r="AH9" s="206"/>
      <c r="AI9" s="206"/>
      <c r="AJ9" s="206"/>
      <c r="AK9" s="206"/>
      <c r="AL9" s="206"/>
      <c r="AM9" s="206"/>
      <c r="AN9" s="206"/>
      <c r="AO9" s="206"/>
      <c r="AP9" s="206"/>
      <c r="AQ9" s="206"/>
      <c r="AR9" s="206"/>
      <c r="AS9" s="206"/>
      <c r="AT9" s="206"/>
      <c r="AU9" s="206"/>
      <c r="AV9" s="206"/>
      <c r="AW9" s="206"/>
      <c r="AX9" s="206"/>
    </row>
    <row r="10" spans="1:50" ht="15" customHeight="1" x14ac:dyDescent="0.2">
      <c r="A10" s="686"/>
      <c r="B10" s="206"/>
      <c r="C10" s="206"/>
      <c r="D10" s="206"/>
      <c r="E10" s="206"/>
      <c r="F10" s="206"/>
      <c r="G10" s="206"/>
      <c r="H10" s="206"/>
      <c r="I10" s="206"/>
      <c r="J10" s="206"/>
      <c r="K10" s="206"/>
      <c r="L10" s="206"/>
      <c r="M10" s="206"/>
      <c r="N10" s="206"/>
      <c r="O10" s="206"/>
      <c r="P10" s="206"/>
      <c r="Q10" s="762"/>
      <c r="R10" s="762"/>
      <c r="S10" s="762"/>
      <c r="T10" s="762"/>
      <c r="U10" s="762"/>
      <c r="V10" s="762"/>
      <c r="W10" s="762"/>
      <c r="X10" s="206"/>
      <c r="Y10" s="206"/>
      <c r="Z10" s="206"/>
      <c r="AA10" s="206"/>
      <c r="AB10" s="206"/>
      <c r="AC10" s="206"/>
      <c r="AD10" s="206"/>
      <c r="AE10" s="206"/>
      <c r="AF10" s="206"/>
      <c r="AG10" s="206"/>
      <c r="AH10" s="206"/>
      <c r="AI10" s="206"/>
      <c r="AJ10" s="206"/>
      <c r="AK10" s="206"/>
      <c r="AL10" s="206"/>
      <c r="AM10" s="206"/>
      <c r="AN10" s="206"/>
      <c r="AO10" s="206"/>
      <c r="AP10" s="206"/>
      <c r="AQ10" s="206"/>
      <c r="AR10" s="206"/>
      <c r="AS10" s="206"/>
      <c r="AT10" s="206"/>
      <c r="AU10" s="206"/>
      <c r="AV10" s="206"/>
      <c r="AW10" s="206"/>
      <c r="AX10" s="206"/>
    </row>
    <row r="11" spans="1:50" ht="19.5" customHeight="1" x14ac:dyDescent="0.2">
      <c r="A11" s="764"/>
      <c r="B11" s="765" t="s">
        <v>289</v>
      </c>
      <c r="C11" s="689"/>
      <c r="D11" s="689"/>
      <c r="E11" s="689"/>
      <c r="F11" s="689"/>
      <c r="G11" s="689"/>
      <c r="H11" s="689"/>
      <c r="I11" s="689"/>
      <c r="J11" s="689"/>
      <c r="K11" s="689"/>
      <c r="L11" s="689"/>
      <c r="M11" s="689"/>
      <c r="N11" s="689"/>
      <c r="O11" s="690"/>
      <c r="P11" s="689"/>
      <c r="Q11" s="765" t="s">
        <v>290</v>
      </c>
      <c r="R11" s="689"/>
      <c r="S11" s="689"/>
      <c r="T11" s="689"/>
      <c r="U11" s="689"/>
      <c r="V11" s="689"/>
      <c r="W11" s="689"/>
      <c r="X11" s="689"/>
      <c r="Y11" s="689"/>
      <c r="Z11" s="689"/>
      <c r="AA11" s="689"/>
      <c r="AB11" s="690"/>
      <c r="AC11" s="689"/>
      <c r="AD11" s="766" t="s">
        <v>736</v>
      </c>
      <c r="AE11" s="767"/>
      <c r="AF11" s="767"/>
      <c r="AG11" s="767"/>
      <c r="AH11" s="767"/>
      <c r="AI11" s="767"/>
      <c r="AJ11" s="690"/>
      <c r="AK11" s="765" t="s">
        <v>682</v>
      </c>
      <c r="AL11" s="689"/>
      <c r="AM11" s="689"/>
      <c r="AN11" s="689"/>
      <c r="AO11" s="689"/>
      <c r="AP11" s="689"/>
      <c r="AQ11" s="689"/>
      <c r="AR11" s="689"/>
      <c r="AS11" s="689"/>
      <c r="AT11" s="689"/>
      <c r="AU11" s="689"/>
      <c r="AV11" s="690"/>
      <c r="AW11" s="1321"/>
      <c r="AX11" s="206"/>
    </row>
    <row r="12" spans="1:50" ht="15" customHeight="1" x14ac:dyDescent="0.2">
      <c r="A12" s="768"/>
      <c r="B12" s="769" t="s">
        <v>291</v>
      </c>
      <c r="C12" s="770"/>
      <c r="D12" s="770"/>
      <c r="E12" s="770"/>
      <c r="F12" s="770"/>
      <c r="G12" s="770"/>
      <c r="H12" s="770"/>
      <c r="I12" s="770"/>
      <c r="J12" s="770"/>
      <c r="K12" s="770"/>
      <c r="L12" s="770"/>
      <c r="M12" s="690"/>
      <c r="N12" s="1321"/>
      <c r="O12" s="1767" t="s">
        <v>35</v>
      </c>
      <c r="P12" s="1768"/>
      <c r="Q12" s="769" t="s">
        <v>291</v>
      </c>
      <c r="R12" s="770"/>
      <c r="S12" s="770"/>
      <c r="T12" s="770"/>
      <c r="U12" s="770"/>
      <c r="V12" s="770"/>
      <c r="W12" s="770"/>
      <c r="X12" s="770"/>
      <c r="Y12" s="770"/>
      <c r="Z12" s="770"/>
      <c r="AA12" s="770"/>
      <c r="AB12" s="690"/>
      <c r="AC12" s="770"/>
      <c r="AD12" s="771" t="s">
        <v>291</v>
      </c>
      <c r="AE12" s="772"/>
      <c r="AF12" s="772"/>
      <c r="AG12" s="772"/>
      <c r="AH12" s="772"/>
      <c r="AI12" s="772"/>
      <c r="AJ12" s="690"/>
      <c r="AK12" s="769" t="s">
        <v>291</v>
      </c>
      <c r="AL12" s="770"/>
      <c r="AM12" s="770"/>
      <c r="AN12" s="770"/>
      <c r="AO12" s="770"/>
      <c r="AP12" s="770"/>
      <c r="AQ12" s="770"/>
      <c r="AR12" s="770"/>
      <c r="AS12" s="770"/>
      <c r="AT12" s="770"/>
      <c r="AU12" s="770"/>
      <c r="AV12" s="690"/>
      <c r="AW12" s="1321"/>
      <c r="AX12" s="206"/>
    </row>
    <row r="13" spans="1:50" ht="43.5" customHeight="1" x14ac:dyDescent="0.2">
      <c r="A13" s="773" t="s">
        <v>269</v>
      </c>
      <c r="B13" s="1761" t="s">
        <v>292</v>
      </c>
      <c r="C13" s="1762"/>
      <c r="D13" s="1762" t="s">
        <v>293</v>
      </c>
      <c r="E13" s="1762"/>
      <c r="F13" s="1762" t="s">
        <v>294</v>
      </c>
      <c r="G13" s="1762"/>
      <c r="H13" s="1762" t="s">
        <v>681</v>
      </c>
      <c r="I13" s="1762"/>
      <c r="J13" s="1762" t="s">
        <v>295</v>
      </c>
      <c r="K13" s="1762"/>
      <c r="L13" s="774" t="s">
        <v>735</v>
      </c>
      <c r="M13" s="1759" t="s">
        <v>42</v>
      </c>
      <c r="N13" s="1760"/>
      <c r="O13" s="1769" t="s">
        <v>296</v>
      </c>
      <c r="P13" s="1770"/>
      <c r="Q13" s="1761" t="s">
        <v>292</v>
      </c>
      <c r="R13" s="1762"/>
      <c r="S13" s="1762" t="s">
        <v>293</v>
      </c>
      <c r="T13" s="1762"/>
      <c r="U13" s="1762" t="s">
        <v>294</v>
      </c>
      <c r="V13" s="1762"/>
      <c r="W13" s="1762" t="s">
        <v>681</v>
      </c>
      <c r="X13" s="1762"/>
      <c r="Y13" s="1762" t="s">
        <v>295</v>
      </c>
      <c r="Z13" s="1762"/>
      <c r="AA13" s="774" t="s">
        <v>735</v>
      </c>
      <c r="AB13" s="1765" t="s">
        <v>42</v>
      </c>
      <c r="AC13" s="1766"/>
      <c r="AD13" s="776" t="s">
        <v>292</v>
      </c>
      <c r="AE13" s="777" t="s">
        <v>293</v>
      </c>
      <c r="AF13" s="777" t="s">
        <v>294</v>
      </c>
      <c r="AG13" s="777" t="s">
        <v>681</v>
      </c>
      <c r="AH13" s="693" t="s">
        <v>295</v>
      </c>
      <c r="AI13" s="778" t="s">
        <v>735</v>
      </c>
      <c r="AJ13" s="775" t="s">
        <v>42</v>
      </c>
      <c r="AK13" s="1761" t="s">
        <v>292</v>
      </c>
      <c r="AL13" s="1762"/>
      <c r="AM13" s="1762" t="s">
        <v>293</v>
      </c>
      <c r="AN13" s="1762"/>
      <c r="AO13" s="1762" t="s">
        <v>294</v>
      </c>
      <c r="AP13" s="1762"/>
      <c r="AQ13" s="1762" t="s">
        <v>681</v>
      </c>
      <c r="AR13" s="1762"/>
      <c r="AS13" s="1762" t="s">
        <v>295</v>
      </c>
      <c r="AT13" s="1762"/>
      <c r="AU13" s="774" t="s">
        <v>735</v>
      </c>
      <c r="AV13" s="1763" t="s">
        <v>42</v>
      </c>
      <c r="AW13" s="1764"/>
      <c r="AX13" s="206"/>
    </row>
    <row r="14" spans="1:50" s="838" customFormat="1" ht="18" customHeight="1" x14ac:dyDescent="0.2">
      <c r="A14" s="779" t="s">
        <v>841</v>
      </c>
      <c r="B14" s="780">
        <v>25200</v>
      </c>
      <c r="C14" s="781"/>
      <c r="D14" s="781">
        <v>25200</v>
      </c>
      <c r="E14" s="781"/>
      <c r="F14" s="781">
        <v>25200</v>
      </c>
      <c r="G14" s="784"/>
      <c r="H14" s="784">
        <v>16200</v>
      </c>
      <c r="I14" s="784"/>
      <c r="J14" s="782">
        <v>25200</v>
      </c>
      <c r="K14" s="1313"/>
      <c r="L14" s="1322"/>
      <c r="M14" s="1313"/>
      <c r="N14" s="1327"/>
      <c r="O14" s="780"/>
      <c r="P14" s="1327"/>
      <c r="Q14" s="780">
        <v>31350</v>
      </c>
      <c r="R14" s="781"/>
      <c r="S14" s="781">
        <v>25200</v>
      </c>
      <c r="T14" s="781"/>
      <c r="U14" s="781">
        <v>25200</v>
      </c>
      <c r="V14" s="784"/>
      <c r="W14" s="784">
        <v>9600</v>
      </c>
      <c r="X14" s="784"/>
      <c r="Y14" s="782">
        <v>16200</v>
      </c>
      <c r="Z14" s="1313"/>
      <c r="AA14" s="1322"/>
      <c r="AB14" s="1313"/>
      <c r="AC14" s="1327"/>
      <c r="AD14" s="785"/>
      <c r="AE14" s="786"/>
      <c r="AF14" s="786"/>
      <c r="AG14" s="787"/>
      <c r="AH14" s="788"/>
      <c r="AI14" s="789"/>
      <c r="AJ14" s="783"/>
      <c r="AK14" s="780">
        <v>25200</v>
      </c>
      <c r="AL14" s="781"/>
      <c r="AM14" s="781">
        <v>25200</v>
      </c>
      <c r="AN14" s="781"/>
      <c r="AO14" s="781">
        <v>25200</v>
      </c>
      <c r="AP14" s="784"/>
      <c r="AQ14" s="784">
        <v>16200</v>
      </c>
      <c r="AR14" s="784"/>
      <c r="AS14" s="782">
        <v>25200</v>
      </c>
      <c r="AT14" s="1313"/>
      <c r="AU14" s="1322"/>
      <c r="AV14" s="1313"/>
      <c r="AW14" s="1327"/>
      <c r="AX14" s="206"/>
    </row>
    <row r="15" spans="1:50" ht="15" customHeight="1" x14ac:dyDescent="0.2">
      <c r="A15" s="715" t="s">
        <v>236</v>
      </c>
      <c r="B15" s="790">
        <v>20700</v>
      </c>
      <c r="C15" s="791"/>
      <c r="D15" s="791">
        <v>25200</v>
      </c>
      <c r="E15" s="791"/>
      <c r="F15" s="791">
        <v>25200</v>
      </c>
      <c r="G15" s="794"/>
      <c r="H15" s="794">
        <v>16200</v>
      </c>
      <c r="I15" s="794"/>
      <c r="J15" s="792">
        <v>16200</v>
      </c>
      <c r="K15" s="1314"/>
      <c r="L15" s="1323"/>
      <c r="M15" s="1314">
        <v>25200</v>
      </c>
      <c r="N15" s="1328"/>
      <c r="O15" s="790">
        <v>16200</v>
      </c>
      <c r="P15" s="1328"/>
      <c r="Q15" s="790">
        <v>16200</v>
      </c>
      <c r="R15" s="791"/>
      <c r="S15" s="791">
        <v>25200</v>
      </c>
      <c r="T15" s="791"/>
      <c r="U15" s="791">
        <v>16200</v>
      </c>
      <c r="V15" s="794"/>
      <c r="W15" s="794">
        <v>16200</v>
      </c>
      <c r="X15" s="794"/>
      <c r="Y15" s="792">
        <v>16200</v>
      </c>
      <c r="Z15" s="1314"/>
      <c r="AA15" s="1323"/>
      <c r="AB15" s="1314">
        <v>16200</v>
      </c>
      <c r="AC15" s="1328"/>
      <c r="AD15" s="795"/>
      <c r="AE15" s="796"/>
      <c r="AF15" s="796"/>
      <c r="AG15" s="797"/>
      <c r="AH15" s="798"/>
      <c r="AI15" s="799"/>
      <c r="AJ15" s="793"/>
      <c r="AK15" s="790">
        <v>16200</v>
      </c>
      <c r="AL15" s="791"/>
      <c r="AM15" s="791">
        <v>25200</v>
      </c>
      <c r="AN15" s="791"/>
      <c r="AO15" s="791">
        <v>25200</v>
      </c>
      <c r="AP15" s="794"/>
      <c r="AQ15" s="794">
        <v>16200</v>
      </c>
      <c r="AR15" s="794"/>
      <c r="AS15" s="792">
        <v>16200</v>
      </c>
      <c r="AT15" s="1314"/>
      <c r="AU15" s="1323"/>
      <c r="AV15" s="1314">
        <v>25200</v>
      </c>
      <c r="AW15" s="1328"/>
      <c r="AX15" s="206"/>
    </row>
    <row r="16" spans="1:50" ht="15" customHeight="1" x14ac:dyDescent="0.2">
      <c r="A16" s="715" t="s">
        <v>237</v>
      </c>
      <c r="B16" s="790">
        <v>25200</v>
      </c>
      <c r="C16" s="791"/>
      <c r="D16" s="791">
        <v>38850</v>
      </c>
      <c r="E16" s="791"/>
      <c r="F16" s="791">
        <v>37500</v>
      </c>
      <c r="G16" s="794"/>
      <c r="H16" s="794">
        <v>25200</v>
      </c>
      <c r="I16" s="794"/>
      <c r="J16" s="792">
        <v>16200</v>
      </c>
      <c r="K16" s="1314"/>
      <c r="L16" s="1323"/>
      <c r="M16" s="1314">
        <v>25200</v>
      </c>
      <c r="N16" s="1328"/>
      <c r="O16" s="790">
        <v>16200</v>
      </c>
      <c r="P16" s="1328"/>
      <c r="Q16" s="790">
        <v>25200</v>
      </c>
      <c r="R16" s="791"/>
      <c r="S16" s="791">
        <v>52500</v>
      </c>
      <c r="T16" s="791"/>
      <c r="U16" s="791">
        <v>25200</v>
      </c>
      <c r="V16" s="794"/>
      <c r="W16" s="794">
        <v>0</v>
      </c>
      <c r="X16" s="794"/>
      <c r="Y16" s="792">
        <v>0</v>
      </c>
      <c r="Z16" s="1314"/>
      <c r="AA16" s="1323"/>
      <c r="AB16" s="1314">
        <v>25200</v>
      </c>
      <c r="AC16" s="1328"/>
      <c r="AD16" s="795"/>
      <c r="AE16" s="796"/>
      <c r="AF16" s="796"/>
      <c r="AG16" s="797"/>
      <c r="AH16" s="798"/>
      <c r="AI16" s="799"/>
      <c r="AJ16" s="793"/>
      <c r="AK16" s="790">
        <v>25200</v>
      </c>
      <c r="AL16" s="791"/>
      <c r="AM16" s="791">
        <v>52500</v>
      </c>
      <c r="AN16" s="791"/>
      <c r="AO16" s="791">
        <v>25200</v>
      </c>
      <c r="AP16" s="794"/>
      <c r="AQ16" s="794">
        <v>25200</v>
      </c>
      <c r="AR16" s="794"/>
      <c r="AS16" s="792">
        <v>16200</v>
      </c>
      <c r="AT16" s="1314"/>
      <c r="AU16" s="1323"/>
      <c r="AV16" s="1314">
        <v>25200</v>
      </c>
      <c r="AW16" s="1328"/>
      <c r="AX16" s="206"/>
    </row>
    <row r="17" spans="1:50" ht="15" customHeight="1" x14ac:dyDescent="0.2">
      <c r="A17" s="715" t="s">
        <v>238</v>
      </c>
      <c r="B17" s="790">
        <v>25200</v>
      </c>
      <c r="C17" s="791"/>
      <c r="D17" s="791">
        <v>37500</v>
      </c>
      <c r="E17" s="791"/>
      <c r="F17" s="791">
        <v>25200</v>
      </c>
      <c r="G17" s="794"/>
      <c r="H17" s="794">
        <v>0</v>
      </c>
      <c r="I17" s="794"/>
      <c r="J17" s="792">
        <v>25200</v>
      </c>
      <c r="K17" s="1314"/>
      <c r="L17" s="1323"/>
      <c r="M17" s="1314">
        <v>25200</v>
      </c>
      <c r="N17" s="1328"/>
      <c r="O17" s="790">
        <v>16200</v>
      </c>
      <c r="P17" s="1328"/>
      <c r="Q17" s="790">
        <v>7200</v>
      </c>
      <c r="R17" s="791"/>
      <c r="S17" s="791">
        <v>52500</v>
      </c>
      <c r="T17" s="791"/>
      <c r="U17" s="791">
        <v>16200</v>
      </c>
      <c r="V17" s="794"/>
      <c r="W17" s="794">
        <v>0</v>
      </c>
      <c r="X17" s="794"/>
      <c r="Y17" s="792">
        <v>0</v>
      </c>
      <c r="Z17" s="1314"/>
      <c r="AA17" s="1323"/>
      <c r="AB17" s="1314">
        <v>16200</v>
      </c>
      <c r="AC17" s="1328"/>
      <c r="AD17" s="795"/>
      <c r="AE17" s="796"/>
      <c r="AF17" s="796"/>
      <c r="AG17" s="797"/>
      <c r="AH17" s="798"/>
      <c r="AI17" s="799"/>
      <c r="AJ17" s="793"/>
      <c r="AK17" s="790">
        <v>25200</v>
      </c>
      <c r="AL17" s="791"/>
      <c r="AM17" s="791">
        <v>37500</v>
      </c>
      <c r="AN17" s="791"/>
      <c r="AO17" s="791">
        <v>25200</v>
      </c>
      <c r="AP17" s="794"/>
      <c r="AQ17" s="794">
        <v>0</v>
      </c>
      <c r="AR17" s="794"/>
      <c r="AS17" s="792">
        <v>25200</v>
      </c>
      <c r="AT17" s="1314"/>
      <c r="AU17" s="1323"/>
      <c r="AV17" s="1314">
        <v>25200</v>
      </c>
      <c r="AW17" s="1328"/>
      <c r="AX17" s="206"/>
    </row>
    <row r="18" spans="1:50" ht="15" customHeight="1" x14ac:dyDescent="0.2">
      <c r="A18" s="715" t="s">
        <v>239</v>
      </c>
      <c r="B18" s="790">
        <v>16200</v>
      </c>
      <c r="C18" s="791"/>
      <c r="D18" s="791">
        <v>25200</v>
      </c>
      <c r="E18" s="791"/>
      <c r="F18" s="791">
        <v>25200</v>
      </c>
      <c r="G18" s="794"/>
      <c r="H18" s="794">
        <v>16200</v>
      </c>
      <c r="I18" s="794"/>
      <c r="J18" s="792">
        <v>16200</v>
      </c>
      <c r="K18" s="1314"/>
      <c r="L18" s="1323"/>
      <c r="M18" s="1314">
        <v>25200</v>
      </c>
      <c r="N18" s="1328"/>
      <c r="O18" s="790">
        <v>16200</v>
      </c>
      <c r="P18" s="1328"/>
      <c r="Q18" s="790">
        <v>0</v>
      </c>
      <c r="R18" s="791"/>
      <c r="S18" s="791">
        <v>0</v>
      </c>
      <c r="T18" s="791"/>
      <c r="U18" s="791">
        <v>25200</v>
      </c>
      <c r="V18" s="794"/>
      <c r="W18" s="794">
        <v>0</v>
      </c>
      <c r="X18" s="794"/>
      <c r="Y18" s="792">
        <v>37500</v>
      </c>
      <c r="Z18" s="1314"/>
      <c r="AA18" s="1323"/>
      <c r="AB18" s="1314">
        <v>25200</v>
      </c>
      <c r="AC18" s="1328"/>
      <c r="AD18" s="795"/>
      <c r="AE18" s="796"/>
      <c r="AF18" s="796"/>
      <c r="AG18" s="797"/>
      <c r="AH18" s="798"/>
      <c r="AI18" s="799"/>
      <c r="AJ18" s="793"/>
      <c r="AK18" s="790">
        <v>16200</v>
      </c>
      <c r="AL18" s="791"/>
      <c r="AM18" s="791">
        <v>25200</v>
      </c>
      <c r="AN18" s="791"/>
      <c r="AO18" s="791">
        <v>25200</v>
      </c>
      <c r="AP18" s="794"/>
      <c r="AQ18" s="794">
        <v>16200</v>
      </c>
      <c r="AR18" s="794"/>
      <c r="AS18" s="792">
        <v>16200</v>
      </c>
      <c r="AT18" s="1314"/>
      <c r="AU18" s="1323"/>
      <c r="AV18" s="1314">
        <v>25200</v>
      </c>
      <c r="AW18" s="1328"/>
      <c r="AX18" s="206"/>
    </row>
    <row r="19" spans="1:50" ht="15" customHeight="1" x14ac:dyDescent="0.2">
      <c r="A19" s="715" t="s">
        <v>240</v>
      </c>
      <c r="B19" s="790">
        <v>37500</v>
      </c>
      <c r="C19" s="791"/>
      <c r="D19" s="791">
        <v>25200</v>
      </c>
      <c r="E19" s="791"/>
      <c r="F19" s="791">
        <v>25200</v>
      </c>
      <c r="G19" s="794"/>
      <c r="H19" s="794">
        <v>25200</v>
      </c>
      <c r="I19" s="794"/>
      <c r="J19" s="792">
        <v>31350</v>
      </c>
      <c r="K19" s="1314"/>
      <c r="L19" s="1323"/>
      <c r="M19" s="1314">
        <v>25200</v>
      </c>
      <c r="N19" s="1328"/>
      <c r="O19" s="790">
        <v>16200</v>
      </c>
      <c r="P19" s="1328"/>
      <c r="Q19" s="790">
        <v>70200</v>
      </c>
      <c r="R19" s="791"/>
      <c r="S19" s="791">
        <v>25200</v>
      </c>
      <c r="T19" s="791"/>
      <c r="U19" s="791">
        <v>25200</v>
      </c>
      <c r="V19" s="794"/>
      <c r="W19" s="794">
        <v>0</v>
      </c>
      <c r="X19" s="794"/>
      <c r="Y19" s="792">
        <v>16200</v>
      </c>
      <c r="Z19" s="1314"/>
      <c r="AA19" s="1323"/>
      <c r="AB19" s="1314">
        <v>25200</v>
      </c>
      <c r="AC19" s="1328"/>
      <c r="AD19" s="795"/>
      <c r="AE19" s="796"/>
      <c r="AF19" s="796"/>
      <c r="AG19" s="797"/>
      <c r="AH19" s="798"/>
      <c r="AI19" s="799"/>
      <c r="AJ19" s="793"/>
      <c r="AK19" s="790">
        <v>37500</v>
      </c>
      <c r="AL19" s="791"/>
      <c r="AM19" s="791">
        <v>25200</v>
      </c>
      <c r="AN19" s="791"/>
      <c r="AO19" s="791">
        <v>25200</v>
      </c>
      <c r="AP19" s="794"/>
      <c r="AQ19" s="794">
        <v>25200</v>
      </c>
      <c r="AR19" s="794"/>
      <c r="AS19" s="792">
        <v>25200</v>
      </c>
      <c r="AT19" s="1314"/>
      <c r="AU19" s="1323"/>
      <c r="AV19" s="1314">
        <v>25200</v>
      </c>
      <c r="AW19" s="1328"/>
      <c r="AX19" s="206"/>
    </row>
    <row r="20" spans="1:50" ht="15" customHeight="1" x14ac:dyDescent="0.2">
      <c r="A20" s="715" t="s">
        <v>241</v>
      </c>
      <c r="B20" s="790">
        <v>9600</v>
      </c>
      <c r="C20" s="791"/>
      <c r="D20" s="791">
        <v>26850</v>
      </c>
      <c r="E20" s="791"/>
      <c r="F20" s="791">
        <v>25200</v>
      </c>
      <c r="G20" s="794"/>
      <c r="H20" s="794">
        <v>16200</v>
      </c>
      <c r="I20" s="794"/>
      <c r="J20" s="792">
        <v>52500</v>
      </c>
      <c r="K20" s="1314"/>
      <c r="L20" s="1323"/>
      <c r="M20" s="1314">
        <v>25200</v>
      </c>
      <c r="N20" s="1328"/>
      <c r="O20" s="790">
        <v>16200</v>
      </c>
      <c r="P20" s="1328"/>
      <c r="Q20" s="790">
        <v>37500</v>
      </c>
      <c r="R20" s="791"/>
      <c r="S20" s="791">
        <v>16200</v>
      </c>
      <c r="T20" s="791"/>
      <c r="U20" s="791">
        <v>25200</v>
      </c>
      <c r="V20" s="794"/>
      <c r="W20" s="794">
        <v>9600</v>
      </c>
      <c r="X20" s="794"/>
      <c r="Y20" s="792">
        <v>16200</v>
      </c>
      <c r="Z20" s="1314"/>
      <c r="AA20" s="1323"/>
      <c r="AB20" s="1314">
        <v>16200</v>
      </c>
      <c r="AC20" s="1328"/>
      <c r="AD20" s="795"/>
      <c r="AE20" s="796"/>
      <c r="AF20" s="796"/>
      <c r="AG20" s="797"/>
      <c r="AH20" s="798"/>
      <c r="AI20" s="799"/>
      <c r="AJ20" s="793"/>
      <c r="AK20" s="790">
        <v>31350</v>
      </c>
      <c r="AL20" s="791"/>
      <c r="AM20" s="791">
        <v>16200</v>
      </c>
      <c r="AN20" s="791"/>
      <c r="AO20" s="791">
        <v>25200</v>
      </c>
      <c r="AP20" s="794"/>
      <c r="AQ20" s="794">
        <v>16200</v>
      </c>
      <c r="AR20" s="794"/>
      <c r="AS20" s="792">
        <v>16200</v>
      </c>
      <c r="AT20" s="1314"/>
      <c r="AU20" s="1323"/>
      <c r="AV20" s="1314">
        <v>20700</v>
      </c>
      <c r="AW20" s="1328"/>
      <c r="AX20" s="206"/>
    </row>
    <row r="21" spans="1:50" ht="15" customHeight="1" x14ac:dyDescent="0.2">
      <c r="A21" s="801" t="s">
        <v>242</v>
      </c>
      <c r="B21" s="790"/>
      <c r="C21" s="791"/>
      <c r="D21" s="791"/>
      <c r="E21" s="791"/>
      <c r="F21" s="791"/>
      <c r="G21" s="794"/>
      <c r="H21" s="794"/>
      <c r="I21" s="794"/>
      <c r="J21" s="792"/>
      <c r="K21" s="1314"/>
      <c r="L21" s="1323"/>
      <c r="M21" s="1314"/>
      <c r="N21" s="1328"/>
      <c r="O21" s="790"/>
      <c r="P21" s="1328"/>
      <c r="Q21" s="790"/>
      <c r="R21" s="791"/>
      <c r="S21" s="791"/>
      <c r="T21" s="791"/>
      <c r="U21" s="791"/>
      <c r="V21" s="794"/>
      <c r="W21" s="794"/>
      <c r="X21" s="794"/>
      <c r="Y21" s="792"/>
      <c r="Z21" s="1314"/>
      <c r="AA21" s="1323"/>
      <c r="AB21" s="1314"/>
      <c r="AC21" s="1328"/>
      <c r="AD21" s="795"/>
      <c r="AE21" s="796"/>
      <c r="AF21" s="796"/>
      <c r="AG21" s="797"/>
      <c r="AH21" s="798"/>
      <c r="AI21" s="799"/>
      <c r="AJ21" s="793"/>
      <c r="AK21" s="790"/>
      <c r="AL21" s="791"/>
      <c r="AM21" s="791"/>
      <c r="AN21" s="791"/>
      <c r="AO21" s="791"/>
      <c r="AP21" s="794"/>
      <c r="AQ21" s="794"/>
      <c r="AR21" s="794"/>
      <c r="AS21" s="792"/>
      <c r="AT21" s="1314"/>
      <c r="AU21" s="1323"/>
      <c r="AV21" s="1314"/>
      <c r="AW21" s="1328"/>
      <c r="AX21" s="206"/>
    </row>
    <row r="22" spans="1:50" ht="25.5" x14ac:dyDescent="0.2">
      <c r="A22" s="802" t="s">
        <v>297</v>
      </c>
      <c r="B22" s="803">
        <v>25200</v>
      </c>
      <c r="C22" s="804"/>
      <c r="D22" s="804">
        <v>25200</v>
      </c>
      <c r="E22" s="804"/>
      <c r="F22" s="804">
        <v>25200</v>
      </c>
      <c r="G22" s="807"/>
      <c r="H22" s="807">
        <v>16200</v>
      </c>
      <c r="I22" s="807"/>
      <c r="J22" s="805">
        <v>25200</v>
      </c>
      <c r="K22" s="1315"/>
      <c r="L22" s="1324"/>
      <c r="M22" s="1315"/>
      <c r="N22" s="1329"/>
      <c r="O22" s="803"/>
      <c r="P22" s="1329"/>
      <c r="Q22" s="803">
        <v>52500</v>
      </c>
      <c r="R22" s="804"/>
      <c r="S22" s="804">
        <v>37500</v>
      </c>
      <c r="T22" s="804"/>
      <c r="U22" s="804">
        <v>25200</v>
      </c>
      <c r="V22" s="807"/>
      <c r="W22" s="807">
        <v>12900</v>
      </c>
      <c r="X22" s="807"/>
      <c r="Y22" s="805">
        <v>16200</v>
      </c>
      <c r="Z22" s="1315"/>
      <c r="AA22" s="1324"/>
      <c r="AB22" s="1315"/>
      <c r="AC22" s="1329"/>
      <c r="AD22" s="808"/>
      <c r="AE22" s="809"/>
      <c r="AF22" s="809"/>
      <c r="AG22" s="810"/>
      <c r="AH22" s="811"/>
      <c r="AI22" s="812"/>
      <c r="AJ22" s="806"/>
      <c r="AK22" s="803">
        <v>25200</v>
      </c>
      <c r="AL22" s="804"/>
      <c r="AM22" s="804">
        <v>25200</v>
      </c>
      <c r="AN22" s="804"/>
      <c r="AO22" s="804">
        <v>25200</v>
      </c>
      <c r="AP22" s="807"/>
      <c r="AQ22" s="807">
        <v>16200</v>
      </c>
      <c r="AR22" s="807"/>
      <c r="AS22" s="805">
        <v>25200</v>
      </c>
      <c r="AT22" s="1315"/>
      <c r="AU22" s="1324"/>
      <c r="AV22" s="1315"/>
      <c r="AW22" s="1329"/>
      <c r="AX22" s="206"/>
    </row>
    <row r="23" spans="1:50" ht="15" customHeight="1" x14ac:dyDescent="0.2">
      <c r="A23" s="814" t="s">
        <v>236</v>
      </c>
      <c r="B23" s="790">
        <v>25200</v>
      </c>
      <c r="C23" s="791"/>
      <c r="D23" s="791">
        <v>25200</v>
      </c>
      <c r="E23" s="791"/>
      <c r="F23" s="791">
        <v>25200</v>
      </c>
      <c r="G23" s="794"/>
      <c r="H23" s="794">
        <v>16200</v>
      </c>
      <c r="I23" s="794"/>
      <c r="J23" s="792">
        <v>16200</v>
      </c>
      <c r="K23" s="1314"/>
      <c r="L23" s="1323"/>
      <c r="M23" s="1314">
        <v>25200</v>
      </c>
      <c r="N23" s="1328"/>
      <c r="O23" s="790">
        <v>16200</v>
      </c>
      <c r="P23" s="1328"/>
      <c r="Q23" s="790">
        <v>37500</v>
      </c>
      <c r="R23" s="791"/>
      <c r="S23" s="791">
        <v>25200</v>
      </c>
      <c r="T23" s="791"/>
      <c r="U23" s="791">
        <v>16200</v>
      </c>
      <c r="V23" s="794"/>
      <c r="W23" s="794">
        <v>16200</v>
      </c>
      <c r="X23" s="794"/>
      <c r="Y23" s="792">
        <v>16200</v>
      </c>
      <c r="Z23" s="1314"/>
      <c r="AA23" s="1323"/>
      <c r="AB23" s="1314">
        <v>16200</v>
      </c>
      <c r="AC23" s="1328"/>
      <c r="AD23" s="795"/>
      <c r="AE23" s="796"/>
      <c r="AF23" s="796"/>
      <c r="AG23" s="797"/>
      <c r="AH23" s="798"/>
      <c r="AI23" s="799"/>
      <c r="AJ23" s="793"/>
      <c r="AK23" s="790">
        <v>25200</v>
      </c>
      <c r="AL23" s="791"/>
      <c r="AM23" s="791">
        <v>25200</v>
      </c>
      <c r="AN23" s="791"/>
      <c r="AO23" s="791">
        <v>25200</v>
      </c>
      <c r="AP23" s="794"/>
      <c r="AQ23" s="794">
        <v>16200</v>
      </c>
      <c r="AR23" s="794"/>
      <c r="AS23" s="792">
        <v>16200</v>
      </c>
      <c r="AT23" s="1314"/>
      <c r="AU23" s="1323"/>
      <c r="AV23" s="1314">
        <v>25200</v>
      </c>
      <c r="AW23" s="1328"/>
      <c r="AX23" s="206"/>
    </row>
    <row r="24" spans="1:50" ht="15" customHeight="1" x14ac:dyDescent="0.2">
      <c r="A24" s="814" t="s">
        <v>237</v>
      </c>
      <c r="B24" s="815">
        <v>25200</v>
      </c>
      <c r="C24" s="816"/>
      <c r="D24" s="816">
        <v>25200</v>
      </c>
      <c r="E24" s="816"/>
      <c r="F24" s="816">
        <v>37500</v>
      </c>
      <c r="G24" s="819"/>
      <c r="H24" s="819">
        <v>31350</v>
      </c>
      <c r="I24" s="819"/>
      <c r="J24" s="817">
        <v>25200</v>
      </c>
      <c r="K24" s="1316"/>
      <c r="L24" s="1325"/>
      <c r="M24" s="1314">
        <v>37500</v>
      </c>
      <c r="N24" s="1330"/>
      <c r="O24" s="815">
        <v>16200</v>
      </c>
      <c r="P24" s="1330"/>
      <c r="Q24" s="815">
        <v>20700</v>
      </c>
      <c r="R24" s="816"/>
      <c r="S24" s="816">
        <v>52500</v>
      </c>
      <c r="T24" s="816"/>
      <c r="U24" s="816">
        <v>25200</v>
      </c>
      <c r="V24" s="819"/>
      <c r="W24" s="819">
        <v>0</v>
      </c>
      <c r="X24" s="819"/>
      <c r="Y24" s="817">
        <v>0</v>
      </c>
      <c r="Z24" s="1316"/>
      <c r="AA24" s="1325"/>
      <c r="AB24" s="1316">
        <v>25200</v>
      </c>
      <c r="AC24" s="1330"/>
      <c r="AD24" s="820"/>
      <c r="AE24" s="821"/>
      <c r="AF24" s="821"/>
      <c r="AG24" s="822"/>
      <c r="AH24" s="823"/>
      <c r="AI24" s="824"/>
      <c r="AJ24" s="818"/>
      <c r="AK24" s="815">
        <v>25200</v>
      </c>
      <c r="AL24" s="816"/>
      <c r="AM24" s="816">
        <v>38850</v>
      </c>
      <c r="AN24" s="816"/>
      <c r="AO24" s="816">
        <v>37500</v>
      </c>
      <c r="AP24" s="819"/>
      <c r="AQ24" s="819">
        <v>31350</v>
      </c>
      <c r="AR24" s="819"/>
      <c r="AS24" s="817">
        <v>25200</v>
      </c>
      <c r="AT24" s="1316"/>
      <c r="AU24" s="1325"/>
      <c r="AV24" s="1316">
        <v>37500</v>
      </c>
      <c r="AW24" s="1330"/>
      <c r="AX24" s="206"/>
    </row>
    <row r="25" spans="1:50" ht="15" customHeight="1" x14ac:dyDescent="0.2">
      <c r="A25" s="814" t="s">
        <v>238</v>
      </c>
      <c r="B25" s="815">
        <v>25200</v>
      </c>
      <c r="C25" s="816"/>
      <c r="D25" s="816">
        <v>45000</v>
      </c>
      <c r="E25" s="816"/>
      <c r="F25" s="816">
        <v>25200</v>
      </c>
      <c r="G25" s="819"/>
      <c r="H25" s="819">
        <v>0</v>
      </c>
      <c r="I25" s="819"/>
      <c r="J25" s="817">
        <v>80400</v>
      </c>
      <c r="K25" s="1316"/>
      <c r="L25" s="1325"/>
      <c r="M25" s="1314">
        <v>25200</v>
      </c>
      <c r="N25" s="1330"/>
      <c r="O25" s="815">
        <v>16200</v>
      </c>
      <c r="P25" s="1330"/>
      <c r="Q25" s="815">
        <v>0</v>
      </c>
      <c r="R25" s="816"/>
      <c r="S25" s="816">
        <v>0</v>
      </c>
      <c r="T25" s="816"/>
      <c r="U25" s="816">
        <v>16200</v>
      </c>
      <c r="V25" s="819"/>
      <c r="W25" s="819">
        <v>0</v>
      </c>
      <c r="X25" s="819"/>
      <c r="Y25" s="817">
        <v>0</v>
      </c>
      <c r="Z25" s="1316"/>
      <c r="AA25" s="1325"/>
      <c r="AB25" s="1316">
        <v>16200</v>
      </c>
      <c r="AC25" s="1330"/>
      <c r="AD25" s="820"/>
      <c r="AE25" s="821"/>
      <c r="AF25" s="821"/>
      <c r="AG25" s="822"/>
      <c r="AH25" s="823"/>
      <c r="AI25" s="824"/>
      <c r="AJ25" s="818"/>
      <c r="AK25" s="815">
        <v>25200</v>
      </c>
      <c r="AL25" s="816"/>
      <c r="AM25" s="816">
        <v>45000</v>
      </c>
      <c r="AN25" s="816"/>
      <c r="AO25" s="816">
        <v>25200</v>
      </c>
      <c r="AP25" s="819"/>
      <c r="AQ25" s="819">
        <v>0</v>
      </c>
      <c r="AR25" s="819"/>
      <c r="AS25" s="817">
        <v>80400</v>
      </c>
      <c r="AT25" s="1316"/>
      <c r="AU25" s="1325"/>
      <c r="AV25" s="1316">
        <v>25200</v>
      </c>
      <c r="AW25" s="1330"/>
      <c r="AX25" s="206"/>
    </row>
    <row r="26" spans="1:50" ht="15" customHeight="1" x14ac:dyDescent="0.2">
      <c r="A26" s="814" t="s">
        <v>239</v>
      </c>
      <c r="B26" s="815">
        <v>25200</v>
      </c>
      <c r="C26" s="816"/>
      <c r="D26" s="816">
        <v>25200</v>
      </c>
      <c r="E26" s="816"/>
      <c r="F26" s="816">
        <v>25200</v>
      </c>
      <c r="G26" s="819"/>
      <c r="H26" s="819">
        <v>16200</v>
      </c>
      <c r="I26" s="819"/>
      <c r="J26" s="817">
        <v>20700</v>
      </c>
      <c r="K26" s="1316"/>
      <c r="L26" s="1325"/>
      <c r="M26" s="1314">
        <v>25200</v>
      </c>
      <c r="N26" s="1330"/>
      <c r="O26" s="815">
        <v>16200</v>
      </c>
      <c r="P26" s="1330"/>
      <c r="Q26" s="815">
        <v>0</v>
      </c>
      <c r="R26" s="816"/>
      <c r="S26" s="816">
        <v>0</v>
      </c>
      <c r="T26" s="816"/>
      <c r="U26" s="816">
        <v>25200</v>
      </c>
      <c r="V26" s="819"/>
      <c r="W26" s="819">
        <v>0</v>
      </c>
      <c r="X26" s="819"/>
      <c r="Y26" s="817">
        <v>37500</v>
      </c>
      <c r="Z26" s="1316"/>
      <c r="AA26" s="1325"/>
      <c r="AB26" s="1316">
        <v>31350</v>
      </c>
      <c r="AC26" s="1330"/>
      <c r="AD26" s="820"/>
      <c r="AE26" s="821"/>
      <c r="AF26" s="821"/>
      <c r="AG26" s="822"/>
      <c r="AH26" s="823"/>
      <c r="AI26" s="824"/>
      <c r="AJ26" s="818"/>
      <c r="AK26" s="815">
        <v>25200</v>
      </c>
      <c r="AL26" s="816"/>
      <c r="AM26" s="816">
        <v>25200</v>
      </c>
      <c r="AN26" s="816"/>
      <c r="AO26" s="816">
        <v>25200</v>
      </c>
      <c r="AP26" s="819"/>
      <c r="AQ26" s="819">
        <v>16200</v>
      </c>
      <c r="AR26" s="819"/>
      <c r="AS26" s="817">
        <v>25200</v>
      </c>
      <c r="AT26" s="1316"/>
      <c r="AU26" s="1325"/>
      <c r="AV26" s="1316">
        <v>25200</v>
      </c>
      <c r="AW26" s="1330"/>
      <c r="AX26" s="206"/>
    </row>
    <row r="27" spans="1:50" ht="15" customHeight="1" x14ac:dyDescent="0.2">
      <c r="A27" s="814" t="s">
        <v>240</v>
      </c>
      <c r="B27" s="815">
        <v>37500</v>
      </c>
      <c r="C27" s="816"/>
      <c r="D27" s="816">
        <v>25200</v>
      </c>
      <c r="E27" s="816"/>
      <c r="F27" s="816">
        <v>37500</v>
      </c>
      <c r="G27" s="819"/>
      <c r="H27" s="819">
        <v>25200</v>
      </c>
      <c r="I27" s="819"/>
      <c r="J27" s="817">
        <v>70200</v>
      </c>
      <c r="K27" s="1316"/>
      <c r="L27" s="1325"/>
      <c r="M27" s="1314">
        <v>37500</v>
      </c>
      <c r="N27" s="1330"/>
      <c r="O27" s="815">
        <v>16200</v>
      </c>
      <c r="P27" s="1330"/>
      <c r="Q27" s="815">
        <v>75300</v>
      </c>
      <c r="R27" s="816"/>
      <c r="S27" s="816">
        <v>37500</v>
      </c>
      <c r="T27" s="816"/>
      <c r="U27" s="816">
        <v>37500</v>
      </c>
      <c r="V27" s="819"/>
      <c r="W27" s="819">
        <v>0</v>
      </c>
      <c r="X27" s="819"/>
      <c r="Y27" s="817">
        <v>16200</v>
      </c>
      <c r="Z27" s="1316"/>
      <c r="AA27" s="1325"/>
      <c r="AB27" s="1316">
        <v>37500</v>
      </c>
      <c r="AC27" s="1330"/>
      <c r="AD27" s="820"/>
      <c r="AE27" s="821"/>
      <c r="AF27" s="821"/>
      <c r="AG27" s="822"/>
      <c r="AH27" s="823"/>
      <c r="AI27" s="824"/>
      <c r="AJ27" s="818"/>
      <c r="AK27" s="815">
        <v>52500</v>
      </c>
      <c r="AL27" s="816"/>
      <c r="AM27" s="816">
        <v>25200</v>
      </c>
      <c r="AN27" s="816"/>
      <c r="AO27" s="816">
        <v>37500</v>
      </c>
      <c r="AP27" s="819"/>
      <c r="AQ27" s="819">
        <v>25200</v>
      </c>
      <c r="AR27" s="819"/>
      <c r="AS27" s="817">
        <v>61350</v>
      </c>
      <c r="AT27" s="1316"/>
      <c r="AU27" s="1325"/>
      <c r="AV27" s="1316">
        <v>37500</v>
      </c>
      <c r="AW27" s="1330"/>
      <c r="AX27" s="206"/>
    </row>
    <row r="28" spans="1:50" ht="15" customHeight="1" x14ac:dyDescent="0.2">
      <c r="A28" s="814" t="s">
        <v>241</v>
      </c>
      <c r="B28" s="815">
        <v>9600</v>
      </c>
      <c r="C28" s="816"/>
      <c r="D28" s="816">
        <v>16200</v>
      </c>
      <c r="E28" s="816"/>
      <c r="F28" s="816">
        <v>25200</v>
      </c>
      <c r="G28" s="819"/>
      <c r="H28" s="819">
        <v>16200</v>
      </c>
      <c r="I28" s="819"/>
      <c r="J28" s="817">
        <v>34350</v>
      </c>
      <c r="K28" s="1316"/>
      <c r="L28" s="1325"/>
      <c r="M28" s="1314">
        <v>25200</v>
      </c>
      <c r="N28" s="1330"/>
      <c r="O28" s="815">
        <v>16200</v>
      </c>
      <c r="P28" s="1330"/>
      <c r="Q28" s="815">
        <v>58950</v>
      </c>
      <c r="R28" s="816"/>
      <c r="S28" s="816">
        <v>0</v>
      </c>
      <c r="T28" s="816"/>
      <c r="U28" s="816">
        <v>37500</v>
      </c>
      <c r="V28" s="819"/>
      <c r="W28" s="819">
        <v>9600</v>
      </c>
      <c r="X28" s="819"/>
      <c r="Y28" s="817">
        <v>16200</v>
      </c>
      <c r="Z28" s="1316"/>
      <c r="AA28" s="1325"/>
      <c r="AB28" s="1316">
        <v>31350</v>
      </c>
      <c r="AC28" s="1330"/>
      <c r="AD28" s="820"/>
      <c r="AE28" s="821"/>
      <c r="AF28" s="821"/>
      <c r="AG28" s="822"/>
      <c r="AH28" s="823"/>
      <c r="AI28" s="824"/>
      <c r="AJ28" s="818"/>
      <c r="AK28" s="815">
        <v>37500</v>
      </c>
      <c r="AL28" s="816"/>
      <c r="AM28" s="816">
        <v>16200</v>
      </c>
      <c r="AN28" s="816"/>
      <c r="AO28" s="816">
        <v>25200</v>
      </c>
      <c r="AP28" s="819"/>
      <c r="AQ28" s="819">
        <v>16200</v>
      </c>
      <c r="AR28" s="819"/>
      <c r="AS28" s="817">
        <v>16200</v>
      </c>
      <c r="AT28" s="1316"/>
      <c r="AU28" s="1325"/>
      <c r="AV28" s="1316">
        <v>25200</v>
      </c>
      <c r="AW28" s="1330"/>
      <c r="AX28" s="206"/>
    </row>
    <row r="29" spans="1:50" ht="15" customHeight="1" x14ac:dyDescent="0.2">
      <c r="A29" s="826" t="s">
        <v>242</v>
      </c>
      <c r="B29" s="827"/>
      <c r="C29" s="828"/>
      <c r="D29" s="828"/>
      <c r="E29" s="828"/>
      <c r="F29" s="828"/>
      <c r="G29" s="831"/>
      <c r="H29" s="831"/>
      <c r="I29" s="831"/>
      <c r="J29" s="829"/>
      <c r="K29" s="827"/>
      <c r="L29" s="1326"/>
      <c r="M29" s="827"/>
      <c r="N29" s="1331"/>
      <c r="O29" s="827"/>
      <c r="P29" s="1331"/>
      <c r="Q29" s="827"/>
      <c r="R29" s="828"/>
      <c r="S29" s="828"/>
      <c r="T29" s="828"/>
      <c r="U29" s="828"/>
      <c r="V29" s="831"/>
      <c r="W29" s="831"/>
      <c r="X29" s="831"/>
      <c r="Y29" s="829"/>
      <c r="Z29" s="827"/>
      <c r="AA29" s="1326"/>
      <c r="AB29" s="827"/>
      <c r="AC29" s="1331"/>
      <c r="AD29" s="827"/>
      <c r="AE29" s="828"/>
      <c r="AF29" s="828"/>
      <c r="AG29" s="831"/>
      <c r="AH29" s="829"/>
      <c r="AI29" s="832"/>
      <c r="AJ29" s="830"/>
      <c r="AK29" s="827"/>
      <c r="AL29" s="828"/>
      <c r="AM29" s="828"/>
      <c r="AN29" s="828"/>
      <c r="AO29" s="828"/>
      <c r="AP29" s="831"/>
      <c r="AQ29" s="831"/>
      <c r="AR29" s="831"/>
      <c r="AS29" s="829"/>
      <c r="AT29" s="827"/>
      <c r="AU29" s="1326"/>
      <c r="AV29" s="827"/>
      <c r="AW29" s="1331"/>
      <c r="AX29" s="206"/>
    </row>
    <row r="30" spans="1:50" ht="25.5" x14ac:dyDescent="0.2">
      <c r="A30" s="802" t="s">
        <v>298</v>
      </c>
      <c r="B30" s="803">
        <v>16200</v>
      </c>
      <c r="C30" s="804"/>
      <c r="D30" s="804">
        <v>25200</v>
      </c>
      <c r="E30" s="804"/>
      <c r="F30" s="804">
        <v>16200</v>
      </c>
      <c r="G30" s="807"/>
      <c r="H30" s="807">
        <v>16200</v>
      </c>
      <c r="I30" s="807"/>
      <c r="J30" s="805">
        <v>20700</v>
      </c>
      <c r="K30" s="1315"/>
      <c r="L30" s="1324"/>
      <c r="M30" s="1315"/>
      <c r="N30" s="1329"/>
      <c r="O30" s="803"/>
      <c r="P30" s="1329"/>
      <c r="Q30" s="803">
        <v>16200</v>
      </c>
      <c r="R30" s="804"/>
      <c r="S30" s="804">
        <v>25200</v>
      </c>
      <c r="T30" s="804"/>
      <c r="U30" s="804">
        <v>16200</v>
      </c>
      <c r="V30" s="807"/>
      <c r="W30" s="807">
        <v>9600</v>
      </c>
      <c r="X30" s="807"/>
      <c r="Y30" s="805">
        <v>16200</v>
      </c>
      <c r="Z30" s="1315"/>
      <c r="AA30" s="1324"/>
      <c r="AB30" s="1315"/>
      <c r="AC30" s="1329"/>
      <c r="AD30" s="808"/>
      <c r="AE30" s="809"/>
      <c r="AF30" s="809"/>
      <c r="AG30" s="810"/>
      <c r="AH30" s="811"/>
      <c r="AI30" s="812"/>
      <c r="AJ30" s="806"/>
      <c r="AK30" s="803">
        <v>16200</v>
      </c>
      <c r="AL30" s="804"/>
      <c r="AM30" s="804">
        <v>25200</v>
      </c>
      <c r="AN30" s="804"/>
      <c r="AO30" s="804">
        <v>16200</v>
      </c>
      <c r="AP30" s="807"/>
      <c r="AQ30" s="807">
        <v>16200</v>
      </c>
      <c r="AR30" s="807"/>
      <c r="AS30" s="805">
        <v>16200</v>
      </c>
      <c r="AT30" s="1315"/>
      <c r="AU30" s="1324"/>
      <c r="AV30" s="1315"/>
      <c r="AW30" s="1329"/>
      <c r="AX30" s="206"/>
    </row>
    <row r="31" spans="1:50" ht="15" customHeight="1" x14ac:dyDescent="0.2">
      <c r="A31" s="814" t="s">
        <v>236</v>
      </c>
      <c r="B31" s="790">
        <v>16200</v>
      </c>
      <c r="C31" s="791"/>
      <c r="D31" s="791">
        <v>0</v>
      </c>
      <c r="E31" s="791"/>
      <c r="F31" s="791">
        <v>16200</v>
      </c>
      <c r="G31" s="794"/>
      <c r="H31" s="794">
        <v>16200</v>
      </c>
      <c r="I31" s="794"/>
      <c r="J31" s="792">
        <v>25200</v>
      </c>
      <c r="K31" s="1314"/>
      <c r="L31" s="1323"/>
      <c r="M31" s="1314">
        <v>16200</v>
      </c>
      <c r="N31" s="1328"/>
      <c r="O31" s="790">
        <v>16200</v>
      </c>
      <c r="P31" s="1328"/>
      <c r="Q31" s="790">
        <v>11700</v>
      </c>
      <c r="R31" s="791"/>
      <c r="S31" s="791">
        <v>0</v>
      </c>
      <c r="T31" s="791"/>
      <c r="U31" s="791">
        <v>9600</v>
      </c>
      <c r="V31" s="794"/>
      <c r="W31" s="794">
        <v>0</v>
      </c>
      <c r="X31" s="794"/>
      <c r="Y31" s="792">
        <v>0</v>
      </c>
      <c r="Z31" s="1314"/>
      <c r="AA31" s="1323"/>
      <c r="AB31" s="1314">
        <v>9600</v>
      </c>
      <c r="AC31" s="1328"/>
      <c r="AD31" s="795"/>
      <c r="AE31" s="796"/>
      <c r="AF31" s="796"/>
      <c r="AG31" s="797"/>
      <c r="AH31" s="798"/>
      <c r="AI31" s="799"/>
      <c r="AJ31" s="793"/>
      <c r="AK31" s="790">
        <v>16200</v>
      </c>
      <c r="AL31" s="791"/>
      <c r="AM31" s="791">
        <v>0</v>
      </c>
      <c r="AN31" s="791"/>
      <c r="AO31" s="791">
        <v>16200</v>
      </c>
      <c r="AP31" s="794"/>
      <c r="AQ31" s="794">
        <v>16200</v>
      </c>
      <c r="AR31" s="794"/>
      <c r="AS31" s="792">
        <v>25200</v>
      </c>
      <c r="AT31" s="1314"/>
      <c r="AU31" s="1323"/>
      <c r="AV31" s="1314">
        <v>16200</v>
      </c>
      <c r="AW31" s="1328"/>
      <c r="AX31" s="206"/>
    </row>
    <row r="32" spans="1:50" ht="15" customHeight="1" x14ac:dyDescent="0.2">
      <c r="A32" s="814" t="s">
        <v>237</v>
      </c>
      <c r="B32" s="815">
        <v>25200</v>
      </c>
      <c r="C32" s="816"/>
      <c r="D32" s="816">
        <v>52500</v>
      </c>
      <c r="E32" s="816"/>
      <c r="F32" s="816">
        <v>25200</v>
      </c>
      <c r="G32" s="819"/>
      <c r="H32" s="819">
        <v>16200</v>
      </c>
      <c r="I32" s="819"/>
      <c r="J32" s="817">
        <v>16200</v>
      </c>
      <c r="K32" s="1316"/>
      <c r="L32" s="1325"/>
      <c r="M32" s="1316">
        <v>25200</v>
      </c>
      <c r="N32" s="1330"/>
      <c r="O32" s="815">
        <v>16200</v>
      </c>
      <c r="P32" s="1330"/>
      <c r="Q32" s="815">
        <v>31350</v>
      </c>
      <c r="R32" s="816"/>
      <c r="S32" s="816">
        <v>34350</v>
      </c>
      <c r="T32" s="816"/>
      <c r="U32" s="816">
        <v>25200</v>
      </c>
      <c r="V32" s="819"/>
      <c r="W32" s="819">
        <v>0</v>
      </c>
      <c r="X32" s="819"/>
      <c r="Y32" s="817">
        <v>0</v>
      </c>
      <c r="Z32" s="1316"/>
      <c r="AA32" s="1325"/>
      <c r="AB32" s="1316">
        <v>25200</v>
      </c>
      <c r="AC32" s="1330"/>
      <c r="AD32" s="820"/>
      <c r="AE32" s="821"/>
      <c r="AF32" s="821"/>
      <c r="AG32" s="822"/>
      <c r="AH32" s="823"/>
      <c r="AI32" s="824"/>
      <c r="AJ32" s="818"/>
      <c r="AK32" s="815">
        <v>25200</v>
      </c>
      <c r="AL32" s="816"/>
      <c r="AM32" s="816">
        <v>52500</v>
      </c>
      <c r="AN32" s="816"/>
      <c r="AO32" s="816">
        <v>25200</v>
      </c>
      <c r="AP32" s="819"/>
      <c r="AQ32" s="819">
        <v>16200</v>
      </c>
      <c r="AR32" s="819"/>
      <c r="AS32" s="817">
        <v>16200</v>
      </c>
      <c r="AT32" s="1316"/>
      <c r="AU32" s="1325"/>
      <c r="AV32" s="1316">
        <v>25200</v>
      </c>
      <c r="AW32" s="1330"/>
      <c r="AX32" s="206"/>
    </row>
    <row r="33" spans="1:50" ht="15" customHeight="1" x14ac:dyDescent="0.2">
      <c r="A33" s="814" t="s">
        <v>238</v>
      </c>
      <c r="B33" s="815">
        <v>38850</v>
      </c>
      <c r="C33" s="816"/>
      <c r="D33" s="816">
        <v>23550</v>
      </c>
      <c r="E33" s="816"/>
      <c r="F33" s="816">
        <v>16200</v>
      </c>
      <c r="G33" s="819"/>
      <c r="H33" s="819">
        <v>0</v>
      </c>
      <c r="I33" s="819"/>
      <c r="J33" s="817">
        <v>25200</v>
      </c>
      <c r="K33" s="1316"/>
      <c r="L33" s="1325"/>
      <c r="M33" s="1316">
        <v>16200</v>
      </c>
      <c r="N33" s="1330"/>
      <c r="O33" s="815">
        <v>16200</v>
      </c>
      <c r="P33" s="1330"/>
      <c r="Q33" s="815">
        <v>7200</v>
      </c>
      <c r="R33" s="816"/>
      <c r="S33" s="816">
        <v>52500</v>
      </c>
      <c r="T33" s="816"/>
      <c r="U33" s="816">
        <v>9600</v>
      </c>
      <c r="V33" s="819"/>
      <c r="W33" s="819">
        <v>0</v>
      </c>
      <c r="X33" s="819"/>
      <c r="Y33" s="817">
        <v>0</v>
      </c>
      <c r="Z33" s="1316"/>
      <c r="AA33" s="1325"/>
      <c r="AB33" s="1316">
        <v>9600</v>
      </c>
      <c r="AC33" s="1330"/>
      <c r="AD33" s="820"/>
      <c r="AE33" s="821"/>
      <c r="AF33" s="821"/>
      <c r="AG33" s="822"/>
      <c r="AH33" s="823"/>
      <c r="AI33" s="824"/>
      <c r="AJ33" s="818"/>
      <c r="AK33" s="815">
        <v>25200</v>
      </c>
      <c r="AL33" s="816"/>
      <c r="AM33" s="816">
        <v>37500</v>
      </c>
      <c r="AN33" s="816"/>
      <c r="AO33" s="816">
        <v>16200</v>
      </c>
      <c r="AP33" s="819"/>
      <c r="AQ33" s="819">
        <v>0</v>
      </c>
      <c r="AR33" s="819"/>
      <c r="AS33" s="817">
        <v>25200</v>
      </c>
      <c r="AT33" s="1316"/>
      <c r="AU33" s="1325"/>
      <c r="AV33" s="1316">
        <v>16200</v>
      </c>
      <c r="AW33" s="1330"/>
      <c r="AX33" s="206"/>
    </row>
    <row r="34" spans="1:50" ht="15" customHeight="1" x14ac:dyDescent="0.2">
      <c r="A34" s="814" t="s">
        <v>239</v>
      </c>
      <c r="B34" s="815">
        <v>16200</v>
      </c>
      <c r="C34" s="816"/>
      <c r="D34" s="816">
        <v>25200</v>
      </c>
      <c r="E34" s="816"/>
      <c r="F34" s="816">
        <v>16200</v>
      </c>
      <c r="G34" s="819"/>
      <c r="H34" s="819">
        <v>0</v>
      </c>
      <c r="I34" s="819"/>
      <c r="J34" s="817">
        <v>16200</v>
      </c>
      <c r="K34" s="1316"/>
      <c r="L34" s="1325"/>
      <c r="M34" s="1316">
        <v>16200</v>
      </c>
      <c r="N34" s="1330"/>
      <c r="O34" s="815">
        <v>16200</v>
      </c>
      <c r="P34" s="1330"/>
      <c r="Q34" s="815">
        <v>0</v>
      </c>
      <c r="R34" s="816"/>
      <c r="S34" s="816">
        <v>0</v>
      </c>
      <c r="T34" s="816"/>
      <c r="U34" s="816">
        <v>25200</v>
      </c>
      <c r="V34" s="819"/>
      <c r="W34" s="819">
        <v>0</v>
      </c>
      <c r="X34" s="819"/>
      <c r="Y34" s="817">
        <v>0</v>
      </c>
      <c r="Z34" s="1316"/>
      <c r="AA34" s="1325"/>
      <c r="AB34" s="1316">
        <v>25200</v>
      </c>
      <c r="AC34" s="1330"/>
      <c r="AD34" s="820"/>
      <c r="AE34" s="821"/>
      <c r="AF34" s="821"/>
      <c r="AG34" s="822"/>
      <c r="AH34" s="823"/>
      <c r="AI34" s="824"/>
      <c r="AJ34" s="818"/>
      <c r="AK34" s="815">
        <v>16200</v>
      </c>
      <c r="AL34" s="816"/>
      <c r="AM34" s="816">
        <v>25200</v>
      </c>
      <c r="AN34" s="816"/>
      <c r="AO34" s="816">
        <v>16200</v>
      </c>
      <c r="AP34" s="819"/>
      <c r="AQ34" s="819">
        <v>0</v>
      </c>
      <c r="AR34" s="819"/>
      <c r="AS34" s="817">
        <v>16200</v>
      </c>
      <c r="AT34" s="1316"/>
      <c r="AU34" s="1325"/>
      <c r="AV34" s="1316">
        <v>16200</v>
      </c>
      <c r="AW34" s="1330"/>
      <c r="AX34" s="206"/>
    </row>
    <row r="35" spans="1:50" ht="15" customHeight="1" x14ac:dyDescent="0.2">
      <c r="A35" s="814" t="s">
        <v>240</v>
      </c>
      <c r="B35" s="815">
        <v>16200</v>
      </c>
      <c r="C35" s="816"/>
      <c r="D35" s="816">
        <v>26850</v>
      </c>
      <c r="E35" s="816"/>
      <c r="F35" s="816">
        <v>25200</v>
      </c>
      <c r="G35" s="819"/>
      <c r="H35" s="819">
        <v>0</v>
      </c>
      <c r="I35" s="819"/>
      <c r="J35" s="817">
        <v>25200</v>
      </c>
      <c r="K35" s="1316"/>
      <c r="L35" s="1325"/>
      <c r="M35" s="1316">
        <v>25200</v>
      </c>
      <c r="N35" s="1330"/>
      <c r="O35" s="815">
        <v>16200</v>
      </c>
      <c r="P35" s="1330"/>
      <c r="Q35" s="815">
        <v>9600</v>
      </c>
      <c r="R35" s="816"/>
      <c r="S35" s="816">
        <v>25200</v>
      </c>
      <c r="T35" s="816"/>
      <c r="U35" s="816">
        <v>25200</v>
      </c>
      <c r="V35" s="819"/>
      <c r="W35" s="819">
        <v>0</v>
      </c>
      <c r="X35" s="819"/>
      <c r="Y35" s="817">
        <v>34350</v>
      </c>
      <c r="Z35" s="1316"/>
      <c r="AA35" s="1325"/>
      <c r="AB35" s="1316">
        <v>25200</v>
      </c>
      <c r="AC35" s="1330"/>
      <c r="AD35" s="820"/>
      <c r="AE35" s="821"/>
      <c r="AF35" s="821"/>
      <c r="AG35" s="822"/>
      <c r="AH35" s="823"/>
      <c r="AI35" s="824"/>
      <c r="AJ35" s="818"/>
      <c r="AK35" s="815">
        <v>12900</v>
      </c>
      <c r="AL35" s="816"/>
      <c r="AM35" s="816">
        <v>25200</v>
      </c>
      <c r="AN35" s="816"/>
      <c r="AO35" s="816">
        <v>25200</v>
      </c>
      <c r="AP35" s="819"/>
      <c r="AQ35" s="819">
        <v>0</v>
      </c>
      <c r="AR35" s="819"/>
      <c r="AS35" s="817">
        <v>25200</v>
      </c>
      <c r="AT35" s="1316"/>
      <c r="AU35" s="1325"/>
      <c r="AV35" s="1316">
        <v>25200</v>
      </c>
      <c r="AW35" s="1330"/>
      <c r="AX35" s="206"/>
    </row>
    <row r="36" spans="1:50" ht="15" customHeight="1" x14ac:dyDescent="0.2">
      <c r="A36" s="814" t="s">
        <v>241</v>
      </c>
      <c r="B36" s="815">
        <v>0</v>
      </c>
      <c r="C36" s="816"/>
      <c r="D36" s="816">
        <v>80400</v>
      </c>
      <c r="E36" s="816"/>
      <c r="F36" s="816">
        <v>16200</v>
      </c>
      <c r="G36" s="819"/>
      <c r="H36" s="819">
        <v>16200</v>
      </c>
      <c r="I36" s="819"/>
      <c r="J36" s="817">
        <v>52500</v>
      </c>
      <c r="K36" s="1316"/>
      <c r="L36" s="1325"/>
      <c r="M36" s="1316">
        <v>16200</v>
      </c>
      <c r="N36" s="1330"/>
      <c r="O36" s="815">
        <v>16200</v>
      </c>
      <c r="P36" s="1330"/>
      <c r="Q36" s="815">
        <v>25200</v>
      </c>
      <c r="R36" s="816"/>
      <c r="S36" s="816">
        <v>16200</v>
      </c>
      <c r="T36" s="816"/>
      <c r="U36" s="816">
        <v>16200</v>
      </c>
      <c r="V36" s="819"/>
      <c r="W36" s="819">
        <v>9600</v>
      </c>
      <c r="X36" s="819"/>
      <c r="Y36" s="817">
        <v>11700</v>
      </c>
      <c r="Z36" s="1316"/>
      <c r="AA36" s="1325"/>
      <c r="AB36" s="1316">
        <v>16200</v>
      </c>
      <c r="AC36" s="1330"/>
      <c r="AD36" s="820"/>
      <c r="AE36" s="821"/>
      <c r="AF36" s="821"/>
      <c r="AG36" s="822"/>
      <c r="AH36" s="823"/>
      <c r="AI36" s="824"/>
      <c r="AJ36" s="818"/>
      <c r="AK36" s="815">
        <v>25200</v>
      </c>
      <c r="AL36" s="816"/>
      <c r="AM36" s="816">
        <v>20700</v>
      </c>
      <c r="AN36" s="816"/>
      <c r="AO36" s="816">
        <v>16200</v>
      </c>
      <c r="AP36" s="819"/>
      <c r="AQ36" s="819">
        <v>12900</v>
      </c>
      <c r="AR36" s="819"/>
      <c r="AS36" s="817">
        <v>16200</v>
      </c>
      <c r="AT36" s="1316"/>
      <c r="AU36" s="1325"/>
      <c r="AV36" s="1316">
        <v>16200</v>
      </c>
      <c r="AW36" s="1330"/>
      <c r="AX36" s="206"/>
    </row>
    <row r="37" spans="1:50" ht="15" customHeight="1" x14ac:dyDescent="0.2">
      <c r="A37" s="826" t="s">
        <v>242</v>
      </c>
      <c r="B37" s="827"/>
      <c r="C37" s="828"/>
      <c r="D37" s="828"/>
      <c r="E37" s="828"/>
      <c r="F37" s="828"/>
      <c r="G37" s="831"/>
      <c r="H37" s="831"/>
      <c r="I37" s="831"/>
      <c r="J37" s="829"/>
      <c r="K37" s="827"/>
      <c r="L37" s="1326"/>
      <c r="M37" s="827"/>
      <c r="N37" s="1331"/>
      <c r="O37" s="827"/>
      <c r="P37" s="1331"/>
      <c r="Q37" s="827"/>
      <c r="R37" s="828"/>
      <c r="S37" s="828"/>
      <c r="T37" s="828"/>
      <c r="U37" s="828"/>
      <c r="V37" s="831"/>
      <c r="W37" s="831"/>
      <c r="X37" s="831"/>
      <c r="Y37" s="829"/>
      <c r="Z37" s="827"/>
      <c r="AA37" s="1326"/>
      <c r="AB37" s="827"/>
      <c r="AC37" s="1331"/>
      <c r="AD37" s="827"/>
      <c r="AE37" s="828"/>
      <c r="AF37" s="828"/>
      <c r="AG37" s="831"/>
      <c r="AH37" s="829"/>
      <c r="AI37" s="832"/>
      <c r="AJ37" s="830"/>
      <c r="AK37" s="827"/>
      <c r="AL37" s="828"/>
      <c r="AM37" s="828"/>
      <c r="AN37" s="828"/>
      <c r="AO37" s="828"/>
      <c r="AP37" s="831"/>
      <c r="AQ37" s="831"/>
      <c r="AR37" s="831"/>
      <c r="AS37" s="829"/>
      <c r="AT37" s="827"/>
      <c r="AU37" s="1326"/>
      <c r="AV37" s="827"/>
      <c r="AW37" s="1331"/>
      <c r="AX37" s="206"/>
    </row>
    <row r="38" spans="1:50" ht="25.5" x14ac:dyDescent="0.2">
      <c r="A38" s="833" t="s">
        <v>299</v>
      </c>
      <c r="B38" s="808"/>
      <c r="C38" s="809"/>
      <c r="D38" s="809"/>
      <c r="E38" s="809"/>
      <c r="F38" s="809"/>
      <c r="G38" s="810"/>
      <c r="H38" s="810"/>
      <c r="I38" s="810"/>
      <c r="J38" s="811"/>
      <c r="K38" s="1317"/>
      <c r="L38" s="1324"/>
      <c r="M38" s="1317"/>
      <c r="N38" s="1332"/>
      <c r="O38" s="808"/>
      <c r="P38" s="1332"/>
      <c r="Q38" s="808"/>
      <c r="R38" s="809"/>
      <c r="S38" s="809"/>
      <c r="T38" s="809"/>
      <c r="U38" s="809"/>
      <c r="V38" s="810"/>
      <c r="W38" s="810"/>
      <c r="X38" s="810"/>
      <c r="Y38" s="811"/>
      <c r="Z38" s="1317"/>
      <c r="AA38" s="1324"/>
      <c r="AB38" s="1317"/>
      <c r="AC38" s="1332"/>
      <c r="AD38" s="808"/>
      <c r="AE38" s="809"/>
      <c r="AF38" s="809"/>
      <c r="AG38" s="810"/>
      <c r="AH38" s="811"/>
      <c r="AI38" s="812"/>
      <c r="AJ38" s="813"/>
      <c r="AK38" s="808"/>
      <c r="AL38" s="809"/>
      <c r="AM38" s="809"/>
      <c r="AN38" s="809"/>
      <c r="AO38" s="809"/>
      <c r="AP38" s="810"/>
      <c r="AQ38" s="810"/>
      <c r="AR38" s="810"/>
      <c r="AS38" s="811"/>
      <c r="AT38" s="1317"/>
      <c r="AU38" s="1324"/>
      <c r="AV38" s="1317"/>
      <c r="AW38" s="1332"/>
      <c r="AX38" s="206"/>
    </row>
    <row r="39" spans="1:50" ht="15" customHeight="1" x14ac:dyDescent="0.2">
      <c r="A39" s="834" t="s">
        <v>236</v>
      </c>
      <c r="B39" s="795"/>
      <c r="C39" s="796"/>
      <c r="D39" s="796"/>
      <c r="E39" s="796"/>
      <c r="F39" s="796"/>
      <c r="G39" s="797"/>
      <c r="H39" s="797"/>
      <c r="I39" s="797"/>
      <c r="J39" s="798"/>
      <c r="K39" s="1318"/>
      <c r="L39" s="1323"/>
      <c r="M39" s="1318"/>
      <c r="N39" s="1333"/>
      <c r="O39" s="795"/>
      <c r="P39" s="1333"/>
      <c r="Q39" s="795"/>
      <c r="R39" s="796"/>
      <c r="S39" s="796"/>
      <c r="T39" s="796"/>
      <c r="U39" s="796"/>
      <c r="V39" s="797"/>
      <c r="W39" s="797"/>
      <c r="X39" s="797"/>
      <c r="Y39" s="798"/>
      <c r="Z39" s="1318"/>
      <c r="AA39" s="1323"/>
      <c r="AB39" s="1318"/>
      <c r="AC39" s="1333"/>
      <c r="AD39" s="795"/>
      <c r="AE39" s="796"/>
      <c r="AF39" s="796"/>
      <c r="AG39" s="797"/>
      <c r="AH39" s="798"/>
      <c r="AI39" s="799"/>
      <c r="AJ39" s="800"/>
      <c r="AK39" s="795"/>
      <c r="AL39" s="796"/>
      <c r="AM39" s="796"/>
      <c r="AN39" s="796"/>
      <c r="AO39" s="796"/>
      <c r="AP39" s="797"/>
      <c r="AQ39" s="797"/>
      <c r="AR39" s="797"/>
      <c r="AS39" s="798"/>
      <c r="AT39" s="1318"/>
      <c r="AU39" s="1323"/>
      <c r="AV39" s="1318"/>
      <c r="AW39" s="1333"/>
      <c r="AX39" s="206"/>
    </row>
    <row r="40" spans="1:50" ht="15" customHeight="1" x14ac:dyDescent="0.2">
      <c r="A40" s="834" t="s">
        <v>237</v>
      </c>
      <c r="B40" s="820"/>
      <c r="C40" s="821"/>
      <c r="D40" s="821"/>
      <c r="E40" s="821"/>
      <c r="F40" s="821"/>
      <c r="G40" s="822"/>
      <c r="H40" s="822"/>
      <c r="I40" s="822"/>
      <c r="J40" s="823"/>
      <c r="K40" s="1319"/>
      <c r="L40" s="1325"/>
      <c r="M40" s="1319"/>
      <c r="N40" s="1334"/>
      <c r="O40" s="820"/>
      <c r="P40" s="1334"/>
      <c r="Q40" s="820"/>
      <c r="R40" s="821"/>
      <c r="S40" s="821"/>
      <c r="T40" s="821"/>
      <c r="U40" s="821"/>
      <c r="V40" s="822"/>
      <c r="W40" s="822"/>
      <c r="X40" s="822"/>
      <c r="Y40" s="823"/>
      <c r="Z40" s="1319"/>
      <c r="AA40" s="1325"/>
      <c r="AB40" s="1319"/>
      <c r="AC40" s="1334"/>
      <c r="AD40" s="820"/>
      <c r="AE40" s="821"/>
      <c r="AF40" s="821"/>
      <c r="AG40" s="822"/>
      <c r="AH40" s="823"/>
      <c r="AI40" s="824"/>
      <c r="AJ40" s="825"/>
      <c r="AK40" s="820"/>
      <c r="AL40" s="821"/>
      <c r="AM40" s="821"/>
      <c r="AN40" s="821"/>
      <c r="AO40" s="821"/>
      <c r="AP40" s="822"/>
      <c r="AQ40" s="822"/>
      <c r="AR40" s="822"/>
      <c r="AS40" s="823"/>
      <c r="AT40" s="1319"/>
      <c r="AU40" s="1325"/>
      <c r="AV40" s="1319"/>
      <c r="AW40" s="1334"/>
      <c r="AX40" s="206"/>
    </row>
    <row r="41" spans="1:50" ht="15" customHeight="1" x14ac:dyDescent="0.2">
      <c r="A41" s="834" t="s">
        <v>238</v>
      </c>
      <c r="B41" s="820"/>
      <c r="C41" s="821"/>
      <c r="D41" s="821"/>
      <c r="E41" s="821"/>
      <c r="F41" s="821"/>
      <c r="G41" s="822"/>
      <c r="H41" s="822"/>
      <c r="I41" s="822"/>
      <c r="J41" s="823"/>
      <c r="K41" s="1319"/>
      <c r="L41" s="1325"/>
      <c r="M41" s="1319"/>
      <c r="N41" s="1334"/>
      <c r="O41" s="820"/>
      <c r="P41" s="1334"/>
      <c r="Q41" s="820"/>
      <c r="R41" s="821"/>
      <c r="S41" s="821"/>
      <c r="T41" s="821"/>
      <c r="U41" s="821"/>
      <c r="V41" s="822"/>
      <c r="W41" s="822"/>
      <c r="X41" s="822"/>
      <c r="Y41" s="823"/>
      <c r="Z41" s="1319"/>
      <c r="AA41" s="1325"/>
      <c r="AB41" s="1319"/>
      <c r="AC41" s="1334"/>
      <c r="AD41" s="820"/>
      <c r="AE41" s="821"/>
      <c r="AF41" s="821"/>
      <c r="AG41" s="822"/>
      <c r="AH41" s="823"/>
      <c r="AI41" s="824"/>
      <c r="AJ41" s="825"/>
      <c r="AK41" s="820"/>
      <c r="AL41" s="821"/>
      <c r="AM41" s="821"/>
      <c r="AN41" s="821"/>
      <c r="AO41" s="821"/>
      <c r="AP41" s="822"/>
      <c r="AQ41" s="822"/>
      <c r="AR41" s="822"/>
      <c r="AS41" s="823"/>
      <c r="AT41" s="1319"/>
      <c r="AU41" s="1325"/>
      <c r="AV41" s="1319"/>
      <c r="AW41" s="1334"/>
      <c r="AX41" s="206"/>
    </row>
    <row r="42" spans="1:50" ht="15" customHeight="1" x14ac:dyDescent="0.2">
      <c r="A42" s="834" t="s">
        <v>239</v>
      </c>
      <c r="B42" s="820"/>
      <c r="C42" s="821"/>
      <c r="D42" s="821"/>
      <c r="E42" s="821"/>
      <c r="F42" s="821"/>
      <c r="G42" s="822"/>
      <c r="H42" s="822"/>
      <c r="I42" s="822"/>
      <c r="J42" s="823"/>
      <c r="K42" s="1319"/>
      <c r="L42" s="1325"/>
      <c r="M42" s="1319"/>
      <c r="N42" s="1334"/>
      <c r="O42" s="820"/>
      <c r="P42" s="1334"/>
      <c r="Q42" s="820"/>
      <c r="R42" s="821"/>
      <c r="S42" s="821"/>
      <c r="T42" s="821"/>
      <c r="U42" s="821"/>
      <c r="V42" s="822"/>
      <c r="W42" s="822"/>
      <c r="X42" s="822"/>
      <c r="Y42" s="823"/>
      <c r="Z42" s="1319"/>
      <c r="AA42" s="1325"/>
      <c r="AB42" s="1319"/>
      <c r="AC42" s="1334"/>
      <c r="AD42" s="820"/>
      <c r="AE42" s="821"/>
      <c r="AF42" s="821"/>
      <c r="AG42" s="822"/>
      <c r="AH42" s="823"/>
      <c r="AI42" s="824"/>
      <c r="AJ42" s="825"/>
      <c r="AK42" s="820"/>
      <c r="AL42" s="821"/>
      <c r="AM42" s="821"/>
      <c r="AN42" s="821"/>
      <c r="AO42" s="821"/>
      <c r="AP42" s="822"/>
      <c r="AQ42" s="822"/>
      <c r="AR42" s="822"/>
      <c r="AS42" s="823"/>
      <c r="AT42" s="1319"/>
      <c r="AU42" s="1325"/>
      <c r="AV42" s="1319"/>
      <c r="AW42" s="1334"/>
      <c r="AX42" s="206"/>
    </row>
    <row r="43" spans="1:50" ht="15" customHeight="1" x14ac:dyDescent="0.2">
      <c r="A43" s="834" t="s">
        <v>240</v>
      </c>
      <c r="B43" s="820"/>
      <c r="C43" s="821"/>
      <c r="D43" s="821"/>
      <c r="E43" s="821"/>
      <c r="F43" s="821"/>
      <c r="G43" s="822"/>
      <c r="H43" s="822"/>
      <c r="I43" s="822"/>
      <c r="J43" s="823"/>
      <c r="K43" s="1319"/>
      <c r="L43" s="1325"/>
      <c r="M43" s="1319"/>
      <c r="N43" s="1334"/>
      <c r="O43" s="820"/>
      <c r="P43" s="1334"/>
      <c r="Q43" s="820"/>
      <c r="R43" s="821"/>
      <c r="S43" s="821"/>
      <c r="T43" s="821"/>
      <c r="U43" s="821"/>
      <c r="V43" s="822"/>
      <c r="W43" s="822"/>
      <c r="X43" s="822"/>
      <c r="Y43" s="823"/>
      <c r="Z43" s="1319"/>
      <c r="AA43" s="1325"/>
      <c r="AB43" s="1319"/>
      <c r="AC43" s="1334"/>
      <c r="AD43" s="820"/>
      <c r="AE43" s="821"/>
      <c r="AF43" s="821"/>
      <c r="AG43" s="822"/>
      <c r="AH43" s="823"/>
      <c r="AI43" s="824"/>
      <c r="AJ43" s="825"/>
      <c r="AK43" s="820"/>
      <c r="AL43" s="821"/>
      <c r="AM43" s="821"/>
      <c r="AN43" s="821"/>
      <c r="AO43" s="821"/>
      <c r="AP43" s="822"/>
      <c r="AQ43" s="822"/>
      <c r="AR43" s="822"/>
      <c r="AS43" s="823"/>
      <c r="AT43" s="1319"/>
      <c r="AU43" s="1325"/>
      <c r="AV43" s="1319"/>
      <c r="AW43" s="1334"/>
      <c r="AX43" s="206"/>
    </row>
    <row r="44" spans="1:50" ht="15" customHeight="1" x14ac:dyDescent="0.2">
      <c r="A44" s="834" t="s">
        <v>241</v>
      </c>
      <c r="B44" s="820"/>
      <c r="C44" s="821"/>
      <c r="D44" s="821"/>
      <c r="E44" s="821"/>
      <c r="F44" s="821"/>
      <c r="G44" s="822"/>
      <c r="H44" s="822"/>
      <c r="I44" s="822"/>
      <c r="J44" s="823"/>
      <c r="K44" s="1319"/>
      <c r="L44" s="1325"/>
      <c r="M44" s="1319"/>
      <c r="N44" s="1334"/>
      <c r="O44" s="820"/>
      <c r="P44" s="1334"/>
      <c r="Q44" s="820"/>
      <c r="R44" s="821"/>
      <c r="S44" s="821"/>
      <c r="T44" s="821"/>
      <c r="U44" s="821"/>
      <c r="V44" s="822"/>
      <c r="W44" s="822"/>
      <c r="X44" s="822"/>
      <c r="Y44" s="823"/>
      <c r="Z44" s="1319"/>
      <c r="AA44" s="1325"/>
      <c r="AB44" s="1319"/>
      <c r="AC44" s="1334"/>
      <c r="AD44" s="820"/>
      <c r="AE44" s="821"/>
      <c r="AF44" s="821"/>
      <c r="AG44" s="822"/>
      <c r="AH44" s="823"/>
      <c r="AI44" s="824"/>
      <c r="AJ44" s="825"/>
      <c r="AK44" s="820"/>
      <c r="AL44" s="821"/>
      <c r="AM44" s="821"/>
      <c r="AN44" s="821"/>
      <c r="AO44" s="821"/>
      <c r="AP44" s="822"/>
      <c r="AQ44" s="822"/>
      <c r="AR44" s="822"/>
      <c r="AS44" s="823"/>
      <c r="AT44" s="1319"/>
      <c r="AU44" s="1325"/>
      <c r="AV44" s="1319"/>
      <c r="AW44" s="1334"/>
      <c r="AX44" s="206"/>
    </row>
    <row r="45" spans="1:50" ht="15" customHeight="1" x14ac:dyDescent="0.2">
      <c r="A45" s="826" t="s">
        <v>242</v>
      </c>
      <c r="B45" s="827"/>
      <c r="C45" s="828"/>
      <c r="D45" s="828"/>
      <c r="E45" s="828"/>
      <c r="F45" s="828"/>
      <c r="G45" s="831"/>
      <c r="H45" s="831"/>
      <c r="I45" s="831"/>
      <c r="J45" s="829"/>
      <c r="K45" s="827"/>
      <c r="L45" s="1326"/>
      <c r="M45" s="827"/>
      <c r="N45" s="1331"/>
      <c r="O45" s="827"/>
      <c r="P45" s="1331"/>
      <c r="Q45" s="827"/>
      <c r="R45" s="828"/>
      <c r="S45" s="828"/>
      <c r="T45" s="828"/>
      <c r="U45" s="828"/>
      <c r="V45" s="831"/>
      <c r="W45" s="831"/>
      <c r="X45" s="831"/>
      <c r="Y45" s="829"/>
      <c r="Z45" s="827"/>
      <c r="AA45" s="1326"/>
      <c r="AB45" s="827"/>
      <c r="AC45" s="1331"/>
      <c r="AD45" s="827"/>
      <c r="AE45" s="828"/>
      <c r="AF45" s="828"/>
      <c r="AG45" s="831"/>
      <c r="AH45" s="829"/>
      <c r="AI45" s="832"/>
      <c r="AJ45" s="830"/>
      <c r="AK45" s="827"/>
      <c r="AL45" s="828"/>
      <c r="AM45" s="828"/>
      <c r="AN45" s="828"/>
      <c r="AO45" s="828"/>
      <c r="AP45" s="831"/>
      <c r="AQ45" s="831"/>
      <c r="AR45" s="831"/>
      <c r="AS45" s="829"/>
      <c r="AT45" s="827"/>
      <c r="AU45" s="1326"/>
      <c r="AV45" s="827"/>
      <c r="AW45" s="1331"/>
      <c r="AX45" s="206"/>
    </row>
    <row r="46" spans="1:50" ht="15" customHeight="1" x14ac:dyDescent="0.2">
      <c r="A46" s="750"/>
      <c r="B46" s="206"/>
      <c r="C46" s="206"/>
      <c r="D46" s="206"/>
      <c r="E46" s="206"/>
      <c r="F46" s="206"/>
      <c r="G46" s="206"/>
      <c r="H46" s="206"/>
      <c r="I46" s="206"/>
      <c r="J46" s="206"/>
      <c r="K46" s="206"/>
      <c r="L46" s="206"/>
      <c r="M46" s="206"/>
      <c r="N46" s="206"/>
      <c r="O46" s="206"/>
      <c r="P46" s="206"/>
      <c r="Q46" s="762"/>
      <c r="R46" s="762"/>
      <c r="S46" s="762"/>
      <c r="T46" s="762"/>
      <c r="U46" s="762"/>
      <c r="V46" s="762"/>
      <c r="W46" s="762"/>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row>
    <row r="47" spans="1:50" ht="15" customHeight="1" x14ac:dyDescent="0.2">
      <c r="A47" s="206"/>
      <c r="B47" s="206"/>
      <c r="C47" s="206"/>
      <c r="D47" s="206"/>
      <c r="E47" s="206"/>
      <c r="F47" s="206"/>
      <c r="G47" s="206"/>
      <c r="H47" s="206"/>
      <c r="I47" s="206"/>
      <c r="J47" s="206"/>
      <c r="K47" s="206"/>
      <c r="L47" s="206"/>
      <c r="M47" s="206"/>
      <c r="N47" s="206"/>
      <c r="O47" s="206"/>
      <c r="P47" s="206"/>
      <c r="Q47" s="762"/>
      <c r="R47" s="762"/>
      <c r="S47" s="762"/>
      <c r="T47" s="762"/>
      <c r="U47" s="762"/>
      <c r="V47" s="762"/>
      <c r="W47" s="762"/>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row>
    <row r="48" spans="1:50" ht="15" customHeight="1" x14ac:dyDescent="0.2">
      <c r="A48" s="750" t="s">
        <v>32</v>
      </c>
      <c r="B48" s="751" t="s">
        <v>1048</v>
      </c>
      <c r="C48" s="754"/>
      <c r="D48" s="754"/>
      <c r="E48" s="754"/>
      <c r="F48" s="754"/>
      <c r="G48" s="752"/>
      <c r="H48" s="752"/>
      <c r="I48" s="752"/>
      <c r="J48" s="752"/>
      <c r="K48" s="752"/>
      <c r="L48" s="752"/>
      <c r="M48" s="752"/>
      <c r="N48" s="752"/>
      <c r="O48" s="752"/>
      <c r="P48" s="752"/>
      <c r="Q48" s="835"/>
      <c r="R48" s="835"/>
      <c r="S48" s="835"/>
      <c r="T48" s="835"/>
      <c r="U48" s="835"/>
      <c r="V48" s="835"/>
      <c r="W48" s="835"/>
      <c r="X48" s="752"/>
      <c r="Y48" s="752"/>
      <c r="Z48" s="752"/>
      <c r="AA48" s="752"/>
      <c r="AB48" s="752"/>
      <c r="AC48" s="752"/>
      <c r="AD48" s="752"/>
      <c r="AE48" s="752"/>
      <c r="AF48" s="752"/>
      <c r="AG48" s="752"/>
      <c r="AH48" s="752"/>
      <c r="AI48" s="752"/>
      <c r="AJ48" s="752"/>
      <c r="AK48" s="752"/>
      <c r="AL48" s="752"/>
      <c r="AM48" s="752"/>
      <c r="AN48" s="752"/>
      <c r="AO48" s="752"/>
      <c r="AP48" s="752"/>
      <c r="AQ48" s="752"/>
      <c r="AR48" s="752"/>
      <c r="AS48" s="752"/>
      <c r="AT48" s="752"/>
      <c r="AU48" s="752"/>
      <c r="AV48" s="752"/>
      <c r="AW48" s="752"/>
      <c r="AX48" s="206"/>
    </row>
    <row r="49" spans="1:50" ht="15" customHeight="1" x14ac:dyDescent="0.2">
      <c r="A49" s="206"/>
      <c r="B49" s="753" t="s">
        <v>1057</v>
      </c>
      <c r="C49" s="754"/>
      <c r="D49" s="754"/>
      <c r="E49" s="754"/>
      <c r="F49" s="754"/>
      <c r="G49" s="754"/>
      <c r="H49" s="754"/>
      <c r="I49" s="754"/>
      <c r="J49" s="754"/>
      <c r="K49" s="754"/>
      <c r="L49" s="754"/>
      <c r="M49" s="754"/>
      <c r="N49" s="754"/>
      <c r="O49" s="754"/>
      <c r="P49" s="754"/>
      <c r="Q49" s="836"/>
      <c r="R49" s="836"/>
      <c r="S49" s="836"/>
      <c r="T49" s="836"/>
      <c r="U49" s="836"/>
      <c r="V49" s="836"/>
      <c r="W49" s="836"/>
      <c r="X49" s="754"/>
      <c r="Y49" s="754"/>
      <c r="Z49" s="754"/>
      <c r="AA49" s="754"/>
      <c r="AB49" s="754"/>
      <c r="AC49" s="754"/>
      <c r="AD49" s="754"/>
      <c r="AE49" s="754"/>
      <c r="AF49" s="754"/>
      <c r="AG49" s="754"/>
      <c r="AH49" s="754"/>
      <c r="AI49" s="754"/>
      <c r="AJ49" s="754"/>
      <c r="AK49" s="754"/>
      <c r="AL49" s="754"/>
      <c r="AM49" s="754"/>
      <c r="AN49" s="754"/>
      <c r="AO49" s="754"/>
      <c r="AP49" s="754"/>
      <c r="AQ49" s="754"/>
      <c r="AR49" s="754"/>
      <c r="AS49" s="754"/>
      <c r="AT49" s="754"/>
      <c r="AU49" s="754"/>
      <c r="AV49" s="754"/>
      <c r="AW49" s="754"/>
      <c r="AX49" s="206"/>
    </row>
    <row r="50" spans="1:50" ht="15" customHeight="1" x14ac:dyDescent="0.2">
      <c r="A50" s="206"/>
      <c r="B50" s="751"/>
      <c r="C50" s="754"/>
      <c r="D50" s="754"/>
      <c r="E50" s="754"/>
      <c r="F50" s="754"/>
      <c r="G50" s="754"/>
      <c r="H50" s="754"/>
      <c r="I50" s="754"/>
      <c r="J50" s="754"/>
      <c r="K50" s="754"/>
      <c r="L50" s="754"/>
      <c r="M50" s="754"/>
      <c r="N50" s="754"/>
      <c r="O50" s="754"/>
      <c r="P50" s="754"/>
      <c r="Q50" s="836"/>
      <c r="R50" s="836"/>
      <c r="S50" s="836"/>
      <c r="T50" s="836"/>
      <c r="U50" s="836"/>
      <c r="V50" s="836"/>
      <c r="W50" s="836"/>
      <c r="X50" s="754"/>
      <c r="Y50" s="754"/>
      <c r="Z50" s="754"/>
      <c r="AA50" s="754"/>
      <c r="AB50" s="754"/>
      <c r="AC50" s="754"/>
      <c r="AD50" s="754"/>
      <c r="AE50" s="754"/>
      <c r="AF50" s="754"/>
      <c r="AG50" s="754"/>
      <c r="AH50" s="754"/>
      <c r="AI50" s="754"/>
      <c r="AJ50" s="754"/>
      <c r="AK50" s="754"/>
      <c r="AL50" s="754"/>
      <c r="AM50" s="754"/>
      <c r="AN50" s="754"/>
      <c r="AO50" s="754"/>
      <c r="AP50" s="754"/>
      <c r="AQ50" s="754"/>
      <c r="AR50" s="754"/>
      <c r="AS50" s="754"/>
      <c r="AT50" s="754"/>
      <c r="AU50" s="754"/>
      <c r="AV50" s="754"/>
      <c r="AW50" s="754"/>
      <c r="AX50" s="206"/>
    </row>
    <row r="51" spans="1:50" ht="15" customHeight="1" x14ac:dyDescent="0.2">
      <c r="A51" s="206"/>
      <c r="B51" s="753"/>
      <c r="C51" s="754"/>
      <c r="D51" s="754"/>
      <c r="E51" s="754"/>
      <c r="F51" s="754"/>
      <c r="G51" s="754"/>
      <c r="H51" s="754"/>
      <c r="I51" s="754"/>
      <c r="J51" s="754"/>
      <c r="K51" s="754"/>
      <c r="L51" s="754"/>
      <c r="M51" s="754"/>
      <c r="N51" s="754"/>
      <c r="O51" s="754"/>
      <c r="P51" s="754"/>
      <c r="Q51" s="836"/>
      <c r="R51" s="836"/>
      <c r="S51" s="836"/>
      <c r="T51" s="836"/>
      <c r="U51" s="836"/>
      <c r="V51" s="836"/>
      <c r="W51" s="836"/>
      <c r="X51" s="754"/>
      <c r="Y51" s="754"/>
      <c r="Z51" s="754"/>
      <c r="AA51" s="754"/>
      <c r="AB51" s="754"/>
      <c r="AC51" s="754"/>
      <c r="AD51" s="754"/>
      <c r="AE51" s="754"/>
      <c r="AF51" s="754"/>
      <c r="AG51" s="754"/>
      <c r="AH51" s="754"/>
      <c r="AI51" s="754"/>
      <c r="AJ51" s="754"/>
      <c r="AK51" s="754"/>
      <c r="AL51" s="754"/>
      <c r="AM51" s="754"/>
      <c r="AN51" s="754"/>
      <c r="AO51" s="754"/>
      <c r="AP51" s="754"/>
      <c r="AQ51" s="754"/>
      <c r="AR51" s="754"/>
      <c r="AS51" s="754"/>
      <c r="AT51" s="754"/>
      <c r="AU51" s="754"/>
      <c r="AV51" s="754"/>
      <c r="AW51" s="754"/>
      <c r="AX51" s="206"/>
    </row>
    <row r="52" spans="1:50" ht="15" customHeight="1" x14ac:dyDescent="0.2">
      <c r="A52" s="206"/>
      <c r="B52" s="206"/>
      <c r="C52" s="206"/>
      <c r="D52" s="206"/>
      <c r="E52" s="206"/>
      <c r="F52" s="206"/>
      <c r="G52" s="206"/>
      <c r="H52" s="206"/>
      <c r="I52" s="206"/>
      <c r="J52" s="206"/>
      <c r="K52" s="206"/>
      <c r="L52" s="206"/>
      <c r="M52" s="206"/>
      <c r="N52" s="206"/>
      <c r="O52" s="206"/>
      <c r="P52" s="206"/>
      <c r="Q52" s="762"/>
      <c r="R52" s="762"/>
      <c r="S52" s="762"/>
      <c r="T52" s="762"/>
      <c r="U52" s="762"/>
      <c r="V52" s="762"/>
      <c r="W52" s="762"/>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row>
    <row r="53" spans="1:50" ht="15" customHeight="1" x14ac:dyDescent="0.2">
      <c r="A53" s="750" t="s">
        <v>33</v>
      </c>
      <c r="B53" s="751"/>
      <c r="C53" s="752"/>
      <c r="D53" s="752"/>
      <c r="E53" s="752"/>
      <c r="F53" s="752"/>
      <c r="G53" s="752"/>
      <c r="H53" s="752"/>
      <c r="I53" s="752"/>
      <c r="J53" s="752"/>
      <c r="K53" s="752"/>
      <c r="L53" s="752"/>
      <c r="M53" s="752"/>
      <c r="N53" s="752"/>
      <c r="O53" s="752"/>
      <c r="P53" s="752"/>
      <c r="Q53" s="835"/>
      <c r="R53" s="835"/>
      <c r="S53" s="835"/>
      <c r="T53" s="835"/>
      <c r="U53" s="835"/>
      <c r="V53" s="835"/>
      <c r="W53" s="835"/>
      <c r="X53" s="752"/>
      <c r="Y53" s="752"/>
      <c r="Z53" s="752"/>
      <c r="AA53" s="752"/>
      <c r="AB53" s="752"/>
      <c r="AC53" s="752"/>
      <c r="AD53" s="752"/>
      <c r="AE53" s="752"/>
      <c r="AF53" s="752"/>
      <c r="AG53" s="752"/>
      <c r="AH53" s="752"/>
      <c r="AI53" s="752"/>
      <c r="AJ53" s="752"/>
      <c r="AK53" s="752"/>
      <c r="AL53" s="752"/>
      <c r="AM53" s="752"/>
      <c r="AN53" s="752"/>
      <c r="AO53" s="752"/>
      <c r="AP53" s="752"/>
      <c r="AQ53" s="752"/>
      <c r="AR53" s="752"/>
      <c r="AS53" s="752"/>
      <c r="AT53" s="752"/>
      <c r="AU53" s="752"/>
      <c r="AV53" s="752"/>
      <c r="AW53" s="752"/>
      <c r="AX53" s="206"/>
    </row>
    <row r="54" spans="1:50" ht="15" customHeight="1" x14ac:dyDescent="0.2">
      <c r="A54" s="750"/>
      <c r="B54" s="753"/>
      <c r="C54" s="754"/>
      <c r="D54" s="754"/>
      <c r="E54" s="754"/>
      <c r="F54" s="754"/>
      <c r="G54" s="754"/>
      <c r="H54" s="754"/>
      <c r="I54" s="754"/>
      <c r="J54" s="754"/>
      <c r="K54" s="754"/>
      <c r="L54" s="754"/>
      <c r="M54" s="754"/>
      <c r="N54" s="754"/>
      <c r="O54" s="754"/>
      <c r="P54" s="754"/>
      <c r="Q54" s="836"/>
      <c r="R54" s="836"/>
      <c r="S54" s="836"/>
      <c r="T54" s="836"/>
      <c r="U54" s="836"/>
      <c r="V54" s="836"/>
      <c r="W54" s="836"/>
      <c r="X54" s="754"/>
      <c r="Y54" s="754"/>
      <c r="Z54" s="754"/>
      <c r="AA54" s="754"/>
      <c r="AB54" s="754"/>
      <c r="AC54" s="754"/>
      <c r="AD54" s="754"/>
      <c r="AE54" s="754"/>
      <c r="AF54" s="754"/>
      <c r="AG54" s="754"/>
      <c r="AH54" s="754"/>
      <c r="AI54" s="754"/>
      <c r="AJ54" s="754"/>
      <c r="AK54" s="754"/>
      <c r="AL54" s="754"/>
      <c r="AM54" s="754"/>
      <c r="AN54" s="754"/>
      <c r="AO54" s="754"/>
      <c r="AP54" s="754"/>
      <c r="AQ54" s="754"/>
      <c r="AR54" s="754"/>
      <c r="AS54" s="754"/>
      <c r="AT54" s="754"/>
      <c r="AU54" s="754"/>
      <c r="AV54" s="754"/>
      <c r="AW54" s="754"/>
      <c r="AX54" s="206"/>
    </row>
    <row r="55" spans="1:50" ht="15" customHeight="1" x14ac:dyDescent="0.2">
      <c r="A55" s="206"/>
      <c r="B55" s="753"/>
      <c r="C55" s="754"/>
      <c r="D55" s="754"/>
      <c r="E55" s="754"/>
      <c r="F55" s="754"/>
      <c r="G55" s="754"/>
      <c r="H55" s="754"/>
      <c r="I55" s="754"/>
      <c r="J55" s="754"/>
      <c r="K55" s="754"/>
      <c r="L55" s="754"/>
      <c r="M55" s="754"/>
      <c r="N55" s="754"/>
      <c r="O55" s="754"/>
      <c r="P55" s="754"/>
      <c r="Q55" s="836"/>
      <c r="R55" s="836"/>
      <c r="S55" s="836"/>
      <c r="T55" s="836"/>
      <c r="U55" s="836"/>
      <c r="V55" s="836"/>
      <c r="W55" s="836"/>
      <c r="X55" s="754"/>
      <c r="Y55" s="754"/>
      <c r="Z55" s="754"/>
      <c r="AA55" s="754"/>
      <c r="AB55" s="754"/>
      <c r="AC55" s="754"/>
      <c r="AD55" s="754"/>
      <c r="AE55" s="754"/>
      <c r="AF55" s="754"/>
      <c r="AG55" s="754"/>
      <c r="AH55" s="754"/>
      <c r="AI55" s="754"/>
      <c r="AJ55" s="754"/>
      <c r="AK55" s="754"/>
      <c r="AL55" s="754"/>
      <c r="AM55" s="754"/>
      <c r="AN55" s="754"/>
      <c r="AO55" s="754"/>
      <c r="AP55" s="754"/>
      <c r="AQ55" s="754"/>
      <c r="AR55" s="754"/>
      <c r="AS55" s="754"/>
      <c r="AT55" s="754"/>
      <c r="AU55" s="754"/>
      <c r="AV55" s="754"/>
      <c r="AW55" s="754"/>
      <c r="AX55" s="206"/>
    </row>
    <row r="56" spans="1:50" ht="15" customHeight="1" x14ac:dyDescent="0.2">
      <c r="A56" s="206"/>
      <c r="B56" s="753"/>
      <c r="C56" s="754"/>
      <c r="D56" s="754"/>
      <c r="E56" s="754"/>
      <c r="F56" s="754"/>
      <c r="G56" s="754"/>
      <c r="H56" s="754"/>
      <c r="I56" s="754"/>
      <c r="J56" s="754"/>
      <c r="K56" s="754"/>
      <c r="L56" s="754"/>
      <c r="M56" s="754"/>
      <c r="N56" s="754"/>
      <c r="O56" s="754"/>
      <c r="P56" s="754"/>
      <c r="Q56" s="836"/>
      <c r="R56" s="836"/>
      <c r="S56" s="836"/>
      <c r="T56" s="836"/>
      <c r="U56" s="836"/>
      <c r="V56" s="836"/>
      <c r="W56" s="836"/>
      <c r="X56" s="754"/>
      <c r="Y56" s="754"/>
      <c r="Z56" s="754"/>
      <c r="AA56" s="754"/>
      <c r="AB56" s="754"/>
      <c r="AC56" s="754"/>
      <c r="AD56" s="754"/>
      <c r="AE56" s="754"/>
      <c r="AF56" s="754"/>
      <c r="AG56" s="754"/>
      <c r="AH56" s="754"/>
      <c r="AI56" s="754"/>
      <c r="AJ56" s="754"/>
      <c r="AK56" s="754"/>
      <c r="AL56" s="754"/>
      <c r="AM56" s="754"/>
      <c r="AN56" s="754"/>
      <c r="AO56" s="754"/>
      <c r="AP56" s="754"/>
      <c r="AQ56" s="754"/>
      <c r="AR56" s="754"/>
      <c r="AS56" s="754"/>
      <c r="AT56" s="754"/>
      <c r="AU56" s="754"/>
      <c r="AV56" s="754"/>
      <c r="AW56" s="754"/>
      <c r="AX56" s="206"/>
    </row>
    <row r="57" spans="1:50" ht="15" customHeight="1" x14ac:dyDescent="0.2">
      <c r="A57" s="206"/>
      <c r="B57" s="206"/>
      <c r="C57" s="206"/>
      <c r="D57" s="206"/>
      <c r="E57" s="206"/>
      <c r="F57" s="206"/>
      <c r="G57" s="206"/>
      <c r="H57" s="206"/>
      <c r="I57" s="206"/>
      <c r="J57" s="206"/>
      <c r="K57" s="206"/>
      <c r="L57" s="206"/>
      <c r="M57" s="206"/>
      <c r="N57" s="206"/>
      <c r="O57" s="206"/>
      <c r="P57" s="206"/>
      <c r="Q57" s="762"/>
      <c r="R57" s="762"/>
      <c r="S57" s="762"/>
      <c r="T57" s="762"/>
      <c r="U57" s="762"/>
      <c r="V57" s="762"/>
      <c r="W57" s="762"/>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row>
    <row r="58" spans="1:50" ht="12.75" x14ac:dyDescent="0.2">
      <c r="A58" s="750" t="s">
        <v>670</v>
      </c>
      <c r="B58" s="206"/>
      <c r="C58" s="206"/>
      <c r="D58" s="206"/>
      <c r="E58" s="206"/>
      <c r="F58" s="206"/>
      <c r="G58" s="206"/>
      <c r="H58" s="206"/>
      <c r="I58" s="206"/>
      <c r="J58" s="206"/>
      <c r="K58" s="206"/>
      <c r="L58" s="206"/>
      <c r="M58" s="206"/>
      <c r="N58" s="206"/>
      <c r="O58" s="206"/>
      <c r="P58" s="206"/>
      <c r="Q58" s="762"/>
      <c r="R58" s="762"/>
      <c r="S58" s="762"/>
      <c r="T58" s="762"/>
      <c r="U58" s="762"/>
      <c r="V58" s="762"/>
      <c r="W58" s="762"/>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row>
    <row r="59" spans="1:50" ht="12.75" x14ac:dyDescent="0.2">
      <c r="A59" s="755"/>
      <c r="B59" s="756"/>
      <c r="C59" s="206"/>
      <c r="D59" s="206"/>
      <c r="E59" s="206"/>
      <c r="F59" s="206"/>
      <c r="G59" s="206"/>
      <c r="H59" s="206"/>
      <c r="I59" s="206"/>
      <c r="J59" s="206"/>
      <c r="K59" s="206"/>
      <c r="L59" s="206"/>
      <c r="M59" s="206"/>
      <c r="N59" s="206"/>
      <c r="O59" s="206"/>
      <c r="P59" s="206"/>
      <c r="Q59" s="762"/>
      <c r="R59" s="762"/>
      <c r="S59" s="762"/>
      <c r="T59" s="762"/>
      <c r="U59" s="762"/>
      <c r="V59" s="762"/>
      <c r="W59" s="762"/>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row>
    <row r="60" spans="1:50" ht="12.75" x14ac:dyDescent="0.2">
      <c r="A60" s="206"/>
      <c r="B60" s="757"/>
      <c r="C60" s="206"/>
      <c r="D60" s="206"/>
      <c r="E60" s="206"/>
      <c r="F60" s="206"/>
      <c r="G60" s="206"/>
      <c r="H60" s="206"/>
      <c r="I60" s="206"/>
      <c r="J60" s="206"/>
      <c r="K60" s="206"/>
      <c r="L60" s="206"/>
      <c r="M60" s="206"/>
      <c r="N60" s="206"/>
      <c r="O60" s="206"/>
      <c r="P60" s="206"/>
      <c r="Q60" s="762"/>
      <c r="R60" s="762"/>
      <c r="S60" s="762"/>
      <c r="T60" s="762"/>
      <c r="U60" s="762"/>
      <c r="V60" s="762"/>
      <c r="W60" s="762"/>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row>
    <row r="61" spans="1:50" ht="12.75" x14ac:dyDescent="0.2">
      <c r="A61" s="206"/>
      <c r="B61" s="757"/>
      <c r="C61" s="206"/>
      <c r="D61" s="206"/>
      <c r="E61" s="206"/>
      <c r="F61" s="206"/>
      <c r="G61" s="206"/>
      <c r="H61" s="206"/>
      <c r="I61" s="206"/>
      <c r="J61" s="206"/>
      <c r="K61" s="206"/>
      <c r="L61" s="206"/>
      <c r="M61" s="206"/>
      <c r="N61" s="206"/>
      <c r="O61" s="206"/>
      <c r="P61" s="206"/>
      <c r="Q61" s="762"/>
      <c r="R61" s="762"/>
      <c r="S61" s="762"/>
      <c r="T61" s="762"/>
      <c r="U61" s="762"/>
      <c r="V61" s="762"/>
      <c r="W61" s="762"/>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row>
    <row r="62" spans="1:50" ht="12.75" x14ac:dyDescent="0.2">
      <c r="A62" s="206"/>
      <c r="B62" s="757"/>
      <c r="C62" s="206"/>
      <c r="D62" s="206"/>
      <c r="E62" s="206"/>
      <c r="F62" s="206"/>
      <c r="G62" s="206"/>
      <c r="H62" s="206"/>
      <c r="I62" s="206"/>
      <c r="J62" s="206"/>
      <c r="K62" s="206"/>
      <c r="L62" s="206"/>
      <c r="M62" s="206"/>
      <c r="N62" s="206"/>
      <c r="O62" s="206"/>
      <c r="P62" s="206"/>
      <c r="Q62" s="762"/>
      <c r="R62" s="762"/>
      <c r="S62" s="762"/>
      <c r="T62" s="762"/>
      <c r="U62" s="762"/>
      <c r="V62" s="762"/>
      <c r="W62" s="762"/>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row>
    <row r="63" spans="1:50" ht="15" customHeight="1" x14ac:dyDescent="0.2">
      <c r="A63" s="206"/>
      <c r="B63" s="206"/>
      <c r="C63" s="206"/>
      <c r="D63" s="206"/>
      <c r="E63" s="206"/>
      <c r="F63" s="206"/>
      <c r="G63" s="206"/>
      <c r="H63" s="206"/>
      <c r="I63" s="206"/>
      <c r="J63" s="206"/>
      <c r="K63" s="206"/>
      <c r="L63" s="206"/>
      <c r="M63" s="206"/>
      <c r="N63" s="206"/>
      <c r="O63" s="206"/>
      <c r="P63" s="206"/>
      <c r="Q63" s="762"/>
      <c r="R63" s="762"/>
      <c r="S63" s="762"/>
      <c r="T63" s="762"/>
      <c r="U63" s="762"/>
      <c r="V63" s="762"/>
      <c r="W63" s="762"/>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row>
  </sheetData>
  <sheetProtection password="CD9E" sheet="1" objects="1" scenarios="1" selectLockedCells="1"/>
  <dataConsolidate/>
  <mergeCells count="20">
    <mergeCell ref="AV13:AW13"/>
    <mergeCell ref="Q13:R13"/>
    <mergeCell ref="S13:T13"/>
    <mergeCell ref="U13:V13"/>
    <mergeCell ref="W13:X13"/>
    <mergeCell ref="Y13:Z13"/>
    <mergeCell ref="AB13:AC13"/>
    <mergeCell ref="AK13:AL13"/>
    <mergeCell ref="AM13:AN13"/>
    <mergeCell ref="AO13:AP13"/>
    <mergeCell ref="AQ13:AR13"/>
    <mergeCell ref="AS13:AT13"/>
    <mergeCell ref="O12:P12"/>
    <mergeCell ref="B13:C13"/>
    <mergeCell ref="D13:E13"/>
    <mergeCell ref="F13:G13"/>
    <mergeCell ref="H13:I13"/>
    <mergeCell ref="J13:K13"/>
    <mergeCell ref="M13:N13"/>
    <mergeCell ref="O13:P13"/>
  </mergeCells>
  <dataValidations disablePrompts="1" count="1">
    <dataValidation type="list" allowBlank="1" showInputMessage="1" showErrorMessage="1" sqref="B59:B62">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4803149606299213" right="0.74803149606299213" top="0.78740157480314965" bottom="0.78740157480314965" header="0.51181102362204722" footer="0.51181102362204722"/>
  <pageSetup paperSize="9" scale="60" orientation="landscape" r:id="rId1"/>
  <headerFooter alignWithMargins="0">
    <oddHeader>&amp;LCDH&amp;C &amp;F&amp;R&amp;A</oddHeader>
    <oddFooter>Page &amp;P of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CCFFCC"/>
  </sheetPr>
  <dimension ref="A1:AX63"/>
  <sheetViews>
    <sheetView showGridLines="0" topLeftCell="A7" zoomScale="80" zoomScaleNormal="80" workbookViewId="0">
      <selection activeCell="D50" sqref="D50"/>
    </sheetView>
  </sheetViews>
  <sheetFormatPr baseColWidth="10" defaultColWidth="9.140625" defaultRowHeight="15" customHeight="1" x14ac:dyDescent="0.2"/>
  <cols>
    <col min="1" max="1" width="29.28515625" style="144" customWidth="1"/>
    <col min="2" max="2" width="12.7109375" style="144" customWidth="1"/>
    <col min="3" max="3" width="5.7109375" style="144" customWidth="1"/>
    <col min="4" max="4" width="12.7109375" style="144" customWidth="1"/>
    <col min="5" max="5" width="5.7109375" style="144" customWidth="1"/>
    <col min="6" max="6" width="12.7109375" style="144" customWidth="1"/>
    <col min="7" max="7" width="5.7109375" style="144" customWidth="1"/>
    <col min="8" max="8" width="12.7109375" style="144" customWidth="1"/>
    <col min="9" max="9" width="5.7109375" style="144" customWidth="1"/>
    <col min="10" max="10" width="12.7109375" style="144" customWidth="1"/>
    <col min="11" max="11" width="5.7109375" style="144" customWidth="1"/>
    <col min="12" max="13" width="12.7109375" style="144" customWidth="1"/>
    <col min="14" max="14" width="5.7109375" style="144" customWidth="1"/>
    <col min="15" max="15" width="12.7109375" style="144" customWidth="1"/>
    <col min="16" max="16" width="5.7109375" style="144" customWidth="1"/>
    <col min="17" max="17" width="13.140625" style="144" customWidth="1"/>
    <col min="18" max="18" width="5.7109375" style="144" customWidth="1"/>
    <col min="19" max="19" width="12.7109375" style="144" customWidth="1"/>
    <col min="20" max="20" width="5.7109375" style="144" customWidth="1"/>
    <col min="21" max="21" width="12.7109375" style="144" customWidth="1"/>
    <col min="22" max="22" width="5.7109375" style="144" customWidth="1"/>
    <col min="23" max="23" width="12.7109375" style="144" customWidth="1"/>
    <col min="24" max="24" width="5.7109375" style="144" customWidth="1"/>
    <col min="25" max="25" width="12.7109375" style="144" customWidth="1"/>
    <col min="26" max="26" width="5.7109375" style="144" customWidth="1"/>
    <col min="27" max="28" width="12.7109375" style="144" customWidth="1"/>
    <col min="29" max="29" width="5.7109375" style="144" customWidth="1"/>
    <col min="30" max="30" width="13.140625" style="837" customWidth="1"/>
    <col min="31" max="35" width="12.7109375" style="837" customWidth="1"/>
    <col min="36" max="37" width="12.7109375" style="144" customWidth="1"/>
    <col min="38" max="38" width="5.7109375" style="144" customWidth="1"/>
    <col min="39" max="39" width="11.85546875" style="144" customWidth="1"/>
    <col min="40" max="40" width="5.7109375" style="144" customWidth="1"/>
    <col min="41" max="41" width="12.140625" style="144" customWidth="1"/>
    <col min="42" max="42" width="5.7109375" style="144" customWidth="1"/>
    <col min="43" max="43" width="12.7109375" style="144" customWidth="1"/>
    <col min="44" max="44" width="5.7109375" style="144" customWidth="1"/>
    <col min="45" max="45" width="12.28515625" style="144" customWidth="1"/>
    <col min="46" max="46" width="5.7109375" style="144" customWidth="1"/>
    <col min="47" max="47" width="12.28515625" style="144" customWidth="1"/>
    <col min="48" max="48" width="12.7109375" style="144" customWidth="1"/>
    <col min="49" max="49" width="5.7109375" style="144" customWidth="1"/>
    <col min="50" max="16384" width="9.140625" style="144"/>
  </cols>
  <sheetData>
    <row r="1" spans="1:50" s="679" customFormat="1" ht="12" customHeight="1" x14ac:dyDescent="0.2">
      <c r="A1" s="26" t="s">
        <v>6</v>
      </c>
      <c r="AD1" s="758"/>
      <c r="AE1" s="758"/>
      <c r="AF1" s="758"/>
      <c r="AG1" s="758"/>
      <c r="AH1" s="758"/>
      <c r="AI1" s="758"/>
    </row>
    <row r="2" spans="1:50" s="679" customFormat="1" ht="12" customHeight="1" x14ac:dyDescent="0.2">
      <c r="A2" s="28" t="s">
        <v>10</v>
      </c>
      <c r="AD2" s="758"/>
      <c r="AE2" s="758"/>
      <c r="AF2" s="758"/>
      <c r="AG2" s="758"/>
      <c r="AH2" s="758"/>
      <c r="AI2" s="758"/>
    </row>
    <row r="3" spans="1:50" s="679" customFormat="1" ht="12" customHeight="1" x14ac:dyDescent="0.2">
      <c r="A3" s="28" t="s">
        <v>7</v>
      </c>
      <c r="AD3" s="758"/>
      <c r="AE3" s="758"/>
      <c r="AF3" s="758"/>
      <c r="AG3" s="758"/>
      <c r="AH3" s="758"/>
      <c r="AI3" s="758"/>
    </row>
    <row r="4" spans="1:50" ht="15" customHeight="1" x14ac:dyDescent="0.2">
      <c r="A4" s="680" t="s">
        <v>248</v>
      </c>
      <c r="B4" s="680"/>
      <c r="C4" s="680"/>
      <c r="D4" s="680"/>
      <c r="E4" s="680"/>
      <c r="F4" s="680"/>
      <c r="G4" s="680"/>
      <c r="H4" s="680"/>
      <c r="I4" s="680"/>
      <c r="J4" s="680"/>
      <c r="K4" s="680"/>
      <c r="L4" s="680"/>
      <c r="M4" s="680"/>
      <c r="N4" s="680"/>
      <c r="O4" s="680"/>
      <c r="P4" s="680"/>
      <c r="Q4" s="680"/>
      <c r="R4" s="680"/>
      <c r="S4" s="680"/>
      <c r="T4" s="680"/>
      <c r="U4" s="681"/>
      <c r="V4" s="681"/>
      <c r="W4" s="681"/>
      <c r="X4" s="681"/>
      <c r="Y4" s="681"/>
      <c r="Z4" s="681"/>
      <c r="AA4" s="681"/>
      <c r="AB4" s="681"/>
      <c r="AC4" s="681"/>
      <c r="AD4" s="759"/>
      <c r="AE4" s="759"/>
      <c r="AF4" s="760"/>
      <c r="AG4" s="760"/>
      <c r="AH4" s="760"/>
      <c r="AI4" s="760"/>
      <c r="AJ4" s="681"/>
      <c r="AK4" s="681"/>
      <c r="AL4" s="681"/>
      <c r="AM4" s="681"/>
      <c r="AN4" s="681"/>
      <c r="AO4" s="681"/>
      <c r="AP4" s="681"/>
      <c r="AQ4" s="681"/>
      <c r="AR4" s="681"/>
      <c r="AS4" s="681"/>
      <c r="AT4" s="681"/>
      <c r="AU4" s="681"/>
      <c r="AV4" s="681"/>
      <c r="AW4" s="681"/>
      <c r="AX4" s="681"/>
    </row>
    <row r="5" spans="1:50" s="131" customFormat="1" ht="15" customHeight="1" x14ac:dyDescent="0.2">
      <c r="AD5" s="761"/>
      <c r="AE5" s="761"/>
      <c r="AF5" s="761"/>
      <c r="AG5" s="761"/>
      <c r="AH5" s="761"/>
      <c r="AI5" s="761"/>
    </row>
    <row r="6" spans="1:50" s="131" customFormat="1" ht="15" customHeight="1" x14ac:dyDescent="0.2">
      <c r="A6" s="206"/>
      <c r="B6" s="206"/>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762"/>
      <c r="AE6" s="762"/>
      <c r="AF6" s="762"/>
      <c r="AG6" s="762"/>
      <c r="AH6" s="762"/>
      <c r="AI6" s="762"/>
      <c r="AJ6" s="206"/>
      <c r="AK6" s="206"/>
      <c r="AL6" s="206"/>
      <c r="AM6" s="206"/>
      <c r="AN6" s="206"/>
      <c r="AO6" s="206"/>
      <c r="AP6" s="206"/>
      <c r="AQ6" s="206"/>
      <c r="AR6" s="206"/>
      <c r="AS6" s="206"/>
      <c r="AT6" s="206"/>
      <c r="AU6" s="206"/>
      <c r="AV6" s="206"/>
      <c r="AW6" s="206"/>
      <c r="AX6" s="206"/>
    </row>
    <row r="7" spans="1:50" ht="15" customHeight="1" x14ac:dyDescent="0.25">
      <c r="A7" s="682" t="s">
        <v>657</v>
      </c>
      <c r="B7" s="206"/>
      <c r="C7" s="206"/>
      <c r="D7" s="206"/>
      <c r="E7" s="206"/>
      <c r="F7" s="206"/>
      <c r="G7" s="206"/>
      <c r="H7" s="206"/>
      <c r="I7" s="206"/>
      <c r="J7" s="206"/>
      <c r="K7" s="206"/>
      <c r="L7" s="206"/>
      <c r="M7" s="206"/>
      <c r="N7" s="206"/>
      <c r="O7" s="206"/>
      <c r="P7" s="206"/>
      <c r="Q7" s="206"/>
      <c r="R7" s="206"/>
      <c r="S7" s="206"/>
      <c r="T7" s="206"/>
      <c r="U7" s="206"/>
      <c r="V7" s="206"/>
      <c r="W7" s="206"/>
      <c r="X7" s="206"/>
      <c r="Y7" s="206"/>
      <c r="Z7" s="206"/>
      <c r="AA7" s="206"/>
      <c r="AB7" s="206"/>
      <c r="AC7" s="206"/>
      <c r="AD7" s="762"/>
      <c r="AE7" s="762"/>
      <c r="AF7" s="762"/>
      <c r="AG7" s="762"/>
      <c r="AH7" s="762"/>
      <c r="AI7" s="762"/>
      <c r="AJ7" s="206"/>
      <c r="AK7" s="206"/>
      <c r="AL7" s="206"/>
      <c r="AM7" s="206"/>
      <c r="AN7" s="206"/>
      <c r="AO7" s="206"/>
      <c r="AP7" s="206"/>
      <c r="AQ7" s="206"/>
      <c r="AR7" s="206"/>
      <c r="AS7" s="206"/>
      <c r="AT7" s="206"/>
      <c r="AU7" s="206"/>
      <c r="AV7" s="206"/>
      <c r="AW7" s="206"/>
      <c r="AX7" s="206"/>
    </row>
    <row r="8" spans="1:50" ht="15" customHeight="1" x14ac:dyDescent="0.2">
      <c r="A8" s="683" t="s">
        <v>300</v>
      </c>
      <c r="B8" s="206"/>
      <c r="C8" s="206"/>
      <c r="D8" s="206"/>
      <c r="E8" s="206"/>
      <c r="F8" s="206"/>
      <c r="G8" s="206"/>
      <c r="H8" s="206"/>
      <c r="I8" s="206"/>
      <c r="J8" s="206"/>
      <c r="K8" s="206"/>
      <c r="L8" s="206"/>
      <c r="M8" s="206"/>
      <c r="N8" s="206"/>
      <c r="O8" s="206"/>
      <c r="P8" s="206"/>
      <c r="Q8" s="206"/>
      <c r="R8" s="206"/>
      <c r="S8" s="206"/>
      <c r="T8" s="206"/>
      <c r="U8" s="206"/>
      <c r="V8" s="206"/>
      <c r="W8" s="206"/>
      <c r="X8" s="206"/>
      <c r="Y8" s="206"/>
      <c r="Z8" s="206"/>
      <c r="AA8" s="206"/>
      <c r="AB8" s="206"/>
      <c r="AC8" s="206"/>
      <c r="AD8" s="762"/>
      <c r="AE8" s="762"/>
      <c r="AF8" s="762"/>
      <c r="AG8" s="762"/>
      <c r="AH8" s="762"/>
      <c r="AI8" s="762"/>
      <c r="AJ8" s="206"/>
      <c r="AK8" s="206"/>
      <c r="AL8" s="206"/>
      <c r="AM8" s="206"/>
      <c r="AN8" s="206"/>
      <c r="AO8" s="206"/>
      <c r="AP8" s="206"/>
      <c r="AQ8" s="206"/>
      <c r="AR8" s="206"/>
      <c r="AS8" s="206"/>
      <c r="AT8" s="206"/>
      <c r="AU8" s="206"/>
      <c r="AV8" s="206"/>
      <c r="AW8" s="206"/>
      <c r="AX8" s="206"/>
    </row>
    <row r="9" spans="1:50" ht="15" customHeight="1" x14ac:dyDescent="0.2">
      <c r="A9" s="206"/>
      <c r="B9" s="684" t="s">
        <v>34</v>
      </c>
      <c r="C9" s="684"/>
      <c r="D9" s="763">
        <v>2014</v>
      </c>
      <c r="E9" s="206"/>
      <c r="F9" s="206"/>
      <c r="G9" s="206"/>
      <c r="H9" s="206"/>
      <c r="I9" s="206"/>
      <c r="J9" s="206"/>
      <c r="K9" s="206"/>
      <c r="L9" s="206"/>
      <c r="M9" s="206"/>
      <c r="N9" s="206"/>
      <c r="O9" s="206"/>
      <c r="P9" s="206"/>
      <c r="Q9" s="206"/>
      <c r="R9" s="206"/>
      <c r="S9" s="206"/>
      <c r="T9" s="206"/>
      <c r="U9" s="206"/>
      <c r="V9" s="206"/>
      <c r="W9" s="206"/>
      <c r="X9" s="206"/>
      <c r="Y9" s="206"/>
      <c r="Z9" s="206"/>
      <c r="AA9" s="206"/>
      <c r="AB9" s="206"/>
      <c r="AC9" s="206"/>
      <c r="AD9" s="762"/>
      <c r="AE9" s="762"/>
      <c r="AF9" s="762"/>
      <c r="AG9" s="762"/>
      <c r="AH9" s="762"/>
      <c r="AI9" s="762"/>
      <c r="AJ9" s="206"/>
      <c r="AK9" s="206"/>
      <c r="AL9" s="206"/>
      <c r="AM9" s="206"/>
      <c r="AN9" s="206"/>
      <c r="AO9" s="206"/>
      <c r="AP9" s="206"/>
      <c r="AQ9" s="206"/>
      <c r="AR9" s="206"/>
      <c r="AS9" s="206"/>
      <c r="AT9" s="206"/>
      <c r="AU9" s="206"/>
      <c r="AV9" s="206"/>
      <c r="AW9" s="206"/>
      <c r="AX9" s="206"/>
    </row>
    <row r="10" spans="1:50" ht="15" customHeight="1" x14ac:dyDescent="0.2">
      <c r="A10" s="686"/>
      <c r="B10" s="206"/>
      <c r="C10" s="206"/>
      <c r="D10" s="206"/>
      <c r="E10" s="206"/>
      <c r="F10" s="206"/>
      <c r="G10" s="206"/>
      <c r="H10" s="206"/>
      <c r="I10" s="206"/>
      <c r="J10" s="206"/>
      <c r="K10" s="206"/>
      <c r="L10" s="206"/>
      <c r="M10" s="206"/>
      <c r="N10" s="206"/>
      <c r="O10" s="206"/>
      <c r="P10" s="206"/>
      <c r="Q10" s="206"/>
      <c r="R10" s="206"/>
      <c r="S10" s="206"/>
      <c r="T10" s="206"/>
      <c r="U10" s="206"/>
      <c r="V10" s="206"/>
      <c r="W10" s="206"/>
      <c r="X10" s="206"/>
      <c r="Y10" s="206"/>
      <c r="Z10" s="206"/>
      <c r="AA10" s="206"/>
      <c r="AB10" s="206"/>
      <c r="AC10" s="206"/>
      <c r="AD10" s="762"/>
      <c r="AE10" s="762"/>
      <c r="AF10" s="762"/>
      <c r="AG10" s="762"/>
      <c r="AH10" s="762"/>
      <c r="AI10" s="762"/>
      <c r="AJ10" s="206"/>
      <c r="AK10" s="206"/>
      <c r="AL10" s="206"/>
      <c r="AM10" s="206"/>
      <c r="AN10" s="206"/>
      <c r="AO10" s="206"/>
      <c r="AP10" s="206"/>
      <c r="AQ10" s="206"/>
      <c r="AR10" s="206"/>
      <c r="AS10" s="206"/>
      <c r="AT10" s="206"/>
      <c r="AU10" s="206"/>
      <c r="AV10" s="206"/>
      <c r="AW10" s="206"/>
      <c r="AX10" s="206"/>
    </row>
    <row r="11" spans="1:50" ht="15" customHeight="1" x14ac:dyDescent="0.2">
      <c r="A11" s="764"/>
      <c r="B11" s="765" t="s">
        <v>289</v>
      </c>
      <c r="C11" s="689"/>
      <c r="D11" s="689"/>
      <c r="E11" s="689"/>
      <c r="F11" s="689"/>
      <c r="G11" s="689"/>
      <c r="H11" s="689"/>
      <c r="I11" s="689"/>
      <c r="J11" s="689"/>
      <c r="K11" s="689"/>
      <c r="L11" s="689"/>
      <c r="M11" s="689"/>
      <c r="N11" s="689"/>
      <c r="O11" s="690"/>
      <c r="P11" s="689"/>
      <c r="Q11" s="765" t="s">
        <v>290</v>
      </c>
      <c r="R11" s="689"/>
      <c r="S11" s="689"/>
      <c r="T11" s="689"/>
      <c r="U11" s="689"/>
      <c r="V11" s="689"/>
      <c r="W11" s="689"/>
      <c r="X11" s="689"/>
      <c r="Y11" s="689"/>
      <c r="Z11" s="689"/>
      <c r="AA11" s="689"/>
      <c r="AB11" s="690"/>
      <c r="AC11" s="689"/>
      <c r="AD11" s="766" t="s">
        <v>736</v>
      </c>
      <c r="AE11" s="767"/>
      <c r="AF11" s="767"/>
      <c r="AG11" s="767"/>
      <c r="AH11" s="767"/>
      <c r="AI11" s="767"/>
      <c r="AJ11" s="690"/>
      <c r="AK11" s="765" t="s">
        <v>682</v>
      </c>
      <c r="AL11" s="689"/>
      <c r="AM11" s="689"/>
      <c r="AN11" s="689"/>
      <c r="AO11" s="689"/>
      <c r="AP11" s="689"/>
      <c r="AQ11" s="689"/>
      <c r="AR11" s="689"/>
      <c r="AS11" s="689"/>
      <c r="AT11" s="689"/>
      <c r="AU11" s="689"/>
      <c r="AV11" s="690"/>
      <c r="AW11" s="1321"/>
      <c r="AX11" s="206"/>
    </row>
    <row r="12" spans="1:50" ht="15" customHeight="1" x14ac:dyDescent="0.2">
      <c r="A12" s="768"/>
      <c r="B12" s="769" t="s">
        <v>291</v>
      </c>
      <c r="C12" s="770"/>
      <c r="D12" s="770"/>
      <c r="E12" s="770"/>
      <c r="F12" s="770"/>
      <c r="G12" s="770"/>
      <c r="H12" s="770"/>
      <c r="I12" s="770"/>
      <c r="J12" s="770"/>
      <c r="K12" s="770"/>
      <c r="L12" s="770"/>
      <c r="M12" s="690"/>
      <c r="N12" s="1321"/>
      <c r="O12" s="1767" t="s">
        <v>35</v>
      </c>
      <c r="P12" s="1768"/>
      <c r="Q12" s="769" t="s">
        <v>291</v>
      </c>
      <c r="R12" s="770"/>
      <c r="S12" s="770"/>
      <c r="T12" s="770"/>
      <c r="U12" s="770"/>
      <c r="V12" s="770"/>
      <c r="W12" s="770"/>
      <c r="X12" s="770"/>
      <c r="Y12" s="770"/>
      <c r="Z12" s="770"/>
      <c r="AA12" s="770"/>
      <c r="AB12" s="690"/>
      <c r="AC12" s="770"/>
      <c r="AD12" s="771" t="s">
        <v>291</v>
      </c>
      <c r="AE12" s="772"/>
      <c r="AF12" s="772"/>
      <c r="AG12" s="772"/>
      <c r="AH12" s="772"/>
      <c r="AI12" s="772"/>
      <c r="AJ12" s="690"/>
      <c r="AK12" s="769" t="s">
        <v>291</v>
      </c>
      <c r="AL12" s="770"/>
      <c r="AM12" s="770"/>
      <c r="AN12" s="770"/>
      <c r="AO12" s="770"/>
      <c r="AP12" s="770"/>
      <c r="AQ12" s="770"/>
      <c r="AR12" s="770"/>
      <c r="AS12" s="770"/>
      <c r="AT12" s="770"/>
      <c r="AU12" s="770"/>
      <c r="AV12" s="690"/>
      <c r="AW12" s="1321"/>
      <c r="AX12" s="206"/>
    </row>
    <row r="13" spans="1:50" ht="43.5" customHeight="1" x14ac:dyDescent="0.2">
      <c r="A13" s="773" t="s">
        <v>269</v>
      </c>
      <c r="B13" s="1761" t="s">
        <v>292</v>
      </c>
      <c r="C13" s="1762"/>
      <c r="D13" s="1762" t="s">
        <v>293</v>
      </c>
      <c r="E13" s="1762"/>
      <c r="F13" s="1762" t="s">
        <v>294</v>
      </c>
      <c r="G13" s="1762"/>
      <c r="H13" s="1762" t="s">
        <v>681</v>
      </c>
      <c r="I13" s="1762"/>
      <c r="J13" s="1762" t="s">
        <v>295</v>
      </c>
      <c r="K13" s="1762"/>
      <c r="L13" s="774" t="s">
        <v>735</v>
      </c>
      <c r="M13" s="1759" t="s">
        <v>42</v>
      </c>
      <c r="N13" s="1760"/>
      <c r="O13" s="1769" t="s">
        <v>296</v>
      </c>
      <c r="P13" s="1770"/>
      <c r="Q13" s="1761" t="s">
        <v>292</v>
      </c>
      <c r="R13" s="1762"/>
      <c r="S13" s="1762" t="s">
        <v>293</v>
      </c>
      <c r="T13" s="1762"/>
      <c r="U13" s="1762" t="s">
        <v>294</v>
      </c>
      <c r="V13" s="1762"/>
      <c r="W13" s="1762" t="s">
        <v>681</v>
      </c>
      <c r="X13" s="1762"/>
      <c r="Y13" s="1762" t="s">
        <v>295</v>
      </c>
      <c r="Z13" s="1762"/>
      <c r="AA13" s="774" t="s">
        <v>735</v>
      </c>
      <c r="AB13" s="1765" t="s">
        <v>42</v>
      </c>
      <c r="AC13" s="1766"/>
      <c r="AD13" s="776" t="s">
        <v>292</v>
      </c>
      <c r="AE13" s="777" t="s">
        <v>293</v>
      </c>
      <c r="AF13" s="777" t="s">
        <v>294</v>
      </c>
      <c r="AG13" s="777" t="s">
        <v>681</v>
      </c>
      <c r="AH13" s="693" t="s">
        <v>295</v>
      </c>
      <c r="AI13" s="778" t="s">
        <v>735</v>
      </c>
      <c r="AJ13" s="775" t="s">
        <v>42</v>
      </c>
      <c r="AK13" s="1761" t="s">
        <v>292</v>
      </c>
      <c r="AL13" s="1762"/>
      <c r="AM13" s="1762" t="s">
        <v>293</v>
      </c>
      <c r="AN13" s="1762"/>
      <c r="AO13" s="1762" t="s">
        <v>294</v>
      </c>
      <c r="AP13" s="1762"/>
      <c r="AQ13" s="1762" t="s">
        <v>681</v>
      </c>
      <c r="AR13" s="1762"/>
      <c r="AS13" s="1762" t="s">
        <v>295</v>
      </c>
      <c r="AT13" s="1762"/>
      <c r="AU13" s="774" t="s">
        <v>735</v>
      </c>
      <c r="AV13" s="1763" t="s">
        <v>42</v>
      </c>
      <c r="AW13" s="1764"/>
      <c r="AX13" s="206"/>
    </row>
    <row r="14" spans="1:50" ht="15" customHeight="1" x14ac:dyDescent="0.2">
      <c r="A14" s="779" t="s">
        <v>841</v>
      </c>
      <c r="B14" s="780">
        <v>27095.4550781</v>
      </c>
      <c r="C14" s="781"/>
      <c r="D14" s="781">
        <v>32187.5</v>
      </c>
      <c r="E14" s="781"/>
      <c r="F14" s="781">
        <v>28345</v>
      </c>
      <c r="G14" s="784"/>
      <c r="H14" s="784">
        <v>21726.3164063</v>
      </c>
      <c r="I14" s="784"/>
      <c r="J14" s="782">
        <v>26906.4941406</v>
      </c>
      <c r="K14" s="1313"/>
      <c r="L14" s="1322"/>
      <c r="M14" s="1313"/>
      <c r="N14" s="1327"/>
      <c r="O14" s="780"/>
      <c r="P14" s="1327"/>
      <c r="Q14" s="780">
        <v>40530</v>
      </c>
      <c r="R14" s="781"/>
      <c r="S14" s="781">
        <v>32877.2734375</v>
      </c>
      <c r="T14" s="781"/>
      <c r="U14" s="781">
        <v>27615.7890625</v>
      </c>
      <c r="V14" s="784"/>
      <c r="W14" s="784">
        <v>12240</v>
      </c>
      <c r="X14" s="784"/>
      <c r="Y14" s="782">
        <v>29635.7148438</v>
      </c>
      <c r="Z14" s="1313"/>
      <c r="AA14" s="1322"/>
      <c r="AB14" s="1313"/>
      <c r="AC14" s="1327"/>
      <c r="AD14" s="785"/>
      <c r="AE14" s="786"/>
      <c r="AF14" s="786"/>
      <c r="AG14" s="787"/>
      <c r="AH14" s="788"/>
      <c r="AI14" s="789"/>
      <c r="AJ14" s="783"/>
      <c r="AK14" s="780"/>
      <c r="AL14" s="781"/>
      <c r="AM14" s="781"/>
      <c r="AN14" s="781"/>
      <c r="AO14" s="781"/>
      <c r="AP14" s="784"/>
      <c r="AQ14" s="784"/>
      <c r="AR14" s="784"/>
      <c r="AS14" s="782"/>
      <c r="AT14" s="1313"/>
      <c r="AU14" s="1322"/>
      <c r="AV14" s="1313"/>
      <c r="AW14" s="1327"/>
      <c r="AX14" s="206"/>
    </row>
    <row r="15" spans="1:50" ht="15" customHeight="1" x14ac:dyDescent="0.2">
      <c r="A15" s="715" t="s">
        <v>236</v>
      </c>
      <c r="B15" s="790">
        <v>25661.5390625</v>
      </c>
      <c r="C15" s="791"/>
      <c r="D15" s="791">
        <v>24933.3339844</v>
      </c>
      <c r="E15" s="791"/>
      <c r="F15" s="791">
        <v>24600.8105469</v>
      </c>
      <c r="G15" s="794"/>
      <c r="H15" s="794">
        <v>20442.8574219</v>
      </c>
      <c r="I15" s="794"/>
      <c r="J15" s="792">
        <v>23768.5722656</v>
      </c>
      <c r="K15" s="1314"/>
      <c r="L15" s="1323"/>
      <c r="M15" s="1314">
        <v>24538.9257813</v>
      </c>
      <c r="N15" s="1328"/>
      <c r="O15" s="790">
        <v>16191.8916016</v>
      </c>
      <c r="P15" s="1328"/>
      <c r="Q15" s="790">
        <v>20300</v>
      </c>
      <c r="R15" s="791"/>
      <c r="S15" s="791">
        <v>25200</v>
      </c>
      <c r="T15" s="791"/>
      <c r="U15" s="791">
        <v>19042.1054688</v>
      </c>
      <c r="V15" s="794"/>
      <c r="W15" s="794">
        <v>16200</v>
      </c>
      <c r="X15" s="794"/>
      <c r="Y15" s="792">
        <v>23300</v>
      </c>
      <c r="Z15" s="1314"/>
      <c r="AA15" s="1323"/>
      <c r="AB15" s="1314">
        <v>19473.9121094</v>
      </c>
      <c r="AC15" s="1328"/>
      <c r="AD15" s="795"/>
      <c r="AE15" s="796"/>
      <c r="AF15" s="796"/>
      <c r="AG15" s="797"/>
      <c r="AH15" s="798"/>
      <c r="AI15" s="799"/>
      <c r="AJ15" s="793"/>
      <c r="AK15" s="790"/>
      <c r="AL15" s="791"/>
      <c r="AM15" s="791"/>
      <c r="AN15" s="791"/>
      <c r="AO15" s="791"/>
      <c r="AP15" s="794"/>
      <c r="AQ15" s="794"/>
      <c r="AR15" s="794"/>
      <c r="AS15" s="792"/>
      <c r="AT15" s="1314"/>
      <c r="AU15" s="1323"/>
      <c r="AV15" s="1314"/>
      <c r="AW15" s="1328"/>
      <c r="AX15" s="206"/>
    </row>
    <row r="16" spans="1:50" ht="15" customHeight="1" x14ac:dyDescent="0.2">
      <c r="A16" s="715" t="s">
        <v>237</v>
      </c>
      <c r="B16" s="790">
        <v>27468.75</v>
      </c>
      <c r="C16" s="791"/>
      <c r="D16" s="791">
        <v>38850</v>
      </c>
      <c r="E16" s="791"/>
      <c r="F16" s="791">
        <v>33561.0390625</v>
      </c>
      <c r="G16" s="794"/>
      <c r="H16" s="794">
        <v>26300</v>
      </c>
      <c r="I16" s="794"/>
      <c r="J16" s="792">
        <v>16680</v>
      </c>
      <c r="K16" s="1314"/>
      <c r="L16" s="1323"/>
      <c r="M16" s="1314">
        <v>32488.3339844</v>
      </c>
      <c r="N16" s="1328"/>
      <c r="O16" s="790">
        <v>16341.1767578</v>
      </c>
      <c r="P16" s="1328"/>
      <c r="Q16" s="790">
        <v>33450</v>
      </c>
      <c r="R16" s="791"/>
      <c r="S16" s="791">
        <v>43320</v>
      </c>
      <c r="T16" s="791"/>
      <c r="U16" s="791">
        <v>29484</v>
      </c>
      <c r="V16" s="794"/>
      <c r="W16" s="794">
        <v>0</v>
      </c>
      <c r="X16" s="794"/>
      <c r="Y16" s="792">
        <v>0</v>
      </c>
      <c r="Z16" s="1314"/>
      <c r="AA16" s="1323"/>
      <c r="AB16" s="1314">
        <v>32066.6660156</v>
      </c>
      <c r="AC16" s="1328"/>
      <c r="AD16" s="795"/>
      <c r="AE16" s="796"/>
      <c r="AF16" s="796"/>
      <c r="AG16" s="797"/>
      <c r="AH16" s="798"/>
      <c r="AI16" s="799"/>
      <c r="AJ16" s="793"/>
      <c r="AK16" s="790"/>
      <c r="AL16" s="791"/>
      <c r="AM16" s="791"/>
      <c r="AN16" s="791"/>
      <c r="AO16" s="791"/>
      <c r="AP16" s="794"/>
      <c r="AQ16" s="794"/>
      <c r="AR16" s="794"/>
      <c r="AS16" s="792"/>
      <c r="AT16" s="1314"/>
      <c r="AU16" s="1323"/>
      <c r="AV16" s="1314"/>
      <c r="AW16" s="1328"/>
      <c r="AX16" s="206"/>
    </row>
    <row r="17" spans="1:50" ht="15" customHeight="1" x14ac:dyDescent="0.2">
      <c r="A17" s="715" t="s">
        <v>238</v>
      </c>
      <c r="B17" s="790">
        <v>29775</v>
      </c>
      <c r="C17" s="791"/>
      <c r="D17" s="791">
        <v>38100</v>
      </c>
      <c r="E17" s="791"/>
      <c r="F17" s="791">
        <v>25242</v>
      </c>
      <c r="G17" s="794"/>
      <c r="H17" s="794">
        <v>0</v>
      </c>
      <c r="I17" s="794"/>
      <c r="J17" s="792">
        <v>33450</v>
      </c>
      <c r="K17" s="1314"/>
      <c r="L17" s="1323"/>
      <c r="M17" s="1314">
        <v>26786.0664063</v>
      </c>
      <c r="N17" s="1328"/>
      <c r="O17" s="790">
        <v>15900</v>
      </c>
      <c r="P17" s="1328"/>
      <c r="Q17" s="790">
        <v>7200</v>
      </c>
      <c r="R17" s="791"/>
      <c r="S17" s="791">
        <v>52500</v>
      </c>
      <c r="T17" s="791"/>
      <c r="U17" s="791">
        <v>21540</v>
      </c>
      <c r="V17" s="794"/>
      <c r="W17" s="794">
        <v>0</v>
      </c>
      <c r="X17" s="794"/>
      <c r="Y17" s="792">
        <v>0</v>
      </c>
      <c r="Z17" s="1314"/>
      <c r="AA17" s="1323"/>
      <c r="AB17" s="1314">
        <v>22925</v>
      </c>
      <c r="AC17" s="1328"/>
      <c r="AD17" s="795"/>
      <c r="AE17" s="796"/>
      <c r="AF17" s="796"/>
      <c r="AG17" s="797"/>
      <c r="AH17" s="798"/>
      <c r="AI17" s="799"/>
      <c r="AJ17" s="793"/>
      <c r="AK17" s="790"/>
      <c r="AL17" s="791"/>
      <c r="AM17" s="791"/>
      <c r="AN17" s="791"/>
      <c r="AO17" s="791"/>
      <c r="AP17" s="794"/>
      <c r="AQ17" s="794"/>
      <c r="AR17" s="794"/>
      <c r="AS17" s="792"/>
      <c r="AT17" s="1314"/>
      <c r="AU17" s="1323"/>
      <c r="AV17" s="1314"/>
      <c r="AW17" s="1328"/>
      <c r="AX17" s="206"/>
    </row>
    <row r="18" spans="1:50" ht="15" customHeight="1" x14ac:dyDescent="0.2">
      <c r="A18" s="715" t="s">
        <v>239</v>
      </c>
      <c r="B18" s="790">
        <v>19800</v>
      </c>
      <c r="C18" s="791"/>
      <c r="D18" s="791">
        <v>27150</v>
      </c>
      <c r="E18" s="791"/>
      <c r="F18" s="791">
        <v>25683.6738281</v>
      </c>
      <c r="G18" s="794"/>
      <c r="H18" s="794">
        <v>16200</v>
      </c>
      <c r="I18" s="794"/>
      <c r="J18" s="792">
        <v>20493.75</v>
      </c>
      <c r="K18" s="1314"/>
      <c r="L18" s="1323"/>
      <c r="M18" s="1314">
        <v>24288.6074219</v>
      </c>
      <c r="N18" s="1328"/>
      <c r="O18" s="790">
        <v>16636.3632813</v>
      </c>
      <c r="P18" s="1328"/>
      <c r="Q18" s="790">
        <v>0</v>
      </c>
      <c r="R18" s="791"/>
      <c r="S18" s="791">
        <v>0</v>
      </c>
      <c r="T18" s="791"/>
      <c r="U18" s="791">
        <v>25200</v>
      </c>
      <c r="V18" s="794"/>
      <c r="W18" s="794">
        <v>0</v>
      </c>
      <c r="X18" s="794"/>
      <c r="Y18" s="792">
        <v>37500</v>
      </c>
      <c r="Z18" s="1314"/>
      <c r="AA18" s="1323"/>
      <c r="AB18" s="1314">
        <v>29300</v>
      </c>
      <c r="AC18" s="1328"/>
      <c r="AD18" s="795"/>
      <c r="AE18" s="796"/>
      <c r="AF18" s="796"/>
      <c r="AG18" s="797"/>
      <c r="AH18" s="798"/>
      <c r="AI18" s="799"/>
      <c r="AJ18" s="793"/>
      <c r="AK18" s="790"/>
      <c r="AL18" s="791"/>
      <c r="AM18" s="791"/>
      <c r="AN18" s="791"/>
      <c r="AO18" s="791"/>
      <c r="AP18" s="794"/>
      <c r="AQ18" s="794"/>
      <c r="AR18" s="794"/>
      <c r="AS18" s="792"/>
      <c r="AT18" s="1314"/>
      <c r="AU18" s="1323"/>
      <c r="AV18" s="1314"/>
      <c r="AW18" s="1328"/>
      <c r="AX18" s="206"/>
    </row>
    <row r="19" spans="1:50" ht="15" customHeight="1" x14ac:dyDescent="0.2">
      <c r="A19" s="715" t="s">
        <v>240</v>
      </c>
      <c r="B19" s="790">
        <v>33480</v>
      </c>
      <c r="C19" s="791"/>
      <c r="D19" s="791">
        <v>33952.9414063</v>
      </c>
      <c r="E19" s="791"/>
      <c r="F19" s="791">
        <v>35617.2421875</v>
      </c>
      <c r="G19" s="794"/>
      <c r="H19" s="794">
        <v>26300</v>
      </c>
      <c r="I19" s="794"/>
      <c r="J19" s="792">
        <v>42225</v>
      </c>
      <c r="K19" s="1314"/>
      <c r="L19" s="1323"/>
      <c r="M19" s="1314">
        <v>35624.0820313</v>
      </c>
      <c r="N19" s="1328"/>
      <c r="O19" s="790">
        <v>25242.8574219</v>
      </c>
      <c r="P19" s="1328"/>
      <c r="Q19" s="790">
        <v>56957.1445313</v>
      </c>
      <c r="R19" s="791"/>
      <c r="S19" s="791">
        <v>30950</v>
      </c>
      <c r="T19" s="791"/>
      <c r="U19" s="791">
        <v>34225</v>
      </c>
      <c r="V19" s="794"/>
      <c r="W19" s="794">
        <v>0</v>
      </c>
      <c r="X19" s="794"/>
      <c r="Y19" s="792">
        <v>34260</v>
      </c>
      <c r="Z19" s="1314"/>
      <c r="AA19" s="1323"/>
      <c r="AB19" s="1314">
        <v>35653.5703125</v>
      </c>
      <c r="AC19" s="1328"/>
      <c r="AD19" s="795"/>
      <c r="AE19" s="796"/>
      <c r="AF19" s="796"/>
      <c r="AG19" s="797"/>
      <c r="AH19" s="798"/>
      <c r="AI19" s="799"/>
      <c r="AJ19" s="793"/>
      <c r="AK19" s="790"/>
      <c r="AL19" s="791"/>
      <c r="AM19" s="791"/>
      <c r="AN19" s="791"/>
      <c r="AO19" s="791"/>
      <c r="AP19" s="794"/>
      <c r="AQ19" s="794"/>
      <c r="AR19" s="794"/>
      <c r="AS19" s="792"/>
      <c r="AT19" s="1314"/>
      <c r="AU19" s="1323"/>
      <c r="AV19" s="1314"/>
      <c r="AW19" s="1328"/>
      <c r="AX19" s="206"/>
    </row>
    <row r="20" spans="1:50" ht="15" customHeight="1" x14ac:dyDescent="0.2">
      <c r="A20" s="715" t="s">
        <v>241</v>
      </c>
      <c r="B20" s="790">
        <v>9600</v>
      </c>
      <c r="C20" s="791"/>
      <c r="D20" s="791">
        <v>35925</v>
      </c>
      <c r="E20" s="791"/>
      <c r="F20" s="791">
        <v>22946.4277344</v>
      </c>
      <c r="G20" s="794"/>
      <c r="H20" s="794">
        <v>19140</v>
      </c>
      <c r="I20" s="794"/>
      <c r="J20" s="792">
        <v>40400</v>
      </c>
      <c r="K20" s="1314"/>
      <c r="L20" s="1323"/>
      <c r="M20" s="1314">
        <v>23687.6289063</v>
      </c>
      <c r="N20" s="1328"/>
      <c r="O20" s="790">
        <v>22892.3085938</v>
      </c>
      <c r="P20" s="1328"/>
      <c r="Q20" s="790">
        <v>47700</v>
      </c>
      <c r="R20" s="791"/>
      <c r="S20" s="791">
        <v>19200</v>
      </c>
      <c r="T20" s="791"/>
      <c r="U20" s="791">
        <v>26175</v>
      </c>
      <c r="V20" s="794"/>
      <c r="W20" s="794">
        <v>11250</v>
      </c>
      <c r="X20" s="794"/>
      <c r="Y20" s="792">
        <v>27240</v>
      </c>
      <c r="Z20" s="1314"/>
      <c r="AA20" s="1323"/>
      <c r="AB20" s="1314">
        <v>25964.7050781</v>
      </c>
      <c r="AC20" s="1328"/>
      <c r="AD20" s="795"/>
      <c r="AE20" s="796"/>
      <c r="AF20" s="796"/>
      <c r="AG20" s="797"/>
      <c r="AH20" s="798"/>
      <c r="AI20" s="799"/>
      <c r="AJ20" s="793"/>
      <c r="AK20" s="790"/>
      <c r="AL20" s="791"/>
      <c r="AM20" s="791"/>
      <c r="AN20" s="791"/>
      <c r="AO20" s="791"/>
      <c r="AP20" s="794"/>
      <c r="AQ20" s="794"/>
      <c r="AR20" s="794"/>
      <c r="AS20" s="792"/>
      <c r="AT20" s="1314"/>
      <c r="AU20" s="1323"/>
      <c r="AV20" s="1314"/>
      <c r="AW20" s="1328"/>
      <c r="AX20" s="206"/>
    </row>
    <row r="21" spans="1:50" ht="15" customHeight="1" x14ac:dyDescent="0.2">
      <c r="A21" s="801" t="s">
        <v>242</v>
      </c>
      <c r="B21" s="790"/>
      <c r="C21" s="791"/>
      <c r="D21" s="791"/>
      <c r="E21" s="791"/>
      <c r="F21" s="791"/>
      <c r="G21" s="794"/>
      <c r="H21" s="794"/>
      <c r="I21" s="794"/>
      <c r="J21" s="792"/>
      <c r="K21" s="1314"/>
      <c r="L21" s="1323"/>
      <c r="M21" s="1314"/>
      <c r="N21" s="1328"/>
      <c r="O21" s="790"/>
      <c r="P21" s="1328"/>
      <c r="Q21" s="790"/>
      <c r="R21" s="791"/>
      <c r="S21" s="791"/>
      <c r="T21" s="791"/>
      <c r="U21" s="791"/>
      <c r="V21" s="794"/>
      <c r="W21" s="794"/>
      <c r="X21" s="794"/>
      <c r="Y21" s="792"/>
      <c r="Z21" s="1314"/>
      <c r="AA21" s="1323"/>
      <c r="AB21" s="1314"/>
      <c r="AC21" s="1328"/>
      <c r="AD21" s="795"/>
      <c r="AE21" s="796"/>
      <c r="AF21" s="796"/>
      <c r="AG21" s="797"/>
      <c r="AH21" s="798"/>
      <c r="AI21" s="799"/>
      <c r="AJ21" s="793"/>
      <c r="AK21" s="790"/>
      <c r="AL21" s="791"/>
      <c r="AM21" s="791"/>
      <c r="AN21" s="791"/>
      <c r="AO21" s="791"/>
      <c r="AP21" s="794"/>
      <c r="AQ21" s="794"/>
      <c r="AR21" s="794"/>
      <c r="AS21" s="792"/>
      <c r="AT21" s="1314"/>
      <c r="AU21" s="1323"/>
      <c r="AV21" s="1314"/>
      <c r="AW21" s="1328"/>
      <c r="AX21" s="206"/>
    </row>
    <row r="22" spans="1:50" ht="25.5" x14ac:dyDescent="0.2">
      <c r="A22" s="802" t="s">
        <v>297</v>
      </c>
      <c r="B22" s="803">
        <v>29658.1386719</v>
      </c>
      <c r="C22" s="804"/>
      <c r="D22" s="804">
        <v>30786.4863281</v>
      </c>
      <c r="E22" s="804"/>
      <c r="F22" s="804">
        <v>30821.25</v>
      </c>
      <c r="G22" s="807"/>
      <c r="H22" s="807">
        <v>22762.5</v>
      </c>
      <c r="I22" s="807"/>
      <c r="J22" s="805">
        <v>29626.8300781</v>
      </c>
      <c r="K22" s="1315"/>
      <c r="L22" s="1324"/>
      <c r="M22" s="1315"/>
      <c r="N22" s="1329"/>
      <c r="O22" s="803"/>
      <c r="P22" s="1329"/>
      <c r="Q22" s="803">
        <v>52500</v>
      </c>
      <c r="R22" s="804"/>
      <c r="S22" s="804">
        <v>36761.5390625</v>
      </c>
      <c r="T22" s="804"/>
      <c r="U22" s="804">
        <v>31866</v>
      </c>
      <c r="V22" s="807"/>
      <c r="W22" s="807">
        <v>12900</v>
      </c>
      <c r="X22" s="807"/>
      <c r="Y22" s="805">
        <v>32280</v>
      </c>
      <c r="Z22" s="1315"/>
      <c r="AA22" s="1324"/>
      <c r="AB22" s="1315"/>
      <c r="AC22" s="1329"/>
      <c r="AD22" s="808"/>
      <c r="AE22" s="809"/>
      <c r="AF22" s="809"/>
      <c r="AG22" s="810"/>
      <c r="AH22" s="811"/>
      <c r="AI22" s="812"/>
      <c r="AJ22" s="806"/>
      <c r="AK22" s="803"/>
      <c r="AL22" s="804"/>
      <c r="AM22" s="804"/>
      <c r="AN22" s="804"/>
      <c r="AO22" s="804"/>
      <c r="AP22" s="807"/>
      <c r="AQ22" s="807"/>
      <c r="AR22" s="807"/>
      <c r="AS22" s="805"/>
      <c r="AT22" s="1315"/>
      <c r="AU22" s="1324"/>
      <c r="AV22" s="1315"/>
      <c r="AW22" s="1329"/>
      <c r="AX22" s="206"/>
    </row>
    <row r="23" spans="1:50" ht="15" customHeight="1" x14ac:dyDescent="0.2">
      <c r="A23" s="814" t="s">
        <v>236</v>
      </c>
      <c r="B23" s="790">
        <v>31125</v>
      </c>
      <c r="C23" s="791"/>
      <c r="D23" s="791">
        <v>24933.3339844</v>
      </c>
      <c r="E23" s="791"/>
      <c r="F23" s="791">
        <v>26661.2167969</v>
      </c>
      <c r="G23" s="794"/>
      <c r="H23" s="794">
        <v>21150</v>
      </c>
      <c r="I23" s="794"/>
      <c r="J23" s="792">
        <v>22050</v>
      </c>
      <c r="K23" s="1314"/>
      <c r="L23" s="1323"/>
      <c r="M23" s="1314">
        <v>26412.3417969</v>
      </c>
      <c r="N23" s="1328"/>
      <c r="O23" s="790">
        <v>16692.5371094</v>
      </c>
      <c r="P23" s="1328"/>
      <c r="Q23" s="790">
        <v>37500</v>
      </c>
      <c r="R23" s="791"/>
      <c r="S23" s="791">
        <v>25200</v>
      </c>
      <c r="T23" s="791"/>
      <c r="U23" s="791">
        <v>23185.7148438</v>
      </c>
      <c r="V23" s="794"/>
      <c r="W23" s="794">
        <v>16200</v>
      </c>
      <c r="X23" s="794"/>
      <c r="Y23" s="792">
        <v>23300</v>
      </c>
      <c r="Z23" s="1314"/>
      <c r="AA23" s="1323"/>
      <c r="AB23" s="1314">
        <v>23544.4453125</v>
      </c>
      <c r="AC23" s="1328"/>
      <c r="AD23" s="795"/>
      <c r="AE23" s="796"/>
      <c r="AF23" s="796"/>
      <c r="AG23" s="797"/>
      <c r="AH23" s="798"/>
      <c r="AI23" s="799"/>
      <c r="AJ23" s="793"/>
      <c r="AK23" s="790"/>
      <c r="AL23" s="791"/>
      <c r="AM23" s="791"/>
      <c r="AN23" s="791"/>
      <c r="AO23" s="791"/>
      <c r="AP23" s="794"/>
      <c r="AQ23" s="794"/>
      <c r="AR23" s="794"/>
      <c r="AS23" s="792"/>
      <c r="AT23" s="1314"/>
      <c r="AU23" s="1323"/>
      <c r="AV23" s="1314"/>
      <c r="AW23" s="1328"/>
      <c r="AX23" s="206"/>
    </row>
    <row r="24" spans="1:50" ht="15" customHeight="1" x14ac:dyDescent="0.2">
      <c r="A24" s="814" t="s">
        <v>237</v>
      </c>
      <c r="B24" s="815">
        <v>27950</v>
      </c>
      <c r="C24" s="816"/>
      <c r="D24" s="816">
        <v>25200</v>
      </c>
      <c r="E24" s="816"/>
      <c r="F24" s="816">
        <v>35725.421875</v>
      </c>
      <c r="G24" s="819"/>
      <c r="H24" s="819">
        <v>31350</v>
      </c>
      <c r="I24" s="819"/>
      <c r="J24" s="817">
        <v>25200</v>
      </c>
      <c r="K24" s="1316"/>
      <c r="L24" s="1325"/>
      <c r="M24" s="1316">
        <v>34806.7148438</v>
      </c>
      <c r="N24" s="1330"/>
      <c r="O24" s="815">
        <v>16418.1816406</v>
      </c>
      <c r="P24" s="1330"/>
      <c r="Q24" s="815">
        <v>34500</v>
      </c>
      <c r="R24" s="816"/>
      <c r="S24" s="816">
        <v>49300</v>
      </c>
      <c r="T24" s="816"/>
      <c r="U24" s="816">
        <v>28616.6660156</v>
      </c>
      <c r="V24" s="819"/>
      <c r="W24" s="819">
        <v>0</v>
      </c>
      <c r="X24" s="819"/>
      <c r="Y24" s="817">
        <v>0</v>
      </c>
      <c r="Z24" s="1316"/>
      <c r="AA24" s="1325"/>
      <c r="AB24" s="1316">
        <v>32040</v>
      </c>
      <c r="AC24" s="1330"/>
      <c r="AD24" s="820"/>
      <c r="AE24" s="821"/>
      <c r="AF24" s="821"/>
      <c r="AG24" s="822"/>
      <c r="AH24" s="823"/>
      <c r="AI24" s="824"/>
      <c r="AJ24" s="818"/>
      <c r="AK24" s="815"/>
      <c r="AL24" s="816"/>
      <c r="AM24" s="816"/>
      <c r="AN24" s="816"/>
      <c r="AO24" s="816"/>
      <c r="AP24" s="819"/>
      <c r="AQ24" s="819"/>
      <c r="AR24" s="819"/>
      <c r="AS24" s="817"/>
      <c r="AT24" s="1316"/>
      <c r="AU24" s="1325"/>
      <c r="AV24" s="1316"/>
      <c r="AW24" s="1330"/>
      <c r="AX24" s="206"/>
    </row>
    <row r="25" spans="1:50" ht="15" customHeight="1" x14ac:dyDescent="0.2">
      <c r="A25" s="814" t="s">
        <v>238</v>
      </c>
      <c r="B25" s="815">
        <v>22950</v>
      </c>
      <c r="C25" s="816"/>
      <c r="D25" s="816">
        <v>42950</v>
      </c>
      <c r="E25" s="816"/>
      <c r="F25" s="816">
        <v>26694.6425781</v>
      </c>
      <c r="G25" s="819"/>
      <c r="H25" s="819">
        <v>0</v>
      </c>
      <c r="I25" s="819"/>
      <c r="J25" s="817">
        <v>80400</v>
      </c>
      <c r="K25" s="1316"/>
      <c r="L25" s="1325"/>
      <c r="M25" s="1316">
        <v>28728.3574219</v>
      </c>
      <c r="N25" s="1330"/>
      <c r="O25" s="815">
        <v>16600</v>
      </c>
      <c r="P25" s="1330"/>
      <c r="Q25" s="815">
        <v>0</v>
      </c>
      <c r="R25" s="816"/>
      <c r="S25" s="816">
        <v>0</v>
      </c>
      <c r="T25" s="816"/>
      <c r="U25" s="816">
        <v>27000</v>
      </c>
      <c r="V25" s="819"/>
      <c r="W25" s="819">
        <v>0</v>
      </c>
      <c r="X25" s="819"/>
      <c r="Y25" s="817">
        <v>0</v>
      </c>
      <c r="Z25" s="1316"/>
      <c r="AA25" s="1325"/>
      <c r="AB25" s="1316">
        <v>27000</v>
      </c>
      <c r="AC25" s="1330"/>
      <c r="AD25" s="820"/>
      <c r="AE25" s="821"/>
      <c r="AF25" s="821"/>
      <c r="AG25" s="822"/>
      <c r="AH25" s="823"/>
      <c r="AI25" s="824"/>
      <c r="AJ25" s="818"/>
      <c r="AK25" s="815"/>
      <c r="AL25" s="816"/>
      <c r="AM25" s="816"/>
      <c r="AN25" s="816"/>
      <c r="AO25" s="816"/>
      <c r="AP25" s="819"/>
      <c r="AQ25" s="819"/>
      <c r="AR25" s="819"/>
      <c r="AS25" s="817"/>
      <c r="AT25" s="1316"/>
      <c r="AU25" s="1325"/>
      <c r="AV25" s="1316"/>
      <c r="AW25" s="1330"/>
      <c r="AX25" s="206"/>
    </row>
    <row r="26" spans="1:50" ht="15" customHeight="1" x14ac:dyDescent="0.2">
      <c r="A26" s="814" t="s">
        <v>239</v>
      </c>
      <c r="B26" s="815">
        <v>22200</v>
      </c>
      <c r="C26" s="816"/>
      <c r="D26" s="816">
        <v>28320</v>
      </c>
      <c r="E26" s="816"/>
      <c r="F26" s="816">
        <v>27379.4121094</v>
      </c>
      <c r="G26" s="819"/>
      <c r="H26" s="819">
        <v>16200</v>
      </c>
      <c r="I26" s="819"/>
      <c r="J26" s="817">
        <v>21930</v>
      </c>
      <c r="K26" s="1316"/>
      <c r="L26" s="1325"/>
      <c r="M26" s="1316">
        <v>25935.8496094</v>
      </c>
      <c r="N26" s="1330"/>
      <c r="O26" s="815">
        <v>14550</v>
      </c>
      <c r="P26" s="1330"/>
      <c r="Q26" s="815">
        <v>0</v>
      </c>
      <c r="R26" s="816"/>
      <c r="S26" s="816">
        <v>0</v>
      </c>
      <c r="T26" s="816"/>
      <c r="U26" s="816">
        <v>25200</v>
      </c>
      <c r="V26" s="819"/>
      <c r="W26" s="819">
        <v>0</v>
      </c>
      <c r="X26" s="819"/>
      <c r="Y26" s="817">
        <v>37500</v>
      </c>
      <c r="Z26" s="1316"/>
      <c r="AA26" s="1325"/>
      <c r="AB26" s="1316">
        <v>31350</v>
      </c>
      <c r="AC26" s="1330"/>
      <c r="AD26" s="820"/>
      <c r="AE26" s="821"/>
      <c r="AF26" s="821"/>
      <c r="AG26" s="822"/>
      <c r="AH26" s="823"/>
      <c r="AI26" s="824"/>
      <c r="AJ26" s="818"/>
      <c r="AK26" s="815"/>
      <c r="AL26" s="816"/>
      <c r="AM26" s="816"/>
      <c r="AN26" s="816"/>
      <c r="AO26" s="816"/>
      <c r="AP26" s="819"/>
      <c r="AQ26" s="819"/>
      <c r="AR26" s="819"/>
      <c r="AS26" s="817"/>
      <c r="AT26" s="1316"/>
      <c r="AU26" s="1325"/>
      <c r="AV26" s="1316"/>
      <c r="AW26" s="1330"/>
      <c r="AX26" s="206"/>
    </row>
    <row r="27" spans="1:50" ht="15" customHeight="1" x14ac:dyDescent="0.2">
      <c r="A27" s="814" t="s">
        <v>240</v>
      </c>
      <c r="B27" s="815">
        <v>39128.5703125</v>
      </c>
      <c r="C27" s="816"/>
      <c r="D27" s="816">
        <v>32838.4609375</v>
      </c>
      <c r="E27" s="816"/>
      <c r="F27" s="816">
        <v>40327.8671875</v>
      </c>
      <c r="G27" s="819"/>
      <c r="H27" s="819">
        <v>26300</v>
      </c>
      <c r="I27" s="819"/>
      <c r="J27" s="817">
        <v>67200</v>
      </c>
      <c r="K27" s="1316"/>
      <c r="L27" s="1325"/>
      <c r="M27" s="1316">
        <v>40238</v>
      </c>
      <c r="N27" s="1330"/>
      <c r="O27" s="815">
        <v>24992.3085938</v>
      </c>
      <c r="P27" s="1330"/>
      <c r="Q27" s="815">
        <v>64850</v>
      </c>
      <c r="R27" s="816"/>
      <c r="S27" s="816">
        <v>33866.6679688</v>
      </c>
      <c r="T27" s="816"/>
      <c r="U27" s="816">
        <v>39642.8554688</v>
      </c>
      <c r="V27" s="819"/>
      <c r="W27" s="1623">
        <v>0</v>
      </c>
      <c r="X27" s="819"/>
      <c r="Y27" s="817">
        <v>34200</v>
      </c>
      <c r="Z27" s="1316"/>
      <c r="AA27" s="1325"/>
      <c r="AB27" s="1316">
        <v>41207.546875</v>
      </c>
      <c r="AC27" s="1330"/>
      <c r="AD27" s="820"/>
      <c r="AE27" s="821"/>
      <c r="AF27" s="821"/>
      <c r="AG27" s="822"/>
      <c r="AH27" s="823"/>
      <c r="AI27" s="824"/>
      <c r="AJ27" s="818"/>
      <c r="AK27" s="815"/>
      <c r="AL27" s="816"/>
      <c r="AM27" s="816"/>
      <c r="AN27" s="816"/>
      <c r="AO27" s="816"/>
      <c r="AP27" s="819"/>
      <c r="AQ27" s="819"/>
      <c r="AR27" s="819"/>
      <c r="AS27" s="817"/>
      <c r="AT27" s="1316"/>
      <c r="AU27" s="1325"/>
      <c r="AV27" s="1316"/>
      <c r="AW27" s="1330"/>
      <c r="AX27" s="206"/>
    </row>
    <row r="28" spans="1:50" ht="15" customHeight="1" x14ac:dyDescent="0.2">
      <c r="A28" s="814" t="s">
        <v>241</v>
      </c>
      <c r="B28" s="815">
        <v>9600</v>
      </c>
      <c r="C28" s="816"/>
      <c r="D28" s="816">
        <v>21100</v>
      </c>
      <c r="E28" s="816"/>
      <c r="F28" s="816">
        <v>24517.0214844</v>
      </c>
      <c r="G28" s="819"/>
      <c r="H28" s="819">
        <v>19875</v>
      </c>
      <c r="I28" s="819"/>
      <c r="J28" s="817">
        <v>34350</v>
      </c>
      <c r="K28" s="1316"/>
      <c r="L28" s="1325"/>
      <c r="M28" s="1316">
        <v>24094.7363281</v>
      </c>
      <c r="N28" s="1330"/>
      <c r="O28" s="815">
        <v>19875</v>
      </c>
      <c r="P28" s="1330"/>
      <c r="Q28" s="815">
        <v>58950</v>
      </c>
      <c r="R28" s="816"/>
      <c r="S28" s="816">
        <v>0</v>
      </c>
      <c r="T28" s="816"/>
      <c r="U28" s="816">
        <v>32383.3339844</v>
      </c>
      <c r="V28" s="819"/>
      <c r="W28" s="819">
        <v>11800</v>
      </c>
      <c r="X28" s="819"/>
      <c r="Y28" s="817">
        <v>37600</v>
      </c>
      <c r="Z28" s="1316"/>
      <c r="AA28" s="1325"/>
      <c r="AB28" s="1316">
        <v>32653.8457031</v>
      </c>
      <c r="AC28" s="1330"/>
      <c r="AD28" s="820"/>
      <c r="AE28" s="821"/>
      <c r="AF28" s="821"/>
      <c r="AG28" s="822"/>
      <c r="AH28" s="823"/>
      <c r="AI28" s="824"/>
      <c r="AJ28" s="818"/>
      <c r="AK28" s="815"/>
      <c r="AL28" s="816"/>
      <c r="AM28" s="816"/>
      <c r="AN28" s="816"/>
      <c r="AO28" s="816"/>
      <c r="AP28" s="819"/>
      <c r="AQ28" s="819"/>
      <c r="AR28" s="819"/>
      <c r="AS28" s="817"/>
      <c r="AT28" s="1316"/>
      <c r="AU28" s="1325"/>
      <c r="AV28" s="1316"/>
      <c r="AW28" s="1330"/>
      <c r="AX28" s="206"/>
    </row>
    <row r="29" spans="1:50" ht="15" customHeight="1" x14ac:dyDescent="0.2">
      <c r="A29" s="826" t="s">
        <v>242</v>
      </c>
      <c r="B29" s="827"/>
      <c r="C29" s="828"/>
      <c r="D29" s="828"/>
      <c r="E29" s="828"/>
      <c r="F29" s="828"/>
      <c r="G29" s="831"/>
      <c r="H29" s="831"/>
      <c r="I29" s="831"/>
      <c r="J29" s="829"/>
      <c r="K29" s="827"/>
      <c r="L29" s="1326"/>
      <c r="M29" s="827"/>
      <c r="N29" s="1331"/>
      <c r="O29" s="827"/>
      <c r="P29" s="1331"/>
      <c r="Q29" s="827"/>
      <c r="R29" s="828"/>
      <c r="S29" s="828"/>
      <c r="T29" s="828"/>
      <c r="U29" s="828"/>
      <c r="V29" s="831"/>
      <c r="W29" s="831"/>
      <c r="X29" s="831"/>
      <c r="Y29" s="829"/>
      <c r="Z29" s="827"/>
      <c r="AA29" s="1326"/>
      <c r="AB29" s="827"/>
      <c r="AC29" s="1331"/>
      <c r="AD29" s="827"/>
      <c r="AE29" s="828"/>
      <c r="AF29" s="828"/>
      <c r="AG29" s="831"/>
      <c r="AH29" s="829"/>
      <c r="AI29" s="832"/>
      <c r="AJ29" s="830"/>
      <c r="AK29" s="827"/>
      <c r="AL29" s="828"/>
      <c r="AM29" s="828"/>
      <c r="AN29" s="828"/>
      <c r="AO29" s="828"/>
      <c r="AP29" s="831"/>
      <c r="AQ29" s="831"/>
      <c r="AR29" s="831"/>
      <c r="AS29" s="829"/>
      <c r="AT29" s="827"/>
      <c r="AU29" s="1326"/>
      <c r="AV29" s="827"/>
      <c r="AW29" s="1331"/>
      <c r="AX29" s="206"/>
    </row>
    <row r="30" spans="1:50" ht="25.5" x14ac:dyDescent="0.2">
      <c r="A30" s="802" t="s">
        <v>298</v>
      </c>
      <c r="B30" s="803">
        <v>22304.3476563</v>
      </c>
      <c r="C30" s="804"/>
      <c r="D30" s="804">
        <v>36900</v>
      </c>
      <c r="E30" s="804"/>
      <c r="F30" s="804">
        <v>23392.5</v>
      </c>
      <c r="G30" s="807"/>
      <c r="H30" s="807">
        <v>16200</v>
      </c>
      <c r="I30" s="807"/>
      <c r="J30" s="805">
        <v>23808.3339844</v>
      </c>
      <c r="K30" s="1315"/>
      <c r="L30" s="1324"/>
      <c r="M30" s="1315"/>
      <c r="N30" s="1329"/>
      <c r="O30" s="803"/>
      <c r="P30" s="1329"/>
      <c r="Q30" s="803">
        <v>18300</v>
      </c>
      <c r="R30" s="804"/>
      <c r="S30" s="804">
        <v>27266.6660156</v>
      </c>
      <c r="T30" s="804"/>
      <c r="U30" s="804">
        <v>21629.578125</v>
      </c>
      <c r="V30" s="807"/>
      <c r="W30" s="807">
        <v>9600</v>
      </c>
      <c r="X30" s="807"/>
      <c r="Y30" s="805">
        <v>23025</v>
      </c>
      <c r="Z30" s="1315"/>
      <c r="AA30" s="1324"/>
      <c r="AB30" s="1315"/>
      <c r="AC30" s="1329"/>
      <c r="AD30" s="808"/>
      <c r="AE30" s="809"/>
      <c r="AF30" s="809"/>
      <c r="AG30" s="810"/>
      <c r="AH30" s="811"/>
      <c r="AI30" s="812"/>
      <c r="AJ30" s="806"/>
      <c r="AK30" s="803"/>
      <c r="AL30" s="804"/>
      <c r="AM30" s="804"/>
      <c r="AN30" s="804"/>
      <c r="AO30" s="804"/>
      <c r="AP30" s="807"/>
      <c r="AQ30" s="807"/>
      <c r="AR30" s="807"/>
      <c r="AS30" s="805"/>
      <c r="AT30" s="1315"/>
      <c r="AU30" s="1324"/>
      <c r="AV30" s="1315"/>
      <c r="AW30" s="1329"/>
      <c r="AX30" s="206"/>
    </row>
    <row r="31" spans="1:50" ht="15" customHeight="1" x14ac:dyDescent="0.2">
      <c r="A31" s="814" t="s">
        <v>236</v>
      </c>
      <c r="B31" s="790">
        <v>16920</v>
      </c>
      <c r="C31" s="791"/>
      <c r="D31" s="791">
        <v>0</v>
      </c>
      <c r="E31" s="791"/>
      <c r="F31" s="791">
        <v>19536.4492188</v>
      </c>
      <c r="G31" s="794"/>
      <c r="H31" s="794">
        <v>16200</v>
      </c>
      <c r="I31" s="794"/>
      <c r="J31" s="792">
        <v>26676.9238281</v>
      </c>
      <c r="K31" s="1314"/>
      <c r="L31" s="1323"/>
      <c r="M31" s="1314">
        <v>20019.8476563</v>
      </c>
      <c r="N31" s="1328"/>
      <c r="O31" s="790">
        <v>15429.5458984</v>
      </c>
      <c r="P31" s="1328"/>
      <c r="Q31" s="790">
        <v>11700</v>
      </c>
      <c r="R31" s="791"/>
      <c r="S31" s="791">
        <v>0</v>
      </c>
      <c r="T31" s="791"/>
      <c r="U31" s="791">
        <v>13923.5292969</v>
      </c>
      <c r="V31" s="794"/>
      <c r="W31" s="794">
        <v>0</v>
      </c>
      <c r="X31" s="794"/>
      <c r="Y31" s="792">
        <v>0</v>
      </c>
      <c r="Z31" s="1314"/>
      <c r="AA31" s="1323"/>
      <c r="AB31" s="1314">
        <v>13689.4736328</v>
      </c>
      <c r="AC31" s="1328"/>
      <c r="AD31" s="795"/>
      <c r="AE31" s="796"/>
      <c r="AF31" s="796"/>
      <c r="AG31" s="797"/>
      <c r="AH31" s="798"/>
      <c r="AI31" s="799"/>
      <c r="AJ31" s="793"/>
      <c r="AK31" s="790"/>
      <c r="AL31" s="791"/>
      <c r="AM31" s="791"/>
      <c r="AN31" s="791"/>
      <c r="AO31" s="791"/>
      <c r="AP31" s="794"/>
      <c r="AQ31" s="794"/>
      <c r="AR31" s="794"/>
      <c r="AS31" s="792"/>
      <c r="AT31" s="1314"/>
      <c r="AU31" s="1323"/>
      <c r="AV31" s="1314"/>
      <c r="AW31" s="1328"/>
      <c r="AX31" s="206"/>
    </row>
    <row r="32" spans="1:50" ht="15" customHeight="1" x14ac:dyDescent="0.2">
      <c r="A32" s="814" t="s">
        <v>237</v>
      </c>
      <c r="B32" s="815">
        <v>26025</v>
      </c>
      <c r="C32" s="816"/>
      <c r="D32" s="816">
        <v>52500</v>
      </c>
      <c r="E32" s="816"/>
      <c r="F32" s="816">
        <v>26466.6660156</v>
      </c>
      <c r="G32" s="819"/>
      <c r="H32" s="819">
        <v>16200</v>
      </c>
      <c r="I32" s="819"/>
      <c r="J32" s="817">
        <v>14550</v>
      </c>
      <c r="K32" s="1316"/>
      <c r="L32" s="1325"/>
      <c r="M32" s="1316">
        <v>25734.7832031</v>
      </c>
      <c r="N32" s="1330"/>
      <c r="O32" s="815">
        <v>16200</v>
      </c>
      <c r="P32" s="1330"/>
      <c r="Q32" s="815">
        <v>31350</v>
      </c>
      <c r="R32" s="816"/>
      <c r="S32" s="816">
        <v>34350</v>
      </c>
      <c r="T32" s="816"/>
      <c r="U32" s="816">
        <v>31714.2851563</v>
      </c>
      <c r="V32" s="819"/>
      <c r="W32" s="819">
        <v>0</v>
      </c>
      <c r="X32" s="819"/>
      <c r="Y32" s="817">
        <v>0</v>
      </c>
      <c r="Z32" s="1316"/>
      <c r="AA32" s="1325"/>
      <c r="AB32" s="1316">
        <v>32127.2734375</v>
      </c>
      <c r="AC32" s="1330"/>
      <c r="AD32" s="820"/>
      <c r="AE32" s="821"/>
      <c r="AF32" s="821"/>
      <c r="AG32" s="822"/>
      <c r="AH32" s="823"/>
      <c r="AI32" s="824"/>
      <c r="AJ32" s="818"/>
      <c r="AK32" s="815"/>
      <c r="AL32" s="816"/>
      <c r="AM32" s="816"/>
      <c r="AN32" s="816"/>
      <c r="AO32" s="816"/>
      <c r="AP32" s="819"/>
      <c r="AQ32" s="819"/>
      <c r="AR32" s="819"/>
      <c r="AS32" s="817"/>
      <c r="AT32" s="1316"/>
      <c r="AU32" s="1325"/>
      <c r="AV32" s="1316"/>
      <c r="AW32" s="1330"/>
      <c r="AX32" s="206"/>
    </row>
    <row r="33" spans="1:50" ht="15" customHeight="1" x14ac:dyDescent="0.2">
      <c r="A33" s="814" t="s">
        <v>238</v>
      </c>
      <c r="B33" s="815">
        <v>36600</v>
      </c>
      <c r="C33" s="816"/>
      <c r="D33" s="816">
        <v>23550</v>
      </c>
      <c r="E33" s="816"/>
      <c r="F33" s="816">
        <v>23393.1816406</v>
      </c>
      <c r="G33" s="819"/>
      <c r="H33" s="819">
        <v>0</v>
      </c>
      <c r="I33" s="819"/>
      <c r="J33" s="817">
        <v>24060</v>
      </c>
      <c r="K33" s="1316"/>
      <c r="L33" s="1325"/>
      <c r="M33" s="1316">
        <v>24420</v>
      </c>
      <c r="N33" s="1330"/>
      <c r="O33" s="815">
        <v>15375</v>
      </c>
      <c r="P33" s="1330"/>
      <c r="Q33" s="815">
        <v>7200</v>
      </c>
      <c r="R33" s="816"/>
      <c r="S33" s="816">
        <v>52500</v>
      </c>
      <c r="T33" s="816"/>
      <c r="U33" s="816">
        <v>8800</v>
      </c>
      <c r="V33" s="819"/>
      <c r="W33" s="819">
        <v>0</v>
      </c>
      <c r="X33" s="819"/>
      <c r="Y33" s="817">
        <v>0</v>
      </c>
      <c r="Z33" s="1316"/>
      <c r="AA33" s="1325"/>
      <c r="AB33" s="1316">
        <v>17220</v>
      </c>
      <c r="AC33" s="1330"/>
      <c r="AD33" s="820"/>
      <c r="AE33" s="821"/>
      <c r="AF33" s="821"/>
      <c r="AG33" s="822"/>
      <c r="AH33" s="823"/>
      <c r="AI33" s="824"/>
      <c r="AJ33" s="818"/>
      <c r="AK33" s="815"/>
      <c r="AL33" s="816"/>
      <c r="AM33" s="816"/>
      <c r="AN33" s="816"/>
      <c r="AO33" s="816"/>
      <c r="AP33" s="819"/>
      <c r="AQ33" s="819"/>
      <c r="AR33" s="819"/>
      <c r="AS33" s="817"/>
      <c r="AT33" s="1316"/>
      <c r="AU33" s="1325"/>
      <c r="AV33" s="1316"/>
      <c r="AW33" s="1330"/>
      <c r="AX33" s="206"/>
    </row>
    <row r="34" spans="1:50" ht="15" customHeight="1" x14ac:dyDescent="0.2">
      <c r="A34" s="814" t="s">
        <v>239</v>
      </c>
      <c r="B34" s="815">
        <v>16200</v>
      </c>
      <c r="C34" s="816"/>
      <c r="D34" s="816">
        <v>25200</v>
      </c>
      <c r="E34" s="816"/>
      <c r="F34" s="816">
        <v>21840</v>
      </c>
      <c r="G34" s="819"/>
      <c r="H34" s="819">
        <v>0</v>
      </c>
      <c r="I34" s="819"/>
      <c r="J34" s="817">
        <v>18100</v>
      </c>
      <c r="K34" s="1316"/>
      <c r="L34" s="1325"/>
      <c r="M34" s="1316">
        <v>20930.7695313</v>
      </c>
      <c r="N34" s="1330"/>
      <c r="O34" s="815">
        <v>17828.5722656</v>
      </c>
      <c r="P34" s="1330"/>
      <c r="Q34" s="815">
        <v>0</v>
      </c>
      <c r="R34" s="816"/>
      <c r="S34" s="816">
        <v>0</v>
      </c>
      <c r="T34" s="816"/>
      <c r="U34" s="816">
        <v>25200</v>
      </c>
      <c r="V34" s="819"/>
      <c r="W34" s="819">
        <v>0</v>
      </c>
      <c r="X34" s="819"/>
      <c r="Y34" s="817">
        <v>0</v>
      </c>
      <c r="Z34" s="1316"/>
      <c r="AA34" s="1325"/>
      <c r="AB34" s="1316">
        <v>25200</v>
      </c>
      <c r="AC34" s="1330"/>
      <c r="AD34" s="820"/>
      <c r="AE34" s="821"/>
      <c r="AF34" s="821"/>
      <c r="AG34" s="822"/>
      <c r="AH34" s="823"/>
      <c r="AI34" s="824"/>
      <c r="AJ34" s="818"/>
      <c r="AK34" s="815"/>
      <c r="AL34" s="816"/>
      <c r="AM34" s="816"/>
      <c r="AN34" s="816"/>
      <c r="AO34" s="816"/>
      <c r="AP34" s="819"/>
      <c r="AQ34" s="819"/>
      <c r="AR34" s="819"/>
      <c r="AS34" s="817"/>
      <c r="AT34" s="1316"/>
      <c r="AU34" s="1325"/>
      <c r="AV34" s="1316"/>
      <c r="AW34" s="1330"/>
      <c r="AX34" s="206"/>
    </row>
    <row r="35" spans="1:50" ht="15" customHeight="1" x14ac:dyDescent="0.2">
      <c r="A35" s="814" t="s">
        <v>240</v>
      </c>
      <c r="B35" s="815">
        <v>20300</v>
      </c>
      <c r="C35" s="816"/>
      <c r="D35" s="816">
        <v>37575</v>
      </c>
      <c r="E35" s="816"/>
      <c r="F35" s="816">
        <v>28522.2226563</v>
      </c>
      <c r="G35" s="819"/>
      <c r="H35" s="819">
        <v>0</v>
      </c>
      <c r="I35" s="819"/>
      <c r="J35" s="817">
        <v>24385.7148438</v>
      </c>
      <c r="K35" s="1316"/>
      <c r="L35" s="1325"/>
      <c r="M35" s="1316">
        <v>28338.9472656</v>
      </c>
      <c r="N35" s="1330"/>
      <c r="O35" s="815">
        <v>25650</v>
      </c>
      <c r="P35" s="1330"/>
      <c r="Q35" s="815">
        <v>9600</v>
      </c>
      <c r="R35" s="816"/>
      <c r="S35" s="816">
        <v>22200</v>
      </c>
      <c r="T35" s="816"/>
      <c r="U35" s="816">
        <v>26640</v>
      </c>
      <c r="V35" s="819"/>
      <c r="W35" s="819">
        <v>0</v>
      </c>
      <c r="X35" s="819"/>
      <c r="Y35" s="817">
        <v>34350</v>
      </c>
      <c r="Z35" s="1316"/>
      <c r="AA35" s="1325"/>
      <c r="AB35" s="1316">
        <v>26158.0644531</v>
      </c>
      <c r="AC35" s="1330"/>
      <c r="AD35" s="820"/>
      <c r="AE35" s="821"/>
      <c r="AF35" s="821"/>
      <c r="AG35" s="822"/>
      <c r="AH35" s="823"/>
      <c r="AI35" s="824"/>
      <c r="AJ35" s="818"/>
      <c r="AK35" s="815"/>
      <c r="AL35" s="816"/>
      <c r="AM35" s="816"/>
      <c r="AN35" s="816"/>
      <c r="AO35" s="816"/>
      <c r="AP35" s="819"/>
      <c r="AQ35" s="819"/>
      <c r="AR35" s="819"/>
      <c r="AS35" s="817"/>
      <c r="AT35" s="1316"/>
      <c r="AU35" s="1325"/>
      <c r="AV35" s="1316"/>
      <c r="AW35" s="1330"/>
      <c r="AX35" s="206"/>
    </row>
    <row r="36" spans="1:50" ht="15" customHeight="1" x14ac:dyDescent="0.2">
      <c r="A36" s="814" t="s">
        <v>241</v>
      </c>
      <c r="B36" s="815">
        <v>0</v>
      </c>
      <c r="C36" s="816"/>
      <c r="D36" s="816">
        <v>80400</v>
      </c>
      <c r="E36" s="816"/>
      <c r="F36" s="816">
        <v>20951.3515625</v>
      </c>
      <c r="G36" s="819"/>
      <c r="H36" s="819">
        <v>16200</v>
      </c>
      <c r="I36" s="819"/>
      <c r="J36" s="817">
        <v>52500</v>
      </c>
      <c r="K36" s="1316"/>
      <c r="L36" s="1325"/>
      <c r="M36" s="1316">
        <v>23107.5</v>
      </c>
      <c r="N36" s="1330"/>
      <c r="O36" s="815">
        <v>27720</v>
      </c>
      <c r="P36" s="1330"/>
      <c r="Q36" s="815">
        <v>25200</v>
      </c>
      <c r="R36" s="816"/>
      <c r="S36" s="816">
        <v>19200</v>
      </c>
      <c r="T36" s="816"/>
      <c r="U36" s="816">
        <v>19966.6660156</v>
      </c>
      <c r="V36" s="819"/>
      <c r="W36" s="819">
        <v>9600</v>
      </c>
      <c r="X36" s="819"/>
      <c r="Y36" s="817">
        <v>11700</v>
      </c>
      <c r="Z36" s="1316"/>
      <c r="AA36" s="1325"/>
      <c r="AB36" s="1316">
        <v>19008</v>
      </c>
      <c r="AC36" s="1330"/>
      <c r="AD36" s="820"/>
      <c r="AE36" s="821"/>
      <c r="AF36" s="821"/>
      <c r="AG36" s="822"/>
      <c r="AH36" s="823"/>
      <c r="AI36" s="824"/>
      <c r="AJ36" s="818"/>
      <c r="AK36" s="815"/>
      <c r="AL36" s="816"/>
      <c r="AM36" s="816"/>
      <c r="AN36" s="816"/>
      <c r="AO36" s="816"/>
      <c r="AP36" s="819"/>
      <c r="AQ36" s="819"/>
      <c r="AR36" s="819"/>
      <c r="AS36" s="817"/>
      <c r="AT36" s="1316"/>
      <c r="AU36" s="1325"/>
      <c r="AV36" s="1316"/>
      <c r="AW36" s="1330"/>
      <c r="AX36" s="206"/>
    </row>
    <row r="37" spans="1:50" ht="15" customHeight="1" x14ac:dyDescent="0.2">
      <c r="A37" s="826" t="s">
        <v>242</v>
      </c>
      <c r="B37" s="827"/>
      <c r="C37" s="828"/>
      <c r="D37" s="828"/>
      <c r="E37" s="828"/>
      <c r="F37" s="828"/>
      <c r="G37" s="831"/>
      <c r="H37" s="831"/>
      <c r="I37" s="831"/>
      <c r="J37" s="829"/>
      <c r="K37" s="827"/>
      <c r="L37" s="1326"/>
      <c r="M37" s="827"/>
      <c r="N37" s="1331"/>
      <c r="O37" s="827"/>
      <c r="P37" s="1331"/>
      <c r="Q37" s="827"/>
      <c r="R37" s="828"/>
      <c r="S37" s="828"/>
      <c r="T37" s="828"/>
      <c r="U37" s="828"/>
      <c r="V37" s="831"/>
      <c r="W37" s="831"/>
      <c r="X37" s="831"/>
      <c r="Y37" s="829"/>
      <c r="Z37" s="827"/>
      <c r="AA37" s="1326"/>
      <c r="AB37" s="827"/>
      <c r="AC37" s="1331"/>
      <c r="AD37" s="827"/>
      <c r="AE37" s="828"/>
      <c r="AF37" s="828"/>
      <c r="AG37" s="831"/>
      <c r="AH37" s="829"/>
      <c r="AI37" s="832"/>
      <c r="AJ37" s="830"/>
      <c r="AK37" s="827"/>
      <c r="AL37" s="828"/>
      <c r="AM37" s="828"/>
      <c r="AN37" s="828"/>
      <c r="AO37" s="828"/>
      <c r="AP37" s="831"/>
      <c r="AQ37" s="831"/>
      <c r="AR37" s="831"/>
      <c r="AS37" s="829"/>
      <c r="AT37" s="827"/>
      <c r="AU37" s="1326"/>
      <c r="AV37" s="827"/>
      <c r="AW37" s="1331"/>
      <c r="AX37" s="206"/>
    </row>
    <row r="38" spans="1:50" ht="25.5" x14ac:dyDescent="0.2">
      <c r="A38" s="833" t="s">
        <v>299</v>
      </c>
      <c r="B38" s="808"/>
      <c r="C38" s="809"/>
      <c r="D38" s="809"/>
      <c r="E38" s="809"/>
      <c r="F38" s="809"/>
      <c r="G38" s="810"/>
      <c r="H38" s="810"/>
      <c r="I38" s="810"/>
      <c r="J38" s="811"/>
      <c r="K38" s="1317"/>
      <c r="L38" s="1324"/>
      <c r="M38" s="1317"/>
      <c r="N38" s="1332"/>
      <c r="O38" s="808"/>
      <c r="P38" s="1332"/>
      <c r="Q38" s="808"/>
      <c r="R38" s="809"/>
      <c r="S38" s="809"/>
      <c r="T38" s="809"/>
      <c r="U38" s="809"/>
      <c r="V38" s="810"/>
      <c r="W38" s="810"/>
      <c r="X38" s="810"/>
      <c r="Y38" s="811"/>
      <c r="Z38" s="1317"/>
      <c r="AA38" s="1324"/>
      <c r="AB38" s="1317"/>
      <c r="AC38" s="1332"/>
      <c r="AD38" s="808"/>
      <c r="AE38" s="809"/>
      <c r="AF38" s="809"/>
      <c r="AG38" s="810"/>
      <c r="AH38" s="811"/>
      <c r="AI38" s="812"/>
      <c r="AJ38" s="813"/>
      <c r="AK38" s="808"/>
      <c r="AL38" s="809"/>
      <c r="AM38" s="809"/>
      <c r="AN38" s="809"/>
      <c r="AO38" s="809"/>
      <c r="AP38" s="810"/>
      <c r="AQ38" s="810"/>
      <c r="AR38" s="810"/>
      <c r="AS38" s="811"/>
      <c r="AT38" s="1317"/>
      <c r="AU38" s="1324"/>
      <c r="AV38" s="1317"/>
      <c r="AW38" s="1332"/>
      <c r="AX38" s="206"/>
    </row>
    <row r="39" spans="1:50" ht="15" customHeight="1" x14ac:dyDescent="0.2">
      <c r="A39" s="834" t="s">
        <v>236</v>
      </c>
      <c r="B39" s="795"/>
      <c r="C39" s="796"/>
      <c r="D39" s="796"/>
      <c r="E39" s="796"/>
      <c r="F39" s="796"/>
      <c r="G39" s="797"/>
      <c r="H39" s="797"/>
      <c r="I39" s="797"/>
      <c r="J39" s="798"/>
      <c r="K39" s="1318"/>
      <c r="L39" s="1323"/>
      <c r="M39" s="1318"/>
      <c r="N39" s="1333"/>
      <c r="O39" s="795"/>
      <c r="P39" s="1333"/>
      <c r="Q39" s="795"/>
      <c r="R39" s="796"/>
      <c r="S39" s="796"/>
      <c r="T39" s="796"/>
      <c r="U39" s="796"/>
      <c r="V39" s="797"/>
      <c r="W39" s="797"/>
      <c r="X39" s="797"/>
      <c r="Y39" s="798"/>
      <c r="Z39" s="1318"/>
      <c r="AA39" s="1323"/>
      <c r="AB39" s="1318"/>
      <c r="AC39" s="1333"/>
      <c r="AD39" s="795"/>
      <c r="AE39" s="796"/>
      <c r="AF39" s="796"/>
      <c r="AG39" s="797"/>
      <c r="AH39" s="798"/>
      <c r="AI39" s="799"/>
      <c r="AJ39" s="800"/>
      <c r="AK39" s="795"/>
      <c r="AL39" s="796"/>
      <c r="AM39" s="796"/>
      <c r="AN39" s="796"/>
      <c r="AO39" s="796"/>
      <c r="AP39" s="797"/>
      <c r="AQ39" s="797"/>
      <c r="AR39" s="797"/>
      <c r="AS39" s="798"/>
      <c r="AT39" s="1318"/>
      <c r="AU39" s="1323"/>
      <c r="AV39" s="1318"/>
      <c r="AW39" s="1333"/>
      <c r="AX39" s="206"/>
    </row>
    <row r="40" spans="1:50" ht="15" customHeight="1" x14ac:dyDescent="0.2">
      <c r="A40" s="834" t="s">
        <v>237</v>
      </c>
      <c r="B40" s="820"/>
      <c r="C40" s="821"/>
      <c r="D40" s="821"/>
      <c r="E40" s="821"/>
      <c r="F40" s="821"/>
      <c r="G40" s="822"/>
      <c r="H40" s="822"/>
      <c r="I40" s="822"/>
      <c r="J40" s="823"/>
      <c r="K40" s="1319"/>
      <c r="L40" s="1325"/>
      <c r="M40" s="1319"/>
      <c r="N40" s="1334"/>
      <c r="O40" s="820"/>
      <c r="P40" s="1334"/>
      <c r="Q40" s="820"/>
      <c r="R40" s="821"/>
      <c r="S40" s="821"/>
      <c r="T40" s="821"/>
      <c r="U40" s="821"/>
      <c r="V40" s="822"/>
      <c r="W40" s="822"/>
      <c r="X40" s="822"/>
      <c r="Y40" s="823"/>
      <c r="Z40" s="1319"/>
      <c r="AA40" s="1325"/>
      <c r="AB40" s="1319"/>
      <c r="AC40" s="1334"/>
      <c r="AD40" s="820"/>
      <c r="AE40" s="821"/>
      <c r="AF40" s="821"/>
      <c r="AG40" s="822"/>
      <c r="AH40" s="823"/>
      <c r="AI40" s="824"/>
      <c r="AJ40" s="825"/>
      <c r="AK40" s="820"/>
      <c r="AL40" s="821"/>
      <c r="AM40" s="821"/>
      <c r="AN40" s="821"/>
      <c r="AO40" s="821"/>
      <c r="AP40" s="822"/>
      <c r="AQ40" s="822"/>
      <c r="AR40" s="822"/>
      <c r="AS40" s="823"/>
      <c r="AT40" s="1319"/>
      <c r="AU40" s="1325"/>
      <c r="AV40" s="1319"/>
      <c r="AW40" s="1334"/>
      <c r="AX40" s="206"/>
    </row>
    <row r="41" spans="1:50" ht="15" customHeight="1" x14ac:dyDescent="0.2">
      <c r="A41" s="834" t="s">
        <v>238</v>
      </c>
      <c r="B41" s="820"/>
      <c r="C41" s="821"/>
      <c r="D41" s="821"/>
      <c r="E41" s="821"/>
      <c r="F41" s="821"/>
      <c r="G41" s="822"/>
      <c r="H41" s="822"/>
      <c r="I41" s="822"/>
      <c r="J41" s="823"/>
      <c r="K41" s="1319"/>
      <c r="L41" s="1325"/>
      <c r="M41" s="1319"/>
      <c r="N41" s="1334"/>
      <c r="O41" s="820"/>
      <c r="P41" s="1334"/>
      <c r="Q41" s="820"/>
      <c r="R41" s="821"/>
      <c r="S41" s="821"/>
      <c r="T41" s="821"/>
      <c r="U41" s="821"/>
      <c r="V41" s="822"/>
      <c r="W41" s="822"/>
      <c r="X41" s="822"/>
      <c r="Y41" s="823"/>
      <c r="Z41" s="1319"/>
      <c r="AA41" s="1325"/>
      <c r="AB41" s="1319"/>
      <c r="AC41" s="1334"/>
      <c r="AD41" s="820"/>
      <c r="AE41" s="821"/>
      <c r="AF41" s="821"/>
      <c r="AG41" s="822"/>
      <c r="AH41" s="823"/>
      <c r="AI41" s="824"/>
      <c r="AJ41" s="825"/>
      <c r="AK41" s="820"/>
      <c r="AL41" s="821"/>
      <c r="AM41" s="821"/>
      <c r="AN41" s="821"/>
      <c r="AO41" s="821"/>
      <c r="AP41" s="822"/>
      <c r="AQ41" s="822"/>
      <c r="AR41" s="822"/>
      <c r="AS41" s="823"/>
      <c r="AT41" s="1319"/>
      <c r="AU41" s="1325"/>
      <c r="AV41" s="1319"/>
      <c r="AW41" s="1334"/>
      <c r="AX41" s="206"/>
    </row>
    <row r="42" spans="1:50" ht="15" customHeight="1" x14ac:dyDescent="0.2">
      <c r="A42" s="834" t="s">
        <v>239</v>
      </c>
      <c r="B42" s="820"/>
      <c r="C42" s="821"/>
      <c r="D42" s="821"/>
      <c r="E42" s="821"/>
      <c r="F42" s="821"/>
      <c r="G42" s="822"/>
      <c r="H42" s="822"/>
      <c r="I42" s="822"/>
      <c r="J42" s="823"/>
      <c r="K42" s="1319"/>
      <c r="L42" s="1325"/>
      <c r="M42" s="1319"/>
      <c r="N42" s="1334"/>
      <c r="O42" s="820"/>
      <c r="P42" s="1334"/>
      <c r="Q42" s="820"/>
      <c r="R42" s="821"/>
      <c r="S42" s="821"/>
      <c r="T42" s="821"/>
      <c r="U42" s="821"/>
      <c r="V42" s="822"/>
      <c r="W42" s="822"/>
      <c r="X42" s="822"/>
      <c r="Y42" s="823"/>
      <c r="Z42" s="1319"/>
      <c r="AA42" s="1325"/>
      <c r="AB42" s="1319"/>
      <c r="AC42" s="1334"/>
      <c r="AD42" s="820"/>
      <c r="AE42" s="821"/>
      <c r="AF42" s="821"/>
      <c r="AG42" s="822"/>
      <c r="AH42" s="823"/>
      <c r="AI42" s="824"/>
      <c r="AJ42" s="825"/>
      <c r="AK42" s="820"/>
      <c r="AL42" s="821"/>
      <c r="AM42" s="821"/>
      <c r="AN42" s="821"/>
      <c r="AO42" s="821"/>
      <c r="AP42" s="822"/>
      <c r="AQ42" s="822"/>
      <c r="AR42" s="822"/>
      <c r="AS42" s="823"/>
      <c r="AT42" s="1319"/>
      <c r="AU42" s="1325"/>
      <c r="AV42" s="1319"/>
      <c r="AW42" s="1334"/>
      <c r="AX42" s="206"/>
    </row>
    <row r="43" spans="1:50" ht="15" customHeight="1" x14ac:dyDescent="0.2">
      <c r="A43" s="834" t="s">
        <v>240</v>
      </c>
      <c r="B43" s="820"/>
      <c r="C43" s="821"/>
      <c r="D43" s="821"/>
      <c r="E43" s="821"/>
      <c r="F43" s="821"/>
      <c r="G43" s="822"/>
      <c r="H43" s="822"/>
      <c r="I43" s="822"/>
      <c r="J43" s="823"/>
      <c r="K43" s="1319"/>
      <c r="L43" s="1325"/>
      <c r="M43" s="1319"/>
      <c r="N43" s="1334"/>
      <c r="O43" s="820"/>
      <c r="P43" s="1334"/>
      <c r="Q43" s="820"/>
      <c r="R43" s="821"/>
      <c r="S43" s="821"/>
      <c r="T43" s="821"/>
      <c r="U43" s="821"/>
      <c r="V43" s="822"/>
      <c r="W43" s="822"/>
      <c r="X43" s="822"/>
      <c r="Y43" s="823"/>
      <c r="Z43" s="1319"/>
      <c r="AA43" s="1325"/>
      <c r="AB43" s="1319"/>
      <c r="AC43" s="1334"/>
      <c r="AD43" s="820"/>
      <c r="AE43" s="821"/>
      <c r="AF43" s="821"/>
      <c r="AG43" s="822"/>
      <c r="AH43" s="823"/>
      <c r="AI43" s="824"/>
      <c r="AJ43" s="825"/>
      <c r="AK43" s="820"/>
      <c r="AL43" s="821"/>
      <c r="AM43" s="821"/>
      <c r="AN43" s="821"/>
      <c r="AO43" s="821"/>
      <c r="AP43" s="822"/>
      <c r="AQ43" s="822"/>
      <c r="AR43" s="822"/>
      <c r="AS43" s="823"/>
      <c r="AT43" s="1319"/>
      <c r="AU43" s="1325"/>
      <c r="AV43" s="1319"/>
      <c r="AW43" s="1334"/>
      <c r="AX43" s="206"/>
    </row>
    <row r="44" spans="1:50" ht="15" customHeight="1" x14ac:dyDescent="0.2">
      <c r="A44" s="834" t="s">
        <v>241</v>
      </c>
      <c r="B44" s="820"/>
      <c r="C44" s="821"/>
      <c r="D44" s="821"/>
      <c r="E44" s="821"/>
      <c r="F44" s="821"/>
      <c r="G44" s="822"/>
      <c r="H44" s="822"/>
      <c r="I44" s="822"/>
      <c r="J44" s="823"/>
      <c r="K44" s="1319"/>
      <c r="L44" s="1325"/>
      <c r="M44" s="1319"/>
      <c r="N44" s="1334"/>
      <c r="O44" s="820"/>
      <c r="P44" s="1334"/>
      <c r="Q44" s="820"/>
      <c r="R44" s="821"/>
      <c r="S44" s="821"/>
      <c r="T44" s="821"/>
      <c r="U44" s="821"/>
      <c r="V44" s="822"/>
      <c r="W44" s="822"/>
      <c r="X44" s="822"/>
      <c r="Y44" s="823"/>
      <c r="Z44" s="1319"/>
      <c r="AA44" s="1325"/>
      <c r="AB44" s="1319"/>
      <c r="AC44" s="1334"/>
      <c r="AD44" s="820"/>
      <c r="AE44" s="821"/>
      <c r="AF44" s="821"/>
      <c r="AG44" s="822"/>
      <c r="AH44" s="823"/>
      <c r="AI44" s="824"/>
      <c r="AJ44" s="825"/>
      <c r="AK44" s="820"/>
      <c r="AL44" s="821"/>
      <c r="AM44" s="821"/>
      <c r="AN44" s="821"/>
      <c r="AO44" s="821"/>
      <c r="AP44" s="822"/>
      <c r="AQ44" s="822"/>
      <c r="AR44" s="822"/>
      <c r="AS44" s="823"/>
      <c r="AT44" s="1319"/>
      <c r="AU44" s="1325"/>
      <c r="AV44" s="1319"/>
      <c r="AW44" s="1334"/>
      <c r="AX44" s="206"/>
    </row>
    <row r="45" spans="1:50" ht="15" customHeight="1" x14ac:dyDescent="0.2">
      <c r="A45" s="826" t="s">
        <v>242</v>
      </c>
      <c r="B45" s="827"/>
      <c r="C45" s="828"/>
      <c r="D45" s="828"/>
      <c r="E45" s="828"/>
      <c r="F45" s="828"/>
      <c r="G45" s="831"/>
      <c r="H45" s="831"/>
      <c r="I45" s="831"/>
      <c r="J45" s="829"/>
      <c r="K45" s="827"/>
      <c r="L45" s="1326"/>
      <c r="M45" s="827"/>
      <c r="N45" s="1331"/>
      <c r="O45" s="827"/>
      <c r="P45" s="1331"/>
      <c r="Q45" s="827"/>
      <c r="R45" s="828"/>
      <c r="S45" s="828"/>
      <c r="T45" s="828"/>
      <c r="U45" s="828"/>
      <c r="V45" s="831"/>
      <c r="W45" s="831"/>
      <c r="X45" s="831"/>
      <c r="Y45" s="829"/>
      <c r="Z45" s="827"/>
      <c r="AA45" s="1326"/>
      <c r="AB45" s="827"/>
      <c r="AC45" s="1331"/>
      <c r="AD45" s="827"/>
      <c r="AE45" s="828"/>
      <c r="AF45" s="828"/>
      <c r="AG45" s="831"/>
      <c r="AH45" s="829"/>
      <c r="AI45" s="832"/>
      <c r="AJ45" s="830"/>
      <c r="AK45" s="827"/>
      <c r="AL45" s="828"/>
      <c r="AM45" s="828"/>
      <c r="AN45" s="828"/>
      <c r="AO45" s="828"/>
      <c r="AP45" s="831"/>
      <c r="AQ45" s="831"/>
      <c r="AR45" s="831"/>
      <c r="AS45" s="829"/>
      <c r="AT45" s="827"/>
      <c r="AU45" s="1326"/>
      <c r="AV45" s="827"/>
      <c r="AW45" s="1331"/>
      <c r="AX45" s="206"/>
    </row>
    <row r="46" spans="1:50" ht="15" customHeight="1" x14ac:dyDescent="0.2">
      <c r="A46" s="750"/>
      <c r="B46" s="206"/>
      <c r="C46" s="206"/>
      <c r="D46" s="206"/>
      <c r="E46" s="206"/>
      <c r="F46" s="206"/>
      <c r="G46" s="206"/>
      <c r="H46" s="206"/>
      <c r="I46" s="206"/>
      <c r="J46" s="206"/>
      <c r="K46" s="206"/>
      <c r="L46" s="206"/>
      <c r="M46" s="206"/>
      <c r="N46" s="206"/>
      <c r="O46" s="206"/>
      <c r="P46" s="206"/>
      <c r="Q46" s="206"/>
      <c r="R46" s="206"/>
      <c r="S46" s="206"/>
      <c r="T46" s="206"/>
      <c r="U46" s="206"/>
      <c r="V46" s="206"/>
      <c r="W46" s="206"/>
      <c r="X46" s="206"/>
      <c r="Y46" s="206"/>
      <c r="Z46" s="206"/>
      <c r="AA46" s="206"/>
      <c r="AB46" s="206"/>
      <c r="AC46" s="206"/>
      <c r="AD46" s="762"/>
      <c r="AE46" s="762"/>
      <c r="AF46" s="762"/>
      <c r="AG46" s="762"/>
      <c r="AH46" s="762"/>
      <c r="AI46" s="762"/>
      <c r="AJ46" s="206"/>
      <c r="AK46" s="206"/>
      <c r="AL46" s="206"/>
      <c r="AM46" s="206"/>
      <c r="AN46" s="206"/>
      <c r="AO46" s="206"/>
      <c r="AP46" s="206"/>
      <c r="AQ46" s="206"/>
      <c r="AR46" s="206"/>
      <c r="AS46" s="206"/>
      <c r="AT46" s="206"/>
      <c r="AU46" s="206"/>
      <c r="AV46" s="206"/>
      <c r="AW46" s="206"/>
      <c r="AX46" s="206"/>
    </row>
    <row r="47" spans="1:50" ht="15" customHeight="1" x14ac:dyDescent="0.2">
      <c r="A47" s="206"/>
      <c r="B47" s="206"/>
      <c r="C47" s="206"/>
      <c r="D47" s="206"/>
      <c r="E47" s="206"/>
      <c r="F47" s="206"/>
      <c r="G47" s="206"/>
      <c r="H47" s="206"/>
      <c r="I47" s="206"/>
      <c r="J47" s="206"/>
      <c r="K47" s="206"/>
      <c r="L47" s="206"/>
      <c r="M47" s="206"/>
      <c r="N47" s="206"/>
      <c r="O47" s="206"/>
      <c r="P47" s="206"/>
      <c r="Q47" s="206"/>
      <c r="R47" s="206"/>
      <c r="S47" s="206"/>
      <c r="T47" s="206"/>
      <c r="U47" s="206"/>
      <c r="V47" s="206"/>
      <c r="W47" s="206"/>
      <c r="X47" s="206"/>
      <c r="Y47" s="206"/>
      <c r="Z47" s="206"/>
      <c r="AA47" s="206"/>
      <c r="AB47" s="206"/>
      <c r="AC47" s="206"/>
      <c r="AD47" s="762"/>
      <c r="AE47" s="762"/>
      <c r="AF47" s="762"/>
      <c r="AG47" s="762"/>
      <c r="AH47" s="762"/>
      <c r="AI47" s="762"/>
      <c r="AJ47" s="206"/>
      <c r="AK47" s="206"/>
      <c r="AL47" s="206"/>
      <c r="AM47" s="206"/>
      <c r="AN47" s="206"/>
      <c r="AO47" s="206"/>
      <c r="AP47" s="206"/>
      <c r="AQ47" s="206"/>
      <c r="AR47" s="206"/>
      <c r="AS47" s="206"/>
      <c r="AT47" s="206"/>
      <c r="AU47" s="206"/>
      <c r="AV47" s="206"/>
      <c r="AW47" s="206"/>
      <c r="AX47" s="206"/>
    </row>
    <row r="48" spans="1:50" ht="15" customHeight="1" x14ac:dyDescent="0.2">
      <c r="A48" s="750" t="s">
        <v>32</v>
      </c>
      <c r="B48" s="751" t="s">
        <v>1047</v>
      </c>
      <c r="C48" s="751"/>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835"/>
      <c r="AE48" s="835"/>
      <c r="AF48" s="835"/>
      <c r="AG48" s="835"/>
      <c r="AH48" s="835"/>
      <c r="AI48" s="835"/>
      <c r="AJ48" s="752"/>
      <c r="AK48" s="752"/>
      <c r="AL48" s="752"/>
      <c r="AM48" s="752"/>
      <c r="AN48" s="752"/>
      <c r="AO48" s="752"/>
      <c r="AP48" s="752"/>
      <c r="AQ48" s="752"/>
      <c r="AR48" s="752"/>
      <c r="AS48" s="752"/>
      <c r="AT48" s="752"/>
      <c r="AU48" s="752"/>
      <c r="AV48" s="752"/>
      <c r="AW48" s="1279"/>
      <c r="AX48" s="206"/>
    </row>
    <row r="49" spans="1:50" ht="15" customHeight="1" x14ac:dyDescent="0.2">
      <c r="A49" s="206"/>
      <c r="B49" s="753"/>
      <c r="C49" s="753"/>
      <c r="D49" s="754"/>
      <c r="E49" s="754"/>
      <c r="F49" s="754"/>
      <c r="G49" s="754"/>
      <c r="H49" s="754"/>
      <c r="I49" s="754"/>
      <c r="J49" s="754"/>
      <c r="K49" s="754"/>
      <c r="L49" s="754"/>
      <c r="M49" s="754"/>
      <c r="N49" s="754"/>
      <c r="O49" s="754"/>
      <c r="P49" s="754"/>
      <c r="Q49" s="754"/>
      <c r="R49" s="754"/>
      <c r="S49" s="754"/>
      <c r="T49" s="754"/>
      <c r="U49" s="754"/>
      <c r="V49" s="754"/>
      <c r="W49" s="754"/>
      <c r="X49" s="754"/>
      <c r="Y49" s="754"/>
      <c r="Z49" s="754"/>
      <c r="AA49" s="754"/>
      <c r="AB49" s="754"/>
      <c r="AC49" s="754"/>
      <c r="AD49" s="836"/>
      <c r="AE49" s="836"/>
      <c r="AF49" s="836"/>
      <c r="AG49" s="836"/>
      <c r="AH49" s="836"/>
      <c r="AI49" s="836"/>
      <c r="AJ49" s="754"/>
      <c r="AK49" s="754"/>
      <c r="AL49" s="754"/>
      <c r="AM49" s="754"/>
      <c r="AN49" s="754"/>
      <c r="AO49" s="754"/>
      <c r="AP49" s="754"/>
      <c r="AQ49" s="754"/>
      <c r="AR49" s="754"/>
      <c r="AS49" s="754"/>
      <c r="AT49" s="754"/>
      <c r="AU49" s="754"/>
      <c r="AV49" s="754"/>
      <c r="AW49" s="1279"/>
      <c r="AX49" s="206"/>
    </row>
    <row r="50" spans="1:50" ht="15" customHeight="1" x14ac:dyDescent="0.2">
      <c r="A50" s="206"/>
      <c r="B50" s="753"/>
      <c r="C50" s="753"/>
      <c r="D50" s="754"/>
      <c r="E50" s="754"/>
      <c r="F50" s="754"/>
      <c r="G50" s="754"/>
      <c r="H50" s="754"/>
      <c r="I50" s="754"/>
      <c r="J50" s="754"/>
      <c r="K50" s="754"/>
      <c r="L50" s="754"/>
      <c r="M50" s="754"/>
      <c r="N50" s="754"/>
      <c r="O50" s="754"/>
      <c r="P50" s="754"/>
      <c r="Q50" s="754"/>
      <c r="R50" s="754"/>
      <c r="S50" s="754"/>
      <c r="T50" s="754"/>
      <c r="U50" s="754"/>
      <c r="V50" s="754"/>
      <c r="W50" s="754"/>
      <c r="X50" s="754"/>
      <c r="Y50" s="754"/>
      <c r="Z50" s="754"/>
      <c r="AA50" s="754"/>
      <c r="AB50" s="754"/>
      <c r="AC50" s="754"/>
      <c r="AD50" s="836"/>
      <c r="AE50" s="836"/>
      <c r="AF50" s="836"/>
      <c r="AG50" s="836"/>
      <c r="AH50" s="836"/>
      <c r="AI50" s="836"/>
      <c r="AJ50" s="754"/>
      <c r="AK50" s="754"/>
      <c r="AL50" s="754"/>
      <c r="AM50" s="754"/>
      <c r="AN50" s="754"/>
      <c r="AO50" s="754"/>
      <c r="AP50" s="754"/>
      <c r="AQ50" s="754"/>
      <c r="AR50" s="754"/>
      <c r="AS50" s="754"/>
      <c r="AT50" s="754"/>
      <c r="AU50" s="754"/>
      <c r="AV50" s="754"/>
      <c r="AW50" s="1279"/>
      <c r="AX50" s="206"/>
    </row>
    <row r="51" spans="1:50" ht="15" customHeight="1" x14ac:dyDescent="0.2">
      <c r="A51" s="206"/>
      <c r="B51" s="753"/>
      <c r="C51" s="753"/>
      <c r="D51" s="754"/>
      <c r="E51" s="754"/>
      <c r="F51" s="754"/>
      <c r="G51" s="754"/>
      <c r="H51" s="754"/>
      <c r="I51" s="754"/>
      <c r="J51" s="754"/>
      <c r="K51" s="754"/>
      <c r="L51" s="754"/>
      <c r="M51" s="754"/>
      <c r="N51" s="754"/>
      <c r="O51" s="754"/>
      <c r="P51" s="754"/>
      <c r="Q51" s="754"/>
      <c r="R51" s="754"/>
      <c r="S51" s="754"/>
      <c r="T51" s="754"/>
      <c r="U51" s="754"/>
      <c r="V51" s="754"/>
      <c r="W51" s="754"/>
      <c r="X51" s="754"/>
      <c r="Y51" s="754"/>
      <c r="Z51" s="754"/>
      <c r="AA51" s="754"/>
      <c r="AB51" s="754"/>
      <c r="AC51" s="754"/>
      <c r="AD51" s="836"/>
      <c r="AE51" s="836"/>
      <c r="AF51" s="836"/>
      <c r="AG51" s="836"/>
      <c r="AH51" s="836"/>
      <c r="AI51" s="836"/>
      <c r="AJ51" s="754"/>
      <c r="AK51" s="754"/>
      <c r="AL51" s="754"/>
      <c r="AM51" s="754"/>
      <c r="AN51" s="754"/>
      <c r="AO51" s="754"/>
      <c r="AP51" s="754"/>
      <c r="AQ51" s="754"/>
      <c r="AR51" s="754"/>
      <c r="AS51" s="754"/>
      <c r="AT51" s="754"/>
      <c r="AU51" s="754"/>
      <c r="AV51" s="754"/>
      <c r="AW51" s="1279"/>
      <c r="AX51" s="206"/>
    </row>
    <row r="52" spans="1:50" ht="15" customHeight="1" x14ac:dyDescent="0.2">
      <c r="A52" s="206"/>
      <c r="B52" s="206"/>
      <c r="C52" s="206"/>
      <c r="D52" s="206"/>
      <c r="E52" s="206"/>
      <c r="F52" s="206"/>
      <c r="G52" s="206"/>
      <c r="H52" s="206"/>
      <c r="I52" s="206"/>
      <c r="J52" s="206"/>
      <c r="K52" s="206"/>
      <c r="L52" s="206"/>
      <c r="M52" s="206"/>
      <c r="N52" s="206"/>
      <c r="O52" s="206"/>
      <c r="P52" s="206"/>
      <c r="Q52" s="206"/>
      <c r="R52" s="206"/>
      <c r="S52" s="206"/>
      <c r="T52" s="206"/>
      <c r="U52" s="206"/>
      <c r="V52" s="206"/>
      <c r="W52" s="206"/>
      <c r="X52" s="206"/>
      <c r="Y52" s="206"/>
      <c r="Z52" s="206"/>
      <c r="AA52" s="206"/>
      <c r="AB52" s="206"/>
      <c r="AC52" s="206"/>
      <c r="AD52" s="762"/>
      <c r="AE52" s="762"/>
      <c r="AF52" s="762"/>
      <c r="AG52" s="762"/>
      <c r="AH52" s="762"/>
      <c r="AI52" s="762"/>
      <c r="AJ52" s="206"/>
      <c r="AK52" s="206"/>
      <c r="AL52" s="206"/>
      <c r="AM52" s="206"/>
      <c r="AN52" s="206"/>
      <c r="AO52" s="206"/>
      <c r="AP52" s="206"/>
      <c r="AQ52" s="206"/>
      <c r="AR52" s="206"/>
      <c r="AS52" s="206"/>
      <c r="AT52" s="206"/>
      <c r="AU52" s="206"/>
      <c r="AV52" s="206"/>
      <c r="AW52" s="206"/>
      <c r="AX52" s="206"/>
    </row>
    <row r="53" spans="1:50" ht="15" customHeight="1" x14ac:dyDescent="0.2">
      <c r="A53" s="750" t="s">
        <v>33</v>
      </c>
      <c r="B53" s="751"/>
      <c r="C53" s="751"/>
      <c r="D53" s="752"/>
      <c r="E53" s="752"/>
      <c r="F53" s="752"/>
      <c r="G53" s="752"/>
      <c r="H53" s="752"/>
      <c r="I53" s="752"/>
      <c r="J53" s="752"/>
      <c r="K53" s="752"/>
      <c r="L53" s="752"/>
      <c r="M53" s="752"/>
      <c r="N53" s="752"/>
      <c r="O53" s="752"/>
      <c r="P53" s="752"/>
      <c r="Q53" s="752"/>
      <c r="R53" s="752"/>
      <c r="S53" s="752"/>
      <c r="T53" s="752"/>
      <c r="U53" s="752"/>
      <c r="V53" s="752"/>
      <c r="W53" s="752"/>
      <c r="X53" s="752"/>
      <c r="Y53" s="752"/>
      <c r="Z53" s="752"/>
      <c r="AA53" s="752"/>
      <c r="AB53" s="752"/>
      <c r="AC53" s="752"/>
      <c r="AD53" s="835"/>
      <c r="AE53" s="835"/>
      <c r="AF53" s="835"/>
      <c r="AG53" s="835"/>
      <c r="AH53" s="835"/>
      <c r="AI53" s="835"/>
      <c r="AJ53" s="752"/>
      <c r="AK53" s="752"/>
      <c r="AL53" s="752"/>
      <c r="AM53" s="752"/>
      <c r="AN53" s="752"/>
      <c r="AO53" s="752"/>
      <c r="AP53" s="752"/>
      <c r="AQ53" s="752"/>
      <c r="AR53" s="752"/>
      <c r="AS53" s="752"/>
      <c r="AT53" s="752"/>
      <c r="AU53" s="752"/>
      <c r="AV53" s="752"/>
      <c r="AW53" s="1279"/>
      <c r="AX53" s="206"/>
    </row>
    <row r="54" spans="1:50" ht="15" customHeight="1" x14ac:dyDescent="0.2">
      <c r="A54" s="750"/>
      <c r="B54" s="753"/>
      <c r="C54" s="753"/>
      <c r="D54" s="754"/>
      <c r="E54" s="754"/>
      <c r="F54" s="754"/>
      <c r="G54" s="754"/>
      <c r="H54" s="754"/>
      <c r="I54" s="754"/>
      <c r="J54" s="754"/>
      <c r="K54" s="754"/>
      <c r="L54" s="754"/>
      <c r="M54" s="754"/>
      <c r="N54" s="754"/>
      <c r="O54" s="754"/>
      <c r="P54" s="754"/>
      <c r="Q54" s="754"/>
      <c r="R54" s="754"/>
      <c r="S54" s="754"/>
      <c r="T54" s="754"/>
      <c r="U54" s="754"/>
      <c r="V54" s="754"/>
      <c r="W54" s="754"/>
      <c r="X54" s="754"/>
      <c r="Y54" s="754"/>
      <c r="Z54" s="754"/>
      <c r="AA54" s="754"/>
      <c r="AB54" s="754"/>
      <c r="AC54" s="754"/>
      <c r="AD54" s="836"/>
      <c r="AE54" s="836"/>
      <c r="AF54" s="836"/>
      <c r="AG54" s="836"/>
      <c r="AH54" s="836"/>
      <c r="AI54" s="836"/>
      <c r="AJ54" s="754"/>
      <c r="AK54" s="754"/>
      <c r="AL54" s="754"/>
      <c r="AM54" s="754"/>
      <c r="AN54" s="754"/>
      <c r="AO54" s="754"/>
      <c r="AP54" s="754"/>
      <c r="AQ54" s="754"/>
      <c r="AR54" s="754"/>
      <c r="AS54" s="754"/>
      <c r="AT54" s="754"/>
      <c r="AU54" s="754"/>
      <c r="AV54" s="754"/>
      <c r="AW54" s="1279"/>
      <c r="AX54" s="206"/>
    </row>
    <row r="55" spans="1:50" ht="15" customHeight="1" x14ac:dyDescent="0.2">
      <c r="A55" s="206"/>
      <c r="B55" s="753"/>
      <c r="C55" s="753"/>
      <c r="D55" s="754"/>
      <c r="E55" s="754"/>
      <c r="F55" s="754"/>
      <c r="G55" s="754"/>
      <c r="H55" s="754"/>
      <c r="I55" s="754"/>
      <c r="J55" s="754"/>
      <c r="K55" s="754"/>
      <c r="L55" s="754"/>
      <c r="M55" s="754"/>
      <c r="N55" s="754"/>
      <c r="O55" s="754"/>
      <c r="P55" s="754"/>
      <c r="Q55" s="754"/>
      <c r="R55" s="754"/>
      <c r="S55" s="754"/>
      <c r="T55" s="754"/>
      <c r="U55" s="754"/>
      <c r="V55" s="754"/>
      <c r="W55" s="754"/>
      <c r="X55" s="754"/>
      <c r="Y55" s="754"/>
      <c r="Z55" s="754"/>
      <c r="AA55" s="754"/>
      <c r="AB55" s="754"/>
      <c r="AC55" s="754"/>
      <c r="AD55" s="836"/>
      <c r="AE55" s="836"/>
      <c r="AF55" s="836"/>
      <c r="AG55" s="836"/>
      <c r="AH55" s="836"/>
      <c r="AI55" s="836"/>
      <c r="AJ55" s="754"/>
      <c r="AK55" s="754"/>
      <c r="AL55" s="754"/>
      <c r="AM55" s="754"/>
      <c r="AN55" s="754"/>
      <c r="AO55" s="754"/>
      <c r="AP55" s="754"/>
      <c r="AQ55" s="754"/>
      <c r="AR55" s="754"/>
      <c r="AS55" s="754"/>
      <c r="AT55" s="754"/>
      <c r="AU55" s="754"/>
      <c r="AV55" s="754"/>
      <c r="AW55" s="1279"/>
      <c r="AX55" s="206"/>
    </row>
    <row r="56" spans="1:50" ht="15" customHeight="1" x14ac:dyDescent="0.2">
      <c r="A56" s="206"/>
      <c r="B56" s="753"/>
      <c r="C56" s="753"/>
      <c r="D56" s="754"/>
      <c r="E56" s="754"/>
      <c r="F56" s="754"/>
      <c r="G56" s="754"/>
      <c r="H56" s="754"/>
      <c r="I56" s="754"/>
      <c r="J56" s="754"/>
      <c r="K56" s="754"/>
      <c r="L56" s="754"/>
      <c r="M56" s="754"/>
      <c r="N56" s="754"/>
      <c r="O56" s="754"/>
      <c r="P56" s="754"/>
      <c r="Q56" s="754"/>
      <c r="R56" s="754"/>
      <c r="S56" s="754"/>
      <c r="T56" s="754"/>
      <c r="U56" s="754"/>
      <c r="V56" s="754"/>
      <c r="W56" s="754"/>
      <c r="X56" s="754"/>
      <c r="Y56" s="754"/>
      <c r="Z56" s="754"/>
      <c r="AA56" s="754"/>
      <c r="AB56" s="754"/>
      <c r="AC56" s="754"/>
      <c r="AD56" s="836"/>
      <c r="AE56" s="836"/>
      <c r="AF56" s="836"/>
      <c r="AG56" s="836"/>
      <c r="AH56" s="836"/>
      <c r="AI56" s="836"/>
      <c r="AJ56" s="754"/>
      <c r="AK56" s="754"/>
      <c r="AL56" s="754"/>
      <c r="AM56" s="754"/>
      <c r="AN56" s="754"/>
      <c r="AO56" s="754"/>
      <c r="AP56" s="754"/>
      <c r="AQ56" s="754"/>
      <c r="AR56" s="754"/>
      <c r="AS56" s="754"/>
      <c r="AT56" s="754"/>
      <c r="AU56" s="754"/>
      <c r="AV56" s="754"/>
      <c r="AW56" s="1279"/>
      <c r="AX56" s="206"/>
    </row>
    <row r="57" spans="1:50" ht="15" customHeight="1" x14ac:dyDescent="0.2">
      <c r="A57" s="206"/>
      <c r="B57" s="206"/>
      <c r="C57" s="206"/>
      <c r="D57" s="206"/>
      <c r="E57" s="206"/>
      <c r="F57" s="206"/>
      <c r="G57" s="206"/>
      <c r="H57" s="206"/>
      <c r="I57" s="206"/>
      <c r="J57" s="206"/>
      <c r="K57" s="206"/>
      <c r="L57" s="206"/>
      <c r="M57" s="206"/>
      <c r="N57" s="206"/>
      <c r="O57" s="206"/>
      <c r="P57" s="206"/>
      <c r="Q57" s="206"/>
      <c r="R57" s="206"/>
      <c r="S57" s="206"/>
      <c r="T57" s="206"/>
      <c r="U57" s="206"/>
      <c r="V57" s="206"/>
      <c r="W57" s="206"/>
      <c r="X57" s="206"/>
      <c r="Y57" s="206"/>
      <c r="Z57" s="206"/>
      <c r="AA57" s="206"/>
      <c r="AB57" s="206"/>
      <c r="AC57" s="206"/>
      <c r="AD57" s="762"/>
      <c r="AE57" s="762"/>
      <c r="AF57" s="762"/>
      <c r="AG57" s="762"/>
      <c r="AH57" s="762"/>
      <c r="AI57" s="762"/>
      <c r="AJ57" s="206"/>
      <c r="AK57" s="206"/>
      <c r="AL57" s="206"/>
      <c r="AM57" s="206"/>
      <c r="AN57" s="206"/>
      <c r="AO57" s="206"/>
      <c r="AP57" s="206"/>
      <c r="AQ57" s="206"/>
      <c r="AR57" s="206"/>
      <c r="AS57" s="206"/>
      <c r="AT57" s="206"/>
      <c r="AU57" s="206"/>
      <c r="AV57" s="206"/>
      <c r="AW57" s="206"/>
      <c r="AX57" s="206"/>
    </row>
    <row r="58" spans="1:50" ht="12.75" x14ac:dyDescent="0.2">
      <c r="A58" s="750" t="s">
        <v>670</v>
      </c>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762"/>
      <c r="AE58" s="762"/>
      <c r="AF58" s="762"/>
      <c r="AG58" s="762"/>
      <c r="AH58" s="762"/>
      <c r="AI58" s="762"/>
      <c r="AJ58" s="206"/>
      <c r="AK58" s="206"/>
      <c r="AL58" s="206"/>
      <c r="AM58" s="206"/>
      <c r="AN58" s="206"/>
      <c r="AO58" s="206"/>
      <c r="AP58" s="206"/>
      <c r="AQ58" s="206"/>
      <c r="AR58" s="206"/>
      <c r="AS58" s="206"/>
      <c r="AT58" s="206"/>
      <c r="AU58" s="206"/>
      <c r="AV58" s="206"/>
      <c r="AW58" s="206"/>
      <c r="AX58" s="206"/>
    </row>
    <row r="59" spans="1:50" ht="12.75" x14ac:dyDescent="0.2">
      <c r="A59" s="755"/>
      <c r="B59" s="756"/>
      <c r="C59" s="206"/>
      <c r="D59" s="206"/>
      <c r="E59" s="206"/>
      <c r="F59" s="206"/>
      <c r="G59" s="206"/>
      <c r="H59" s="206"/>
      <c r="I59" s="206"/>
      <c r="J59" s="206"/>
      <c r="K59" s="206"/>
      <c r="L59" s="206"/>
      <c r="M59" s="206"/>
      <c r="N59" s="206"/>
      <c r="O59" s="206"/>
      <c r="P59" s="206"/>
      <c r="Q59" s="206"/>
      <c r="R59" s="206"/>
      <c r="S59" s="206"/>
      <c r="T59" s="206"/>
      <c r="U59" s="206"/>
      <c r="V59" s="206"/>
      <c r="W59" s="206"/>
      <c r="X59" s="206"/>
      <c r="Y59" s="206"/>
      <c r="Z59" s="206"/>
      <c r="AA59" s="206"/>
      <c r="AB59" s="206"/>
      <c r="AC59" s="206"/>
      <c r="AD59" s="762"/>
      <c r="AE59" s="762"/>
      <c r="AF59" s="762"/>
      <c r="AG59" s="762"/>
      <c r="AH59" s="762"/>
      <c r="AI59" s="762"/>
      <c r="AJ59" s="206"/>
      <c r="AK59" s="206"/>
      <c r="AL59" s="206"/>
      <c r="AM59" s="206"/>
      <c r="AN59" s="206"/>
      <c r="AO59" s="206"/>
      <c r="AP59" s="206"/>
      <c r="AQ59" s="206"/>
      <c r="AR59" s="206"/>
      <c r="AS59" s="206"/>
      <c r="AT59" s="206"/>
      <c r="AU59" s="206"/>
      <c r="AV59" s="206"/>
      <c r="AW59" s="206"/>
      <c r="AX59" s="206"/>
    </row>
    <row r="60" spans="1:50" ht="12.75" x14ac:dyDescent="0.2">
      <c r="A60" s="206"/>
      <c r="B60" s="757"/>
      <c r="C60" s="206"/>
      <c r="D60" s="206"/>
      <c r="E60" s="206"/>
      <c r="F60" s="206"/>
      <c r="G60" s="206"/>
      <c r="H60" s="206"/>
      <c r="I60" s="206"/>
      <c r="J60" s="206"/>
      <c r="K60" s="206"/>
      <c r="L60" s="206"/>
      <c r="M60" s="206"/>
      <c r="N60" s="206"/>
      <c r="O60" s="206"/>
      <c r="P60" s="206"/>
      <c r="Q60" s="206"/>
      <c r="R60" s="206"/>
      <c r="S60" s="206"/>
      <c r="T60" s="206"/>
      <c r="U60" s="206"/>
      <c r="V60" s="206"/>
      <c r="W60" s="206"/>
      <c r="X60" s="206"/>
      <c r="Y60" s="206"/>
      <c r="Z60" s="206"/>
      <c r="AA60" s="206"/>
      <c r="AB60" s="206"/>
      <c r="AC60" s="206"/>
      <c r="AD60" s="762"/>
      <c r="AE60" s="762"/>
      <c r="AF60" s="762"/>
      <c r="AG60" s="762"/>
      <c r="AH60" s="762"/>
      <c r="AI60" s="762"/>
      <c r="AJ60" s="206"/>
      <c r="AK60" s="206"/>
      <c r="AL60" s="206"/>
      <c r="AM60" s="206"/>
      <c r="AN60" s="206"/>
      <c r="AO60" s="206"/>
      <c r="AP60" s="206"/>
      <c r="AQ60" s="206"/>
      <c r="AR60" s="206"/>
      <c r="AS60" s="206"/>
      <c r="AT60" s="206"/>
      <c r="AU60" s="206"/>
      <c r="AV60" s="206"/>
      <c r="AW60" s="206"/>
      <c r="AX60" s="206"/>
    </row>
    <row r="61" spans="1:50" ht="12.75" x14ac:dyDescent="0.2">
      <c r="A61" s="206"/>
      <c r="B61" s="757"/>
      <c r="C61" s="206"/>
      <c r="D61" s="206"/>
      <c r="E61" s="206"/>
      <c r="F61" s="206"/>
      <c r="G61" s="206"/>
      <c r="H61" s="206"/>
      <c r="I61" s="206"/>
      <c r="J61" s="206"/>
      <c r="K61" s="206"/>
      <c r="L61" s="206"/>
      <c r="M61" s="206"/>
      <c r="N61" s="206"/>
      <c r="O61" s="206"/>
      <c r="P61" s="206"/>
      <c r="Q61" s="206"/>
      <c r="R61" s="206"/>
      <c r="S61" s="206"/>
      <c r="T61" s="206"/>
      <c r="U61" s="206"/>
      <c r="V61" s="206"/>
      <c r="W61" s="206"/>
      <c r="X61" s="206"/>
      <c r="Y61" s="206"/>
      <c r="Z61" s="206"/>
      <c r="AA61" s="206"/>
      <c r="AB61" s="206"/>
      <c r="AC61" s="206"/>
      <c r="AD61" s="762"/>
      <c r="AE61" s="762"/>
      <c r="AF61" s="762"/>
      <c r="AG61" s="762"/>
      <c r="AH61" s="762"/>
      <c r="AI61" s="762"/>
      <c r="AJ61" s="206"/>
      <c r="AK61" s="206"/>
      <c r="AL61" s="206"/>
      <c r="AM61" s="206"/>
      <c r="AN61" s="206"/>
      <c r="AO61" s="206"/>
      <c r="AP61" s="206"/>
      <c r="AQ61" s="206"/>
      <c r="AR61" s="206"/>
      <c r="AS61" s="206"/>
      <c r="AT61" s="206"/>
      <c r="AU61" s="206"/>
      <c r="AV61" s="206"/>
      <c r="AW61" s="206"/>
      <c r="AX61" s="206"/>
    </row>
    <row r="62" spans="1:50" ht="12.75" x14ac:dyDescent="0.2">
      <c r="A62" s="206"/>
      <c r="B62" s="757"/>
      <c r="C62" s="206"/>
      <c r="D62" s="206"/>
      <c r="E62" s="206"/>
      <c r="F62" s="206"/>
      <c r="G62" s="206"/>
      <c r="H62" s="206"/>
      <c r="I62" s="206"/>
      <c r="J62" s="206"/>
      <c r="K62" s="206"/>
      <c r="L62" s="206"/>
      <c r="M62" s="206"/>
      <c r="N62" s="206"/>
      <c r="O62" s="206"/>
      <c r="P62" s="206"/>
      <c r="Q62" s="206"/>
      <c r="R62" s="206"/>
      <c r="S62" s="206"/>
      <c r="T62" s="206"/>
      <c r="U62" s="206"/>
      <c r="V62" s="206"/>
      <c r="W62" s="206"/>
      <c r="X62" s="206"/>
      <c r="Y62" s="206"/>
      <c r="Z62" s="206"/>
      <c r="AA62" s="206"/>
      <c r="AB62" s="206"/>
      <c r="AC62" s="206"/>
      <c r="AD62" s="762"/>
      <c r="AE62" s="762"/>
      <c r="AF62" s="762"/>
      <c r="AG62" s="762"/>
      <c r="AH62" s="762"/>
      <c r="AI62" s="762"/>
      <c r="AJ62" s="206"/>
      <c r="AK62" s="206"/>
      <c r="AL62" s="206"/>
      <c r="AM62" s="206"/>
      <c r="AN62" s="206"/>
      <c r="AO62" s="206"/>
      <c r="AP62" s="206"/>
      <c r="AQ62" s="206"/>
      <c r="AR62" s="206"/>
      <c r="AS62" s="206"/>
      <c r="AT62" s="206"/>
      <c r="AU62" s="206"/>
      <c r="AV62" s="206"/>
      <c r="AW62" s="206"/>
      <c r="AX62" s="206"/>
    </row>
    <row r="63" spans="1:50" ht="15" customHeight="1" x14ac:dyDescent="0.2">
      <c r="A63" s="206"/>
      <c r="B63" s="206"/>
      <c r="C63" s="206"/>
      <c r="D63" s="206"/>
      <c r="E63" s="206"/>
      <c r="F63" s="206"/>
      <c r="G63" s="206"/>
      <c r="H63" s="206"/>
      <c r="I63" s="206"/>
      <c r="J63" s="206"/>
      <c r="K63" s="206"/>
      <c r="L63" s="206"/>
      <c r="M63" s="206"/>
      <c r="N63" s="206"/>
      <c r="O63" s="206"/>
      <c r="P63" s="206"/>
      <c r="Q63" s="206"/>
      <c r="R63" s="206"/>
      <c r="S63" s="206"/>
      <c r="T63" s="206"/>
      <c r="U63" s="206"/>
      <c r="V63" s="206"/>
      <c r="W63" s="206"/>
      <c r="X63" s="206"/>
      <c r="Y63" s="206"/>
      <c r="Z63" s="206"/>
      <c r="AA63" s="206"/>
      <c r="AB63" s="206"/>
      <c r="AC63" s="206"/>
      <c r="AD63" s="762"/>
      <c r="AE63" s="762"/>
      <c r="AF63" s="762"/>
      <c r="AG63" s="762"/>
      <c r="AH63" s="762"/>
      <c r="AI63" s="762"/>
      <c r="AJ63" s="206"/>
      <c r="AK63" s="206"/>
      <c r="AL63" s="206"/>
      <c r="AM63" s="206"/>
      <c r="AN63" s="206"/>
      <c r="AO63" s="206"/>
      <c r="AP63" s="206"/>
      <c r="AQ63" s="206"/>
      <c r="AR63" s="206"/>
      <c r="AS63" s="206"/>
      <c r="AT63" s="206"/>
      <c r="AU63" s="206"/>
      <c r="AV63" s="206"/>
      <c r="AW63" s="206"/>
      <c r="AX63" s="206"/>
    </row>
  </sheetData>
  <sheetProtection password="CD9E" sheet="1" objects="1" scenarios="1" selectLockedCells="1"/>
  <mergeCells count="20">
    <mergeCell ref="AV13:AW13"/>
    <mergeCell ref="Y13:Z13"/>
    <mergeCell ref="AB13:AC13"/>
    <mergeCell ref="AK13:AL13"/>
    <mergeCell ref="AM13:AN13"/>
    <mergeCell ref="AO13:AP13"/>
    <mergeCell ref="AQ13:AR13"/>
    <mergeCell ref="O12:P12"/>
    <mergeCell ref="Q13:R13"/>
    <mergeCell ref="S13:T13"/>
    <mergeCell ref="U13:V13"/>
    <mergeCell ref="AS13:AT13"/>
    <mergeCell ref="W13:X13"/>
    <mergeCell ref="M13:N13"/>
    <mergeCell ref="O13:P13"/>
    <mergeCell ref="B13:C13"/>
    <mergeCell ref="D13:E13"/>
    <mergeCell ref="F13:G13"/>
    <mergeCell ref="H13:I13"/>
    <mergeCell ref="J13:K13"/>
  </mergeCells>
  <dataValidations count="1">
    <dataValidation type="list" allowBlank="1" showInputMessage="1" showErrorMessage="1" sqref="B59:B62">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5" right="0.75" top="1" bottom="1" header="0.5" footer="0.5"/>
  <pageSetup paperSize="9" scale="80" orientation="landscape" r:id="rId1"/>
  <headerFooter alignWithMargins="0">
    <oddHeader>&amp;LCDH&amp;C &amp;F&amp;R&amp;A</oddHeader>
    <oddFooter>Page &amp;P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CCFFCC"/>
    <pageSetUpPr fitToPage="1"/>
  </sheetPr>
  <dimension ref="A1:S43"/>
  <sheetViews>
    <sheetView showGridLines="0" topLeftCell="A4" zoomScale="90" zoomScaleNormal="90" workbookViewId="0">
      <selection activeCell="F20" sqref="F20"/>
    </sheetView>
  </sheetViews>
  <sheetFormatPr baseColWidth="10" defaultColWidth="9.140625" defaultRowHeight="12.75" x14ac:dyDescent="0.2"/>
  <cols>
    <col min="1" max="1" width="57.5703125" style="31" customWidth="1"/>
    <col min="2" max="2" width="13.28515625" style="31" customWidth="1"/>
    <col min="3" max="3" width="6.7109375" style="31" customWidth="1"/>
    <col min="4" max="4" width="13.42578125" style="31" customWidth="1"/>
    <col min="5" max="5" width="6.7109375" style="31" customWidth="1"/>
    <col min="6" max="6" width="13.42578125" style="31" customWidth="1"/>
    <col min="7" max="7" width="6.7109375" style="31" customWidth="1"/>
    <col min="8" max="8" width="13.42578125" style="31" customWidth="1"/>
    <col min="9" max="9" width="6.7109375" style="31" customWidth="1"/>
    <col min="10" max="12" width="13.42578125" style="31" customWidth="1"/>
    <col min="13" max="13" width="6.7109375" style="31" customWidth="1"/>
    <col min="14" max="14" width="13.42578125" style="31" customWidth="1"/>
    <col min="15" max="15" width="6.7109375" style="31" customWidth="1"/>
    <col min="16" max="17" width="11.7109375" style="31" customWidth="1"/>
    <col min="18" max="16384" width="9.140625" style="31"/>
  </cols>
  <sheetData>
    <row r="1" spans="1:19" s="66" customFormat="1" ht="12" customHeight="1" x14ac:dyDescent="0.2">
      <c r="A1" s="26" t="s">
        <v>6</v>
      </c>
    </row>
    <row r="2" spans="1:19" s="66" customFormat="1" ht="12" customHeight="1" x14ac:dyDescent="0.2">
      <c r="A2" s="28" t="s">
        <v>10</v>
      </c>
    </row>
    <row r="3" spans="1:19" s="66" customFormat="1" ht="12" customHeight="1" x14ac:dyDescent="0.2">
      <c r="A3" s="28" t="s">
        <v>7</v>
      </c>
    </row>
    <row r="4" spans="1:19" ht="15" customHeight="1" x14ac:dyDescent="0.2">
      <c r="A4" s="73" t="s">
        <v>248</v>
      </c>
      <c r="B4" s="73"/>
      <c r="C4" s="73"/>
      <c r="D4" s="73"/>
      <c r="E4" s="73"/>
      <c r="F4" s="73"/>
      <c r="G4" s="73"/>
      <c r="H4" s="73"/>
      <c r="I4" s="73"/>
      <c r="J4" s="73"/>
      <c r="K4" s="73"/>
      <c r="L4" s="74"/>
      <c r="M4" s="74"/>
      <c r="N4" s="74"/>
      <c r="O4" s="74"/>
      <c r="P4" s="74"/>
      <c r="Q4" s="74"/>
      <c r="R4" s="74"/>
      <c r="S4" s="74"/>
    </row>
    <row r="5" spans="1:19" s="131" customFormat="1" ht="15" customHeight="1" x14ac:dyDescent="0.2"/>
    <row r="6" spans="1:19" s="131" customFormat="1" ht="15" customHeight="1" x14ac:dyDescent="0.2">
      <c r="A6" s="206"/>
      <c r="B6" s="206"/>
      <c r="C6" s="206"/>
      <c r="D6" s="206"/>
      <c r="E6" s="206"/>
      <c r="F6" s="206"/>
      <c r="G6" s="206"/>
      <c r="H6" s="206"/>
      <c r="I6" s="206"/>
      <c r="J6" s="206"/>
      <c r="K6" s="206"/>
      <c r="L6" s="206"/>
      <c r="M6" s="206"/>
      <c r="N6" s="206"/>
      <c r="O6" s="206"/>
      <c r="P6" s="206"/>
      <c r="Q6" s="206"/>
      <c r="R6" s="206"/>
      <c r="S6" s="206"/>
    </row>
    <row r="7" spans="1:19" ht="18.75" x14ac:dyDescent="0.25">
      <c r="A7" s="76" t="s">
        <v>843</v>
      </c>
      <c r="B7" s="75"/>
      <c r="C7" s="75"/>
      <c r="D7" s="75"/>
      <c r="E7" s="75"/>
      <c r="F7" s="75"/>
      <c r="G7" s="75"/>
      <c r="H7" s="75"/>
      <c r="I7" s="75"/>
      <c r="J7" s="75"/>
      <c r="K7" s="75"/>
      <c r="L7" s="75"/>
      <c r="M7" s="75"/>
      <c r="N7" s="75"/>
      <c r="O7" s="75"/>
      <c r="P7" s="75"/>
      <c r="Q7" s="75"/>
      <c r="R7" s="75"/>
      <c r="S7" s="75"/>
    </row>
    <row r="8" spans="1:19" ht="15" customHeight="1" x14ac:dyDescent="0.2">
      <c r="A8" s="77" t="s">
        <v>300</v>
      </c>
      <c r="B8" s="75"/>
      <c r="C8" s="75"/>
      <c r="D8" s="75"/>
      <c r="E8" s="75"/>
      <c r="F8" s="75"/>
      <c r="G8" s="75"/>
      <c r="H8" s="75"/>
      <c r="I8" s="75"/>
      <c r="J8" s="75"/>
      <c r="K8" s="75"/>
      <c r="L8" s="75"/>
      <c r="M8" s="75"/>
      <c r="N8" s="75"/>
      <c r="O8" s="75"/>
      <c r="P8" s="75"/>
      <c r="Q8" s="75"/>
      <c r="R8" s="75"/>
      <c r="S8" s="75"/>
    </row>
    <row r="9" spans="1:19" ht="15" customHeight="1" x14ac:dyDescent="0.2">
      <c r="A9" s="81"/>
      <c r="B9" s="207" t="s">
        <v>34</v>
      </c>
      <c r="C9" s="207"/>
      <c r="D9" s="510">
        <v>2014</v>
      </c>
      <c r="E9" s="75"/>
      <c r="F9" s="75"/>
      <c r="G9" s="75"/>
      <c r="H9" s="75"/>
      <c r="I9" s="75"/>
      <c r="J9" s="75"/>
      <c r="K9" s="75"/>
      <c r="L9" s="75"/>
      <c r="M9" s="75"/>
      <c r="N9" s="75"/>
      <c r="O9" s="75"/>
      <c r="P9" s="75"/>
      <c r="Q9" s="75"/>
      <c r="R9" s="75"/>
      <c r="S9" s="75"/>
    </row>
    <row r="10" spans="1:19" ht="15" customHeight="1" x14ac:dyDescent="0.2">
      <c r="A10" s="81"/>
      <c r="B10" s="75"/>
      <c r="C10" s="75"/>
      <c r="D10" s="75"/>
      <c r="E10" s="75"/>
      <c r="F10" s="75"/>
      <c r="G10" s="75"/>
      <c r="H10" s="75"/>
      <c r="I10" s="75"/>
      <c r="J10" s="75"/>
      <c r="K10" s="75"/>
      <c r="L10" s="75"/>
      <c r="M10" s="75"/>
      <c r="N10" s="75"/>
      <c r="O10" s="75"/>
      <c r="P10" s="75"/>
      <c r="Q10" s="75"/>
      <c r="R10" s="75"/>
      <c r="S10" s="75"/>
    </row>
    <row r="11" spans="1:19" ht="15" customHeight="1" x14ac:dyDescent="0.2">
      <c r="A11" s="81"/>
      <c r="B11" s="75"/>
      <c r="C11" s="75"/>
      <c r="D11" s="75"/>
      <c r="E11" s="75"/>
      <c r="F11" s="75"/>
      <c r="G11" s="75"/>
      <c r="H11" s="75"/>
      <c r="I11" s="75"/>
      <c r="J11" s="75"/>
      <c r="K11" s="75"/>
      <c r="L11" s="75"/>
      <c r="M11" s="75"/>
      <c r="N11" s="75"/>
      <c r="O11" s="75"/>
      <c r="P11" s="75"/>
      <c r="Q11" s="75"/>
      <c r="R11" s="75"/>
      <c r="S11" s="75"/>
    </row>
    <row r="12" spans="1:19" ht="33.75" customHeight="1" x14ac:dyDescent="0.2">
      <c r="A12" s="208"/>
      <c r="B12" s="613" t="s">
        <v>289</v>
      </c>
      <c r="C12" s="614"/>
      <c r="D12" s="614"/>
      <c r="E12" s="614"/>
      <c r="F12" s="613" t="s">
        <v>290</v>
      </c>
      <c r="G12" s="614"/>
      <c r="H12" s="614"/>
      <c r="I12" s="614"/>
      <c r="J12" s="840" t="s">
        <v>727</v>
      </c>
      <c r="K12" s="229"/>
      <c r="L12" s="1771" t="s">
        <v>673</v>
      </c>
      <c r="M12" s="1772"/>
      <c r="N12" s="1772"/>
      <c r="O12" s="1773"/>
      <c r="P12" s="75"/>
      <c r="Q12" s="75"/>
      <c r="R12" s="75"/>
      <c r="S12" s="75"/>
    </row>
    <row r="13" spans="1:19" ht="42" customHeight="1" x14ac:dyDescent="0.2">
      <c r="A13" s="611" t="s">
        <v>244</v>
      </c>
      <c r="B13" s="1745" t="s">
        <v>234</v>
      </c>
      <c r="C13" s="1746"/>
      <c r="D13" s="1746" t="s">
        <v>235</v>
      </c>
      <c r="E13" s="1774"/>
      <c r="F13" s="1746" t="s">
        <v>234</v>
      </c>
      <c r="G13" s="1746"/>
      <c r="H13" s="1746" t="s">
        <v>235</v>
      </c>
      <c r="I13" s="1774"/>
      <c r="J13" s="224" t="s">
        <v>234</v>
      </c>
      <c r="K13" s="841" t="s">
        <v>235</v>
      </c>
      <c r="L13" s="1745" t="s">
        <v>234</v>
      </c>
      <c r="M13" s="1746"/>
      <c r="N13" s="1746" t="s">
        <v>235</v>
      </c>
      <c r="O13" s="1774"/>
      <c r="P13" s="75"/>
      <c r="Q13" s="75"/>
      <c r="R13" s="75"/>
      <c r="S13" s="75"/>
    </row>
    <row r="14" spans="1:19" s="39" customFormat="1" ht="18" customHeight="1" x14ac:dyDescent="0.2">
      <c r="A14" s="670" t="s">
        <v>688</v>
      </c>
      <c r="B14" s="457">
        <v>19053.8867188</v>
      </c>
      <c r="C14" s="1335"/>
      <c r="D14" s="523">
        <v>16200</v>
      </c>
      <c r="E14" s="1335"/>
      <c r="F14" s="457">
        <v>18349.0917969</v>
      </c>
      <c r="G14" s="1335"/>
      <c r="H14" s="523">
        <v>16200</v>
      </c>
      <c r="I14" s="1335"/>
      <c r="J14" s="457"/>
      <c r="K14" s="523"/>
      <c r="L14" s="457">
        <v>18897.5800781</v>
      </c>
      <c r="M14" s="520"/>
      <c r="N14" s="1341">
        <v>16200</v>
      </c>
      <c r="O14" s="658"/>
      <c r="P14" s="666"/>
      <c r="Q14" s="666"/>
      <c r="R14" s="666"/>
      <c r="S14" s="666"/>
    </row>
    <row r="15" spans="1:19" ht="15" customHeight="1" x14ac:dyDescent="0.2">
      <c r="A15" s="612" t="s">
        <v>943</v>
      </c>
      <c r="B15" s="460">
        <v>18050.9804688</v>
      </c>
      <c r="C15" s="1336"/>
      <c r="D15" s="647">
        <v>16200</v>
      </c>
      <c r="E15" s="1336"/>
      <c r="F15" s="460">
        <v>16834.0917969</v>
      </c>
      <c r="G15" s="1336"/>
      <c r="H15" s="647">
        <v>16200</v>
      </c>
      <c r="I15" s="1336"/>
      <c r="J15" s="460"/>
      <c r="K15" s="647"/>
      <c r="L15" s="460">
        <v>17779.1875</v>
      </c>
      <c r="M15" s="663"/>
      <c r="N15" s="1342">
        <v>16200</v>
      </c>
      <c r="O15" s="657"/>
      <c r="P15" s="75"/>
      <c r="Q15" s="75"/>
      <c r="R15" s="75"/>
      <c r="S15" s="75"/>
    </row>
    <row r="16" spans="1:19" ht="15" customHeight="1" x14ac:dyDescent="0.2">
      <c r="A16" s="612" t="s">
        <v>944</v>
      </c>
      <c r="B16" s="43">
        <v>24260</v>
      </c>
      <c r="C16" s="1337"/>
      <c r="D16" s="397">
        <v>16200</v>
      </c>
      <c r="E16" s="1337"/>
      <c r="F16" s="43">
        <v>24375</v>
      </c>
      <c r="G16" s="1337"/>
      <c r="H16" s="397">
        <v>25200</v>
      </c>
      <c r="I16" s="1337"/>
      <c r="J16" s="842"/>
      <c r="K16" s="524"/>
      <c r="L16" s="43">
        <v>24284.2109375</v>
      </c>
      <c r="M16" s="1019"/>
      <c r="N16" s="1032">
        <v>25200</v>
      </c>
      <c r="O16" s="615"/>
      <c r="P16" s="75"/>
      <c r="Q16" s="75"/>
      <c r="R16" s="75"/>
      <c r="S16" s="75"/>
    </row>
    <row r="17" spans="1:19" ht="15" customHeight="1" x14ac:dyDescent="0.2">
      <c r="A17" s="612" t="s">
        <v>245</v>
      </c>
      <c r="B17" s="43">
        <v>17000</v>
      </c>
      <c r="C17" s="1337"/>
      <c r="D17" s="397">
        <v>16200</v>
      </c>
      <c r="E17" s="1337"/>
      <c r="F17" s="43">
        <v>0</v>
      </c>
      <c r="G17" s="1337"/>
      <c r="H17" s="397">
        <v>0</v>
      </c>
      <c r="I17" s="1337"/>
      <c r="J17" s="842"/>
      <c r="K17" s="524"/>
      <c r="L17" s="43">
        <v>17000</v>
      </c>
      <c r="M17" s="1019"/>
      <c r="N17" s="1032">
        <v>16200</v>
      </c>
      <c r="O17" s="615"/>
      <c r="P17" s="75"/>
      <c r="Q17" s="75"/>
      <c r="R17" s="75"/>
      <c r="S17" s="75"/>
    </row>
    <row r="18" spans="1:19" ht="15" customHeight="1" x14ac:dyDescent="0.2">
      <c r="A18" s="612" t="s">
        <v>246</v>
      </c>
      <c r="B18" s="43">
        <v>18225</v>
      </c>
      <c r="C18" s="1337"/>
      <c r="D18" s="397">
        <v>12900</v>
      </c>
      <c r="E18" s="1337"/>
      <c r="F18" s="43">
        <v>48300</v>
      </c>
      <c r="G18" s="1337"/>
      <c r="H18" s="397">
        <v>48300</v>
      </c>
      <c r="I18" s="1337"/>
      <c r="J18" s="842"/>
      <c r="K18" s="524"/>
      <c r="L18" s="43">
        <v>28250</v>
      </c>
      <c r="M18" s="1019"/>
      <c r="N18" s="1032">
        <v>16200</v>
      </c>
      <c r="O18" s="615"/>
      <c r="P18" s="75"/>
      <c r="Q18" s="75"/>
      <c r="R18" s="75"/>
      <c r="S18" s="75"/>
    </row>
    <row r="19" spans="1:19" ht="15" customHeight="1" x14ac:dyDescent="0.2">
      <c r="A19" s="612" t="s">
        <v>945</v>
      </c>
      <c r="B19" s="43">
        <v>22750</v>
      </c>
      <c r="C19" s="1337"/>
      <c r="D19" s="397">
        <v>20700</v>
      </c>
      <c r="E19" s="1337"/>
      <c r="F19" s="43">
        <v>0</v>
      </c>
      <c r="G19" s="1337"/>
      <c r="H19" s="397">
        <v>0</v>
      </c>
      <c r="I19" s="1337"/>
      <c r="J19" s="842"/>
      <c r="K19" s="524"/>
      <c r="L19" s="43">
        <v>22750</v>
      </c>
      <c r="M19" s="1019"/>
      <c r="N19" s="1032">
        <v>20700</v>
      </c>
      <c r="O19" s="615"/>
      <c r="P19" s="75"/>
      <c r="Q19" s="75"/>
      <c r="R19" s="75"/>
      <c r="S19" s="75"/>
    </row>
    <row r="20" spans="1:19" ht="15" customHeight="1" x14ac:dyDescent="0.2">
      <c r="A20" s="612" t="s">
        <v>946</v>
      </c>
      <c r="B20" s="43">
        <v>20566.6660156</v>
      </c>
      <c r="C20" s="1337"/>
      <c r="D20" s="397">
        <v>16200</v>
      </c>
      <c r="E20" s="1337"/>
      <c r="F20" s="43">
        <v>14550</v>
      </c>
      <c r="G20" s="1337"/>
      <c r="H20" s="397">
        <v>16200</v>
      </c>
      <c r="I20" s="1337"/>
      <c r="J20" s="842"/>
      <c r="K20" s="524"/>
      <c r="L20" s="43">
        <v>18715.3847656</v>
      </c>
      <c r="M20" s="1019"/>
      <c r="N20" s="1032">
        <v>16200</v>
      </c>
      <c r="O20" s="615"/>
      <c r="P20" s="75"/>
      <c r="Q20" s="75"/>
      <c r="R20" s="75"/>
      <c r="S20" s="75"/>
    </row>
    <row r="21" spans="1:19" ht="15" customHeight="1" x14ac:dyDescent="0.2">
      <c r="A21" s="612" t="s">
        <v>287</v>
      </c>
      <c r="B21" s="43">
        <v>35400</v>
      </c>
      <c r="C21" s="1337"/>
      <c r="D21" s="397">
        <v>37500</v>
      </c>
      <c r="E21" s="1337"/>
      <c r="F21" s="43">
        <v>16200</v>
      </c>
      <c r="G21" s="1337"/>
      <c r="H21" s="397">
        <v>16200</v>
      </c>
      <c r="I21" s="1340"/>
      <c r="J21" s="843"/>
      <c r="K21" s="844"/>
      <c r="L21" s="43">
        <v>30600</v>
      </c>
      <c r="M21" s="1019"/>
      <c r="N21" s="1032">
        <v>26850</v>
      </c>
      <c r="O21" s="1088"/>
      <c r="P21" s="75"/>
      <c r="Q21" s="75"/>
      <c r="R21" s="75"/>
      <c r="S21" s="75"/>
    </row>
    <row r="22" spans="1:19" ht="15" customHeight="1" x14ac:dyDescent="0.2">
      <c r="A22" s="661" t="s">
        <v>24</v>
      </c>
      <c r="B22" s="655"/>
      <c r="C22" s="1338"/>
      <c r="D22" s="517"/>
      <c r="E22" s="1338"/>
      <c r="F22" s="655"/>
      <c r="G22" s="1338"/>
      <c r="H22" s="517"/>
      <c r="I22" s="1338"/>
      <c r="J22" s="655"/>
      <c r="K22" s="662"/>
      <c r="L22" s="655"/>
      <c r="M22" s="516"/>
      <c r="N22" s="1343"/>
      <c r="O22" s="662"/>
      <c r="P22" s="75"/>
      <c r="Q22" s="75"/>
      <c r="R22" s="75"/>
      <c r="S22" s="75"/>
    </row>
    <row r="23" spans="1:19" ht="19.5" customHeight="1" x14ac:dyDescent="0.2">
      <c r="A23" s="659" t="s">
        <v>247</v>
      </c>
      <c r="B23" s="405">
        <v>1170</v>
      </c>
      <c r="C23" s="1339"/>
      <c r="D23" s="406">
        <v>1170</v>
      </c>
      <c r="E23" s="1339"/>
      <c r="F23" s="405">
        <v>232</v>
      </c>
      <c r="G23" s="1339"/>
      <c r="H23" s="406">
        <v>232</v>
      </c>
      <c r="I23" s="1339"/>
      <c r="J23" s="845"/>
      <c r="K23" s="846"/>
      <c r="L23" s="405">
        <f>1170+232</f>
        <v>1402</v>
      </c>
      <c r="M23" s="665"/>
      <c r="N23" s="1344">
        <v>1402</v>
      </c>
      <c r="O23" s="660"/>
      <c r="P23" s="75"/>
      <c r="Q23" s="75"/>
      <c r="R23" s="75"/>
      <c r="S23" s="75"/>
    </row>
    <row r="24" spans="1:19" ht="15" customHeight="1" x14ac:dyDescent="0.2">
      <c r="A24" s="1470" t="s">
        <v>669</v>
      </c>
      <c r="B24" s="75"/>
      <c r="C24" s="75"/>
      <c r="D24" s="75"/>
      <c r="E24" s="75"/>
      <c r="F24" s="75"/>
      <c r="G24" s="75"/>
      <c r="H24" s="75"/>
      <c r="I24" s="75"/>
      <c r="J24" s="75"/>
      <c r="K24" s="75"/>
      <c r="L24" s="75"/>
      <c r="M24" s="75"/>
      <c r="N24" s="75"/>
      <c r="O24" s="75"/>
      <c r="P24" s="75"/>
      <c r="Q24" s="75"/>
      <c r="R24" s="75"/>
      <c r="S24" s="75"/>
    </row>
    <row r="25" spans="1:19" ht="15" customHeight="1" x14ac:dyDescent="0.2">
      <c r="A25" s="75"/>
      <c r="B25" s="75"/>
      <c r="C25" s="75"/>
      <c r="D25" s="75"/>
      <c r="E25" s="75"/>
      <c r="F25" s="75"/>
      <c r="G25" s="75"/>
      <c r="H25" s="75"/>
      <c r="I25" s="75"/>
      <c r="J25" s="75"/>
      <c r="K25" s="75"/>
      <c r="L25" s="75"/>
      <c r="M25" s="75"/>
      <c r="N25" s="75"/>
      <c r="O25" s="75"/>
      <c r="P25" s="75"/>
      <c r="Q25" s="75"/>
      <c r="R25" s="75"/>
      <c r="S25" s="75"/>
    </row>
    <row r="26" spans="1:19" ht="15" customHeight="1" x14ac:dyDescent="0.2">
      <c r="A26" s="79" t="s">
        <v>32</v>
      </c>
      <c r="B26" s="751" t="s">
        <v>1047</v>
      </c>
      <c r="C26" s="56"/>
      <c r="D26" s="57"/>
      <c r="E26" s="57"/>
      <c r="F26" s="57"/>
      <c r="G26" s="57"/>
      <c r="H26" s="57"/>
      <c r="I26" s="57"/>
      <c r="J26" s="57"/>
      <c r="K26" s="57"/>
      <c r="L26" s="57"/>
      <c r="M26" s="57"/>
      <c r="N26" s="57"/>
      <c r="O26" s="57"/>
      <c r="P26" s="75"/>
      <c r="Q26" s="75"/>
      <c r="R26" s="75"/>
      <c r="S26" s="75"/>
    </row>
    <row r="27" spans="1:19" ht="15" customHeight="1" x14ac:dyDescent="0.2">
      <c r="A27" s="75"/>
      <c r="B27" s="58"/>
      <c r="C27" s="58"/>
      <c r="D27" s="59"/>
      <c r="E27" s="59"/>
      <c r="F27" s="59"/>
      <c r="G27" s="59"/>
      <c r="H27" s="59"/>
      <c r="I27" s="59"/>
      <c r="J27" s="59"/>
      <c r="K27" s="59"/>
      <c r="L27" s="59"/>
      <c r="M27" s="59"/>
      <c r="N27" s="59"/>
      <c r="O27" s="59"/>
      <c r="P27" s="75"/>
      <c r="Q27" s="75"/>
      <c r="R27" s="75"/>
      <c r="S27" s="75"/>
    </row>
    <row r="28" spans="1:19" ht="15" customHeight="1" x14ac:dyDescent="0.2">
      <c r="A28" s="75"/>
      <c r="B28" s="58"/>
      <c r="C28" s="58"/>
      <c r="D28" s="59"/>
      <c r="E28" s="59"/>
      <c r="F28" s="59"/>
      <c r="G28" s="59"/>
      <c r="H28" s="59"/>
      <c r="I28" s="59"/>
      <c r="J28" s="59"/>
      <c r="K28" s="59"/>
      <c r="L28" s="59"/>
      <c r="M28" s="59"/>
      <c r="N28" s="59"/>
      <c r="O28" s="59"/>
      <c r="P28" s="75"/>
      <c r="Q28" s="75"/>
      <c r="R28" s="75"/>
      <c r="S28" s="75"/>
    </row>
    <row r="29" spans="1:19" ht="15" customHeight="1" x14ac:dyDescent="0.2">
      <c r="A29" s="75"/>
      <c r="B29" s="58"/>
      <c r="C29" s="58"/>
      <c r="D29" s="59"/>
      <c r="E29" s="59"/>
      <c r="F29" s="59"/>
      <c r="G29" s="59"/>
      <c r="H29" s="59"/>
      <c r="I29" s="59"/>
      <c r="J29" s="59"/>
      <c r="K29" s="59"/>
      <c r="L29" s="59"/>
      <c r="M29" s="59"/>
      <c r="N29" s="59"/>
      <c r="O29" s="59"/>
      <c r="P29" s="75"/>
      <c r="Q29" s="75"/>
      <c r="R29" s="75"/>
      <c r="S29" s="75"/>
    </row>
    <row r="30" spans="1:19" ht="15" customHeight="1" x14ac:dyDescent="0.2">
      <c r="A30" s="75"/>
      <c r="B30" s="75"/>
      <c r="C30" s="75"/>
      <c r="D30" s="75"/>
      <c r="E30" s="75"/>
      <c r="F30" s="75"/>
      <c r="G30" s="75"/>
      <c r="H30" s="75"/>
      <c r="I30" s="75"/>
      <c r="J30" s="75"/>
      <c r="K30" s="75"/>
      <c r="L30" s="75"/>
      <c r="M30" s="75"/>
      <c r="N30" s="75"/>
      <c r="O30" s="75"/>
      <c r="P30" s="75"/>
      <c r="Q30" s="75"/>
      <c r="R30" s="75"/>
      <c r="S30" s="75"/>
    </row>
    <row r="31" spans="1:19" ht="15" customHeight="1" x14ac:dyDescent="0.2">
      <c r="A31" s="79" t="s">
        <v>33</v>
      </c>
      <c r="B31" s="56"/>
      <c r="C31" s="56"/>
      <c r="D31" s="57"/>
      <c r="E31" s="57"/>
      <c r="F31" s="57"/>
      <c r="G31" s="57"/>
      <c r="H31" s="57"/>
      <c r="I31" s="57"/>
      <c r="J31" s="57"/>
      <c r="K31" s="57"/>
      <c r="L31" s="57"/>
      <c r="M31" s="57"/>
      <c r="N31" s="57"/>
      <c r="O31" s="57"/>
      <c r="P31" s="75"/>
      <c r="Q31" s="75"/>
      <c r="R31" s="75"/>
      <c r="S31" s="75"/>
    </row>
    <row r="32" spans="1:19" ht="15" customHeight="1" x14ac:dyDescent="0.2">
      <c r="A32" s="75"/>
      <c r="B32" s="58"/>
      <c r="C32" s="58"/>
      <c r="D32" s="59"/>
      <c r="E32" s="59"/>
      <c r="F32" s="59"/>
      <c r="G32" s="59"/>
      <c r="H32" s="59"/>
      <c r="I32" s="59"/>
      <c r="J32" s="59"/>
      <c r="K32" s="59"/>
      <c r="L32" s="59"/>
      <c r="M32" s="59"/>
      <c r="N32" s="59"/>
      <c r="O32" s="59"/>
      <c r="P32" s="75"/>
      <c r="Q32" s="75"/>
      <c r="R32" s="75"/>
      <c r="S32" s="75"/>
    </row>
    <row r="33" spans="1:19" ht="15" customHeight="1" x14ac:dyDescent="0.2">
      <c r="A33" s="75"/>
      <c r="B33" s="58"/>
      <c r="C33" s="58"/>
      <c r="D33" s="59"/>
      <c r="E33" s="59"/>
      <c r="F33" s="59"/>
      <c r="G33" s="59"/>
      <c r="H33" s="59"/>
      <c r="I33" s="59"/>
      <c r="J33" s="59"/>
      <c r="K33" s="59"/>
      <c r="L33" s="59"/>
      <c r="M33" s="59"/>
      <c r="N33" s="59"/>
      <c r="O33" s="59"/>
      <c r="P33" s="75"/>
      <c r="Q33" s="75"/>
      <c r="R33" s="75"/>
      <c r="S33" s="75"/>
    </row>
    <row r="34" spans="1:19" ht="15" customHeight="1" x14ac:dyDescent="0.2">
      <c r="A34" s="75"/>
      <c r="B34" s="58"/>
      <c r="C34" s="58"/>
      <c r="D34" s="59"/>
      <c r="E34" s="59"/>
      <c r="F34" s="59"/>
      <c r="G34" s="59"/>
      <c r="H34" s="59"/>
      <c r="I34" s="59"/>
      <c r="J34" s="59"/>
      <c r="K34" s="59"/>
      <c r="L34" s="59"/>
      <c r="M34" s="59"/>
      <c r="N34" s="59"/>
      <c r="O34" s="59"/>
      <c r="P34" s="75"/>
      <c r="Q34" s="75"/>
      <c r="R34" s="75"/>
      <c r="S34" s="75"/>
    </row>
    <row r="35" spans="1:19" ht="15" customHeight="1" x14ac:dyDescent="0.2">
      <c r="A35" s="75"/>
      <c r="B35" s="75"/>
      <c r="C35" s="75"/>
      <c r="D35" s="75"/>
      <c r="E35" s="75"/>
      <c r="F35" s="75"/>
      <c r="G35" s="75"/>
      <c r="H35" s="75"/>
      <c r="I35" s="75"/>
      <c r="J35" s="75"/>
      <c r="K35" s="75"/>
      <c r="L35" s="75"/>
      <c r="M35" s="75"/>
      <c r="N35" s="75"/>
      <c r="O35" s="75"/>
      <c r="P35" s="75"/>
      <c r="Q35" s="75"/>
      <c r="R35" s="75"/>
      <c r="S35" s="75"/>
    </row>
    <row r="36" spans="1:19" x14ac:dyDescent="0.2">
      <c r="A36" s="79" t="s">
        <v>670</v>
      </c>
      <c r="B36" s="548"/>
      <c r="C36" s="75"/>
      <c r="D36" s="75"/>
      <c r="E36" s="75"/>
      <c r="F36" s="75"/>
      <c r="G36" s="75"/>
      <c r="H36" s="75"/>
      <c r="I36" s="75"/>
      <c r="J36" s="75"/>
      <c r="K36" s="75"/>
      <c r="L36" s="75"/>
      <c r="M36" s="75"/>
      <c r="N36" s="75"/>
      <c r="O36" s="75"/>
      <c r="P36" s="75"/>
      <c r="Q36" s="75"/>
      <c r="R36" s="75"/>
      <c r="S36" s="75"/>
    </row>
    <row r="37" spans="1:19" x14ac:dyDescent="0.2">
      <c r="A37" s="579"/>
      <c r="B37" s="549"/>
      <c r="C37" s="75"/>
      <c r="D37" s="75"/>
      <c r="E37" s="75"/>
      <c r="F37" s="75"/>
      <c r="G37" s="75"/>
      <c r="H37" s="75"/>
      <c r="I37" s="75"/>
      <c r="J37" s="75"/>
      <c r="K37" s="75"/>
      <c r="L37" s="75"/>
      <c r="M37" s="75"/>
      <c r="N37" s="75"/>
      <c r="O37" s="75"/>
      <c r="P37" s="75"/>
      <c r="Q37" s="75"/>
      <c r="R37" s="75"/>
      <c r="S37" s="75"/>
    </row>
    <row r="38" spans="1:19" x14ac:dyDescent="0.2">
      <c r="A38" s="75"/>
      <c r="B38" s="549"/>
      <c r="C38" s="75"/>
      <c r="D38" s="75"/>
      <c r="E38" s="75"/>
      <c r="F38" s="75"/>
      <c r="G38" s="75"/>
      <c r="H38" s="75"/>
      <c r="I38" s="75"/>
      <c r="J38" s="75"/>
      <c r="K38" s="75"/>
      <c r="L38" s="75"/>
      <c r="M38" s="75"/>
      <c r="N38" s="75"/>
      <c r="O38" s="75"/>
      <c r="P38" s="75"/>
      <c r="Q38" s="75"/>
      <c r="R38" s="75"/>
      <c r="S38" s="75"/>
    </row>
    <row r="39" spans="1:19" x14ac:dyDescent="0.2">
      <c r="A39" s="75"/>
      <c r="B39" s="549"/>
      <c r="C39" s="75"/>
      <c r="D39" s="75"/>
      <c r="E39" s="75"/>
      <c r="F39" s="75"/>
      <c r="G39" s="75"/>
      <c r="H39" s="75"/>
      <c r="I39" s="75"/>
      <c r="J39" s="75"/>
      <c r="K39" s="75"/>
      <c r="L39" s="75"/>
      <c r="M39" s="75"/>
      <c r="N39" s="75"/>
      <c r="O39" s="75"/>
      <c r="P39" s="75"/>
      <c r="Q39" s="75"/>
      <c r="R39" s="75"/>
      <c r="S39" s="75"/>
    </row>
    <row r="40" spans="1:19" x14ac:dyDescent="0.2">
      <c r="A40" s="75"/>
      <c r="B40" s="75"/>
      <c r="C40" s="75"/>
      <c r="D40" s="75"/>
      <c r="E40" s="75"/>
      <c r="F40" s="75"/>
      <c r="G40" s="75"/>
      <c r="H40" s="75"/>
      <c r="I40" s="75"/>
      <c r="J40" s="75"/>
      <c r="K40" s="75"/>
      <c r="L40" s="75"/>
      <c r="M40" s="75"/>
      <c r="N40" s="75"/>
      <c r="O40" s="75"/>
      <c r="P40" s="75"/>
      <c r="Q40" s="75"/>
      <c r="R40" s="75"/>
      <c r="S40" s="75"/>
    </row>
    <row r="41" spans="1:19" ht="15" customHeight="1" x14ac:dyDescent="0.2"/>
    <row r="42" spans="1:19" ht="15" customHeight="1" x14ac:dyDescent="0.2"/>
    <row r="43" spans="1:19" ht="15" customHeight="1" x14ac:dyDescent="0.2"/>
  </sheetData>
  <sheetProtection password="CD9E" sheet="1" objects="1" scenarios="1" selectLockedCells="1"/>
  <mergeCells count="7">
    <mergeCell ref="L12:O12"/>
    <mergeCell ref="B13:C13"/>
    <mergeCell ref="D13:E13"/>
    <mergeCell ref="F13:G13"/>
    <mergeCell ref="H13:I13"/>
    <mergeCell ref="L13:M13"/>
    <mergeCell ref="N13:O13"/>
  </mergeCells>
  <dataValidations count="1">
    <dataValidation type="list" allowBlank="1" showInputMessage="1" showErrorMessage="1" sqref="B36:B39">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55118110236220474" right="0.55118110236220474" top="0.98425196850393704" bottom="0.98425196850393704" header="0.51181102362204722" footer="0.51181102362204722"/>
  <pageSetup paperSize="9" scale="74" orientation="landscape" r:id="rId1"/>
  <headerFooter alignWithMargins="0">
    <oddHeader>&amp;LCDH&amp;C &amp;F&amp;R&amp;A</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70"/>
  <sheetViews>
    <sheetView showGridLines="0" topLeftCell="B16" zoomScaleNormal="100" workbookViewId="0">
      <selection activeCell="H13" sqref="H13"/>
    </sheetView>
  </sheetViews>
  <sheetFormatPr baseColWidth="10" defaultColWidth="9.140625" defaultRowHeight="12.75" x14ac:dyDescent="0.2"/>
  <cols>
    <col min="1" max="1" width="4.7109375" style="31" customWidth="1"/>
    <col min="2" max="2" width="22.42578125" style="31" customWidth="1"/>
    <col min="3" max="3" width="2.85546875" style="31" customWidth="1"/>
    <col min="4" max="4" width="63.5703125" style="31" bestFit="1" customWidth="1"/>
    <col min="5" max="7" width="9.140625" style="31"/>
    <col min="8" max="8" width="26.7109375" style="31" customWidth="1"/>
    <col min="9" max="16384" width="9.140625" style="31"/>
  </cols>
  <sheetData>
    <row r="1" spans="1:11" s="27" customFormat="1" ht="12.75" customHeight="1" x14ac:dyDescent="0.2">
      <c r="A1" s="26" t="s">
        <v>6</v>
      </c>
    </row>
    <row r="2" spans="1:11" s="29" customFormat="1" ht="12.75" customHeight="1" x14ac:dyDescent="0.2">
      <c r="A2" s="26" t="s">
        <v>10</v>
      </c>
    </row>
    <row r="4" spans="1:11" x14ac:dyDescent="0.2">
      <c r="A4" s="109"/>
      <c r="B4" s="109"/>
      <c r="C4" s="109"/>
      <c r="D4" s="109"/>
      <c r="E4" s="109"/>
      <c r="F4" s="109"/>
      <c r="G4" s="109"/>
      <c r="H4" s="109"/>
      <c r="I4" s="109"/>
      <c r="J4" s="109"/>
      <c r="K4" s="109"/>
    </row>
    <row r="5" spans="1:11" ht="15.75" x14ac:dyDescent="0.25">
      <c r="A5" s="110" t="s">
        <v>11</v>
      </c>
      <c r="B5" s="109"/>
      <c r="C5" s="109"/>
      <c r="D5" s="109"/>
      <c r="E5" s="109"/>
      <c r="F5" s="109"/>
      <c r="G5" s="109"/>
      <c r="H5" s="109"/>
      <c r="I5" s="109"/>
      <c r="J5" s="109"/>
      <c r="K5" s="109"/>
    </row>
    <row r="6" spans="1:11" x14ac:dyDescent="0.2">
      <c r="A6" s="109"/>
      <c r="B6" s="109"/>
      <c r="C6" s="109"/>
      <c r="D6" s="109"/>
      <c r="E6" s="109"/>
      <c r="F6" s="109"/>
      <c r="G6" s="109"/>
      <c r="H6" s="109"/>
      <c r="I6" s="109"/>
      <c r="J6" s="109"/>
      <c r="K6" s="109"/>
    </row>
    <row r="7" spans="1:11" x14ac:dyDescent="0.2">
      <c r="A7" s="109"/>
      <c r="B7" s="109"/>
      <c r="C7" s="109"/>
      <c r="D7" s="109"/>
      <c r="E7" s="109"/>
      <c r="F7" s="109"/>
      <c r="G7" s="109"/>
      <c r="H7" s="109"/>
      <c r="I7" s="109"/>
      <c r="J7" s="109"/>
      <c r="K7" s="109"/>
    </row>
    <row r="8" spans="1:11" x14ac:dyDescent="0.2">
      <c r="A8" s="111" t="s">
        <v>12</v>
      </c>
      <c r="B8" s="109"/>
      <c r="C8" s="109"/>
      <c r="D8" s="383" t="s">
        <v>1042</v>
      </c>
      <c r="E8" s="109"/>
      <c r="F8" s="111" t="s">
        <v>34</v>
      </c>
      <c r="G8" s="109"/>
      <c r="H8" s="384">
        <v>2014</v>
      </c>
      <c r="I8" s="109"/>
      <c r="J8" s="109"/>
      <c r="K8" s="109"/>
    </row>
    <row r="9" spans="1:11" x14ac:dyDescent="0.2">
      <c r="A9" s="109"/>
      <c r="B9" s="109"/>
      <c r="C9" s="109"/>
      <c r="D9" s="109"/>
      <c r="E9" s="109"/>
      <c r="F9" s="109"/>
      <c r="G9" s="109"/>
      <c r="H9" s="109"/>
      <c r="I9" s="109"/>
      <c r="J9" s="109"/>
      <c r="K9" s="109"/>
    </row>
    <row r="10" spans="1:11" x14ac:dyDescent="0.2">
      <c r="A10" s="109"/>
      <c r="B10" s="109"/>
      <c r="C10" s="109"/>
      <c r="D10" s="109"/>
      <c r="E10" s="109"/>
      <c r="F10" s="109"/>
      <c r="G10" s="109"/>
      <c r="H10" s="109"/>
      <c r="I10" s="109"/>
      <c r="J10" s="109"/>
      <c r="K10" s="109"/>
    </row>
    <row r="11" spans="1:11" x14ac:dyDescent="0.2">
      <c r="A11" s="111" t="s">
        <v>548</v>
      </c>
      <c r="B11" s="109"/>
      <c r="C11" s="109"/>
      <c r="D11" s="109"/>
      <c r="E11" s="109"/>
      <c r="F11" s="109"/>
      <c r="G11" s="109"/>
      <c r="H11" s="109"/>
      <c r="I11" s="109"/>
      <c r="J11" s="109"/>
      <c r="K11" s="109"/>
    </row>
    <row r="12" spans="1:11" x14ac:dyDescent="0.2">
      <c r="A12" s="109"/>
      <c r="B12" s="112" t="s">
        <v>549</v>
      </c>
      <c r="C12" s="109"/>
      <c r="D12" s="385" t="s">
        <v>779</v>
      </c>
      <c r="E12" s="109"/>
      <c r="F12" s="109"/>
      <c r="G12" s="109"/>
      <c r="H12" s="109"/>
      <c r="I12" s="109"/>
      <c r="J12" s="109"/>
      <c r="K12" s="109"/>
    </row>
    <row r="13" spans="1:11" x14ac:dyDescent="0.2">
      <c r="A13" s="109"/>
      <c r="B13" s="113" t="s">
        <v>550</v>
      </c>
      <c r="C13" s="109"/>
      <c r="D13" s="386"/>
      <c r="E13" s="386"/>
      <c r="F13" s="386"/>
      <c r="G13" s="386"/>
      <c r="H13" s="386"/>
      <c r="I13" s="386"/>
      <c r="J13" s="386"/>
      <c r="K13" s="109"/>
    </row>
    <row r="14" spans="1:11" x14ac:dyDescent="0.2">
      <c r="A14" s="112"/>
      <c r="B14" s="114"/>
      <c r="C14" s="109"/>
      <c r="D14" s="386"/>
      <c r="E14" s="386"/>
      <c r="F14" s="386"/>
      <c r="G14" s="386"/>
      <c r="H14" s="386"/>
      <c r="I14" s="386"/>
      <c r="J14" s="386"/>
      <c r="K14" s="109"/>
    </row>
    <row r="15" spans="1:11" x14ac:dyDescent="0.2">
      <c r="A15" s="112"/>
      <c r="B15" s="114"/>
      <c r="C15" s="109"/>
      <c r="D15" s="386"/>
      <c r="E15" s="386"/>
      <c r="F15" s="386"/>
      <c r="G15" s="386"/>
      <c r="H15" s="386"/>
      <c r="I15" s="386"/>
      <c r="J15" s="386"/>
      <c r="K15" s="109"/>
    </row>
    <row r="16" spans="1:11" x14ac:dyDescent="0.2">
      <c r="A16" s="112"/>
      <c r="B16" s="114"/>
      <c r="C16" s="109"/>
      <c r="D16" s="109"/>
      <c r="E16" s="109"/>
      <c r="F16" s="109"/>
      <c r="G16" s="109"/>
      <c r="H16" s="109"/>
      <c r="I16" s="109"/>
      <c r="J16" s="109"/>
      <c r="K16" s="109"/>
    </row>
    <row r="17" spans="1:11" x14ac:dyDescent="0.2">
      <c r="A17" s="109"/>
      <c r="B17" s="114" t="s">
        <v>14</v>
      </c>
      <c r="C17" s="109"/>
      <c r="D17" s="386" t="s">
        <v>1043</v>
      </c>
      <c r="E17" s="109"/>
      <c r="F17" s="109"/>
      <c r="G17" s="109"/>
      <c r="H17" s="109"/>
      <c r="I17" s="109"/>
      <c r="J17" s="109"/>
      <c r="K17" s="109"/>
    </row>
    <row r="18" spans="1:11" x14ac:dyDescent="0.2">
      <c r="A18" s="109"/>
      <c r="B18" s="109"/>
      <c r="C18" s="109"/>
      <c r="D18" s="109"/>
      <c r="E18" s="109"/>
      <c r="F18" s="109"/>
      <c r="G18" s="109"/>
      <c r="H18" s="109"/>
      <c r="I18" s="109"/>
      <c r="J18" s="109"/>
      <c r="K18" s="109"/>
    </row>
    <row r="19" spans="1:11" x14ac:dyDescent="0.2">
      <c r="A19" s="109"/>
      <c r="B19" s="109"/>
      <c r="C19" s="109"/>
      <c r="D19" s="109"/>
      <c r="E19" s="109"/>
      <c r="F19" s="109"/>
      <c r="G19" s="109"/>
      <c r="H19" s="109"/>
      <c r="I19" s="109"/>
      <c r="J19" s="109"/>
      <c r="K19" s="109"/>
    </row>
    <row r="20" spans="1:11" x14ac:dyDescent="0.2">
      <c r="A20" s="111" t="s">
        <v>551</v>
      </c>
      <c r="B20" s="109"/>
      <c r="C20" s="109"/>
      <c r="D20" s="109"/>
      <c r="E20" s="109"/>
      <c r="F20" s="109"/>
      <c r="G20" s="109"/>
      <c r="H20" s="109"/>
      <c r="I20" s="109"/>
      <c r="J20" s="109"/>
      <c r="K20" s="109"/>
    </row>
    <row r="21" spans="1:11" x14ac:dyDescent="0.2">
      <c r="A21" s="115" t="s">
        <v>552</v>
      </c>
      <c r="B21" s="109"/>
      <c r="C21" s="109"/>
      <c r="D21" s="109"/>
      <c r="E21" s="109"/>
      <c r="F21" s="109"/>
      <c r="G21" s="109"/>
      <c r="H21" s="109"/>
      <c r="I21" s="109"/>
      <c r="J21" s="109"/>
      <c r="K21" s="109"/>
    </row>
    <row r="22" spans="1:11" x14ac:dyDescent="0.2">
      <c r="A22" s="115" t="s">
        <v>553</v>
      </c>
      <c r="B22" s="109"/>
      <c r="C22" s="109"/>
      <c r="D22" s="109"/>
      <c r="E22" s="109"/>
      <c r="F22" s="109"/>
      <c r="G22" s="109"/>
      <c r="H22" s="109"/>
      <c r="I22" s="109"/>
      <c r="J22" s="109"/>
      <c r="K22" s="109"/>
    </row>
    <row r="23" spans="1:11" x14ac:dyDescent="0.2">
      <c r="A23" s="111"/>
      <c r="B23" s="109"/>
      <c r="C23" s="109"/>
      <c r="D23" s="109"/>
      <c r="E23" s="109"/>
      <c r="F23" s="109"/>
      <c r="G23" s="109"/>
      <c r="H23" s="109"/>
      <c r="I23" s="109"/>
      <c r="J23" s="109"/>
      <c r="K23" s="109"/>
    </row>
    <row r="24" spans="1:11" x14ac:dyDescent="0.2">
      <c r="A24" s="111"/>
      <c r="B24" s="109" t="s">
        <v>554</v>
      </c>
      <c r="C24" s="109"/>
      <c r="D24" s="116" t="s">
        <v>821</v>
      </c>
      <c r="E24" s="387" t="s">
        <v>1044</v>
      </c>
      <c r="F24" s="113"/>
      <c r="G24" s="117" t="s">
        <v>555</v>
      </c>
      <c r="H24" s="388"/>
      <c r="I24" s="388"/>
      <c r="J24" s="388"/>
      <c r="K24" s="109"/>
    </row>
    <row r="25" spans="1:11" x14ac:dyDescent="0.2">
      <c r="A25" s="111"/>
      <c r="B25" s="109"/>
      <c r="C25" s="109"/>
      <c r="D25" s="116" t="s">
        <v>728</v>
      </c>
      <c r="E25" s="387" t="s">
        <v>1045</v>
      </c>
      <c r="F25" s="109"/>
      <c r="G25" s="117" t="s">
        <v>556</v>
      </c>
      <c r="H25" s="388"/>
      <c r="I25" s="388"/>
      <c r="J25" s="388"/>
      <c r="K25" s="109"/>
    </row>
    <row r="26" spans="1:11" x14ac:dyDescent="0.2">
      <c r="A26" s="111"/>
      <c r="B26" s="109"/>
      <c r="C26" s="109"/>
      <c r="D26" s="116" t="s">
        <v>729</v>
      </c>
      <c r="E26" s="388"/>
      <c r="F26" s="388"/>
      <c r="G26" s="388"/>
      <c r="H26" s="388"/>
      <c r="I26" s="388"/>
      <c r="J26" s="388"/>
      <c r="K26" s="109"/>
    </row>
    <row r="27" spans="1:11" x14ac:dyDescent="0.2">
      <c r="A27" s="111"/>
      <c r="B27" s="109"/>
      <c r="C27" s="109"/>
      <c r="D27" s="109"/>
      <c r="E27" s="109"/>
      <c r="F27" s="109"/>
      <c r="G27" s="109"/>
      <c r="H27" s="109"/>
      <c r="I27" s="109"/>
      <c r="J27" s="109"/>
      <c r="K27" s="109"/>
    </row>
    <row r="28" spans="1:11" x14ac:dyDescent="0.2">
      <c r="A28" s="111"/>
      <c r="B28" s="108" t="s">
        <v>730</v>
      </c>
      <c r="C28" s="109"/>
      <c r="D28" s="116" t="s">
        <v>557</v>
      </c>
      <c r="E28" s="109"/>
      <c r="F28" s="109"/>
      <c r="G28" s="109"/>
      <c r="H28" s="109"/>
      <c r="I28" s="109"/>
      <c r="J28" s="109"/>
      <c r="K28" s="109"/>
    </row>
    <row r="29" spans="1:11" x14ac:dyDescent="0.2">
      <c r="A29" s="109"/>
      <c r="B29" s="108"/>
      <c r="C29" s="109"/>
      <c r="D29" s="116" t="s">
        <v>558</v>
      </c>
      <c r="E29" s="387" t="s">
        <v>1045</v>
      </c>
      <c r="F29" s="109"/>
      <c r="G29" s="117" t="s">
        <v>556</v>
      </c>
      <c r="H29" s="388"/>
      <c r="I29" s="388"/>
      <c r="J29" s="388"/>
      <c r="K29" s="109"/>
    </row>
    <row r="30" spans="1:11" x14ac:dyDescent="0.2">
      <c r="A30" s="109"/>
      <c r="B30" s="108"/>
      <c r="C30" s="109"/>
      <c r="D30" s="116" t="s">
        <v>559</v>
      </c>
      <c r="E30" s="387" t="s">
        <v>1045</v>
      </c>
      <c r="F30" s="109"/>
      <c r="G30" s="117" t="s">
        <v>556</v>
      </c>
      <c r="H30" s="388"/>
      <c r="I30" s="388"/>
      <c r="J30" s="388"/>
      <c r="K30" s="109"/>
    </row>
    <row r="31" spans="1:11" x14ac:dyDescent="0.2">
      <c r="A31" s="109"/>
      <c r="B31" s="108"/>
      <c r="C31" s="109"/>
      <c r="D31" s="116" t="s">
        <v>560</v>
      </c>
      <c r="E31" s="387" t="s">
        <v>1045</v>
      </c>
      <c r="F31" s="109"/>
      <c r="G31" s="117" t="s">
        <v>556</v>
      </c>
      <c r="H31" s="388"/>
      <c r="I31" s="388"/>
      <c r="J31" s="388"/>
      <c r="K31" s="109"/>
    </row>
    <row r="32" spans="1:11" x14ac:dyDescent="0.2">
      <c r="A32" s="109"/>
      <c r="B32" s="108"/>
      <c r="C32" s="109"/>
      <c r="D32" s="116" t="s">
        <v>731</v>
      </c>
      <c r="E32" s="387" t="s">
        <v>1045</v>
      </c>
      <c r="F32" s="109"/>
      <c r="G32" s="117" t="s">
        <v>556</v>
      </c>
      <c r="H32" s="388"/>
      <c r="I32" s="388"/>
      <c r="J32" s="388"/>
      <c r="K32" s="109"/>
    </row>
    <row r="33" spans="1:11" x14ac:dyDescent="0.2">
      <c r="A33" s="109"/>
      <c r="B33" s="108"/>
      <c r="C33" s="109"/>
      <c r="D33" s="116" t="s">
        <v>822</v>
      </c>
      <c r="E33" s="387" t="s">
        <v>1045</v>
      </c>
      <c r="F33" s="109"/>
      <c r="G33" s="117" t="s">
        <v>556</v>
      </c>
      <c r="H33" s="388"/>
      <c r="I33" s="388"/>
      <c r="J33" s="388"/>
      <c r="K33" s="109"/>
    </row>
    <row r="34" spans="1:11" x14ac:dyDescent="0.2">
      <c r="A34" s="109"/>
      <c r="B34" s="118"/>
      <c r="C34" s="109"/>
      <c r="D34" s="109"/>
      <c r="E34" s="109"/>
      <c r="F34" s="109"/>
      <c r="G34" s="109"/>
      <c r="H34" s="109"/>
      <c r="I34" s="109"/>
      <c r="J34" s="109"/>
      <c r="K34" s="109"/>
    </row>
    <row r="35" spans="1:11" x14ac:dyDescent="0.2">
      <c r="A35" s="109"/>
      <c r="B35" s="108" t="s">
        <v>561</v>
      </c>
      <c r="C35" s="109"/>
      <c r="D35" s="119" t="s">
        <v>732</v>
      </c>
      <c r="E35" s="387" t="s">
        <v>1045</v>
      </c>
      <c r="F35" s="109"/>
      <c r="G35" s="117" t="s">
        <v>556</v>
      </c>
      <c r="H35" s="388"/>
      <c r="I35" s="388"/>
      <c r="J35" s="388"/>
      <c r="K35" s="109"/>
    </row>
    <row r="36" spans="1:11" x14ac:dyDescent="0.2">
      <c r="A36" s="109"/>
      <c r="B36" s="108"/>
      <c r="C36" s="109"/>
      <c r="D36" s="119" t="s">
        <v>562</v>
      </c>
      <c r="E36" s="57" t="s">
        <v>1045</v>
      </c>
      <c r="F36" s="109"/>
      <c r="G36" s="117" t="s">
        <v>556</v>
      </c>
      <c r="H36" s="388"/>
      <c r="I36" s="388"/>
      <c r="J36" s="388"/>
      <c r="K36" s="109"/>
    </row>
    <row r="37" spans="1:11" x14ac:dyDescent="0.2">
      <c r="A37" s="109"/>
      <c r="B37" s="109"/>
      <c r="C37" s="109"/>
      <c r="D37" s="120"/>
      <c r="E37" s="109"/>
      <c r="F37" s="109"/>
      <c r="G37" s="109"/>
      <c r="H37" s="109"/>
      <c r="I37" s="109"/>
      <c r="J37" s="109"/>
      <c r="K37" s="109"/>
    </row>
    <row r="38" spans="1:11" x14ac:dyDescent="0.2">
      <c r="A38" s="109"/>
      <c r="B38" s="108" t="s">
        <v>563</v>
      </c>
      <c r="C38" s="109"/>
      <c r="D38" s="119" t="s">
        <v>564</v>
      </c>
      <c r="E38" s="57" t="s">
        <v>1044</v>
      </c>
      <c r="F38" s="109"/>
      <c r="G38" s="117" t="s">
        <v>555</v>
      </c>
      <c r="H38" s="388"/>
      <c r="I38" s="388"/>
      <c r="J38" s="388"/>
      <c r="K38" s="109"/>
    </row>
    <row r="39" spans="1:11" x14ac:dyDescent="0.2">
      <c r="A39" s="109"/>
      <c r="B39" s="108"/>
      <c r="C39" s="109"/>
      <c r="D39" s="109"/>
      <c r="E39" s="109"/>
      <c r="F39" s="109"/>
      <c r="G39" s="109"/>
      <c r="H39" s="109"/>
      <c r="I39" s="109"/>
      <c r="J39" s="109"/>
      <c r="K39" s="109"/>
    </row>
    <row r="40" spans="1:11" x14ac:dyDescent="0.2">
      <c r="A40" s="109"/>
      <c r="B40" s="109" t="s">
        <v>565</v>
      </c>
      <c r="C40" s="109"/>
      <c r="D40" s="389" t="s">
        <v>781</v>
      </c>
      <c r="E40" s="109"/>
      <c r="F40" s="109"/>
      <c r="G40" s="117" t="s">
        <v>550</v>
      </c>
      <c r="H40" s="388"/>
      <c r="I40" s="388"/>
      <c r="J40" s="388"/>
      <c r="K40" s="109"/>
    </row>
    <row r="41" spans="1:11" x14ac:dyDescent="0.2">
      <c r="A41" s="111"/>
      <c r="B41" s="109"/>
      <c r="C41" s="109"/>
      <c r="D41" s="109"/>
      <c r="E41" s="109"/>
      <c r="F41" s="109"/>
      <c r="G41" s="109"/>
      <c r="H41" s="109"/>
      <c r="I41" s="109"/>
      <c r="J41" s="109"/>
      <c r="K41" s="109"/>
    </row>
    <row r="42" spans="1:11" x14ac:dyDescent="0.2">
      <c r="A42" s="111"/>
      <c r="B42" s="109" t="s">
        <v>566</v>
      </c>
      <c r="C42" s="109"/>
      <c r="D42" s="389" t="s">
        <v>785</v>
      </c>
      <c r="E42" s="109"/>
      <c r="F42" s="109"/>
      <c r="G42" s="117" t="s">
        <v>550</v>
      </c>
      <c r="H42" s="388"/>
      <c r="I42" s="388"/>
      <c r="J42" s="388"/>
      <c r="K42" s="109"/>
    </row>
    <row r="43" spans="1:11" x14ac:dyDescent="0.2">
      <c r="A43" s="109"/>
      <c r="B43" s="118"/>
      <c r="C43" s="109"/>
      <c r="D43" s="109"/>
      <c r="E43" s="109"/>
      <c r="F43" s="109"/>
      <c r="G43" s="109"/>
      <c r="H43" s="109"/>
      <c r="I43" s="109"/>
      <c r="J43" s="109"/>
      <c r="K43" s="109"/>
    </row>
    <row r="44" spans="1:11" x14ac:dyDescent="0.2">
      <c r="A44" s="109"/>
      <c r="B44" s="108" t="s">
        <v>567</v>
      </c>
      <c r="C44" s="109"/>
      <c r="D44" s="116" t="s">
        <v>557</v>
      </c>
      <c r="E44" s="109"/>
      <c r="F44" s="109"/>
      <c r="G44" s="109"/>
      <c r="H44" s="109"/>
      <c r="I44" s="109"/>
      <c r="J44" s="109"/>
      <c r="K44" s="109"/>
    </row>
    <row r="45" spans="1:11" x14ac:dyDescent="0.2">
      <c r="A45" s="109"/>
      <c r="B45" s="108"/>
      <c r="C45" s="109"/>
      <c r="D45" s="119" t="s">
        <v>568</v>
      </c>
      <c r="E45" s="57" t="s">
        <v>1045</v>
      </c>
      <c r="F45" s="109"/>
      <c r="G45" s="117" t="s">
        <v>556</v>
      </c>
      <c r="H45" s="388"/>
      <c r="I45" s="388"/>
      <c r="J45" s="388"/>
      <c r="K45" s="109"/>
    </row>
    <row r="46" spans="1:11" x14ac:dyDescent="0.2">
      <c r="A46" s="109"/>
      <c r="B46" s="108"/>
      <c r="C46" s="109"/>
      <c r="D46" s="119" t="s">
        <v>569</v>
      </c>
      <c r="E46" s="57" t="s">
        <v>1045</v>
      </c>
      <c r="F46" s="109"/>
      <c r="G46" s="117" t="s">
        <v>556</v>
      </c>
      <c r="H46" s="388"/>
      <c r="I46" s="388"/>
      <c r="J46" s="388"/>
      <c r="K46" s="109"/>
    </row>
    <row r="47" spans="1:11" x14ac:dyDescent="0.2">
      <c r="A47" s="109"/>
      <c r="B47" s="108"/>
      <c r="C47" s="109"/>
      <c r="D47" s="119" t="s">
        <v>570</v>
      </c>
      <c r="E47" s="57" t="s">
        <v>1045</v>
      </c>
      <c r="F47" s="109"/>
      <c r="G47" s="117" t="s">
        <v>556</v>
      </c>
      <c r="H47" s="388"/>
      <c r="I47" s="388"/>
      <c r="J47" s="388"/>
      <c r="K47" s="109"/>
    </row>
    <row r="48" spans="1:11" x14ac:dyDescent="0.2">
      <c r="A48" s="109"/>
      <c r="B48" s="108"/>
      <c r="C48" s="109"/>
      <c r="D48" s="119" t="s">
        <v>571</v>
      </c>
      <c r="E48" s="57" t="s">
        <v>1045</v>
      </c>
      <c r="F48" s="109"/>
      <c r="G48" s="117" t="s">
        <v>556</v>
      </c>
      <c r="H48" s="388"/>
      <c r="I48" s="388"/>
      <c r="J48" s="388"/>
      <c r="K48" s="109"/>
    </row>
    <row r="49" spans="1:11" x14ac:dyDescent="0.2">
      <c r="A49" s="109"/>
      <c r="B49" s="108"/>
      <c r="C49" s="109"/>
      <c r="D49" s="119" t="s">
        <v>572</v>
      </c>
      <c r="E49" s="57" t="s">
        <v>1045</v>
      </c>
      <c r="F49" s="109"/>
      <c r="G49" s="117" t="s">
        <v>556</v>
      </c>
      <c r="H49" s="388"/>
      <c r="I49" s="388"/>
      <c r="J49" s="388"/>
      <c r="K49" s="109"/>
    </row>
    <row r="50" spans="1:11" x14ac:dyDescent="0.2">
      <c r="A50" s="109"/>
      <c r="B50" s="108"/>
      <c r="C50" s="109"/>
      <c r="D50" s="119"/>
      <c r="E50" s="119"/>
      <c r="F50" s="119"/>
      <c r="G50" s="119"/>
      <c r="H50" s="119"/>
      <c r="I50" s="119"/>
      <c r="J50" s="119"/>
      <c r="K50" s="119"/>
    </row>
    <row r="51" spans="1:11" x14ac:dyDescent="0.2">
      <c r="A51" s="109"/>
      <c r="B51" s="108" t="s">
        <v>573</v>
      </c>
      <c r="C51" s="109"/>
      <c r="D51" s="120"/>
      <c r="E51" s="109"/>
      <c r="F51" s="109"/>
      <c r="G51" s="109"/>
      <c r="H51" s="109"/>
      <c r="I51" s="109"/>
      <c r="J51" s="109"/>
      <c r="K51" s="109"/>
    </row>
    <row r="52" spans="1:11" x14ac:dyDescent="0.2">
      <c r="A52" s="109"/>
      <c r="B52" s="108"/>
      <c r="C52" s="109"/>
      <c r="D52" s="59"/>
      <c r="E52" s="59"/>
      <c r="F52" s="59"/>
      <c r="G52" s="59"/>
      <c r="H52" s="59"/>
      <c r="I52" s="59"/>
      <c r="J52" s="59"/>
      <c r="K52" s="109"/>
    </row>
    <row r="53" spans="1:11" x14ac:dyDescent="0.2">
      <c r="A53" s="109"/>
      <c r="B53" s="109"/>
      <c r="C53" s="109"/>
      <c r="D53" s="59"/>
      <c r="E53" s="59"/>
      <c r="F53" s="59"/>
      <c r="G53" s="59"/>
      <c r="H53" s="59"/>
      <c r="I53" s="59"/>
      <c r="J53" s="59"/>
      <c r="K53" s="109"/>
    </row>
    <row r="54" spans="1:11" x14ac:dyDescent="0.2">
      <c r="A54" s="109"/>
      <c r="B54" s="109"/>
      <c r="C54" s="109"/>
      <c r="D54" s="59"/>
      <c r="E54" s="59"/>
      <c r="F54" s="59"/>
      <c r="G54" s="59"/>
      <c r="H54" s="59"/>
      <c r="I54" s="59"/>
      <c r="J54" s="59"/>
      <c r="K54" s="109"/>
    </row>
    <row r="55" spans="1:11" x14ac:dyDescent="0.2">
      <c r="A55" s="109"/>
      <c r="B55" s="108"/>
      <c r="C55" s="109"/>
      <c r="D55" s="59"/>
      <c r="E55" s="59"/>
      <c r="F55" s="59"/>
      <c r="G55" s="59"/>
      <c r="H55" s="59"/>
      <c r="I55" s="59"/>
      <c r="J55" s="59"/>
      <c r="K55" s="109"/>
    </row>
    <row r="56" spans="1:11" x14ac:dyDescent="0.2">
      <c r="A56" s="109"/>
      <c r="B56" s="109"/>
      <c r="C56" s="109"/>
      <c r="D56" s="59"/>
      <c r="E56" s="59"/>
      <c r="F56" s="59"/>
      <c r="G56" s="59"/>
      <c r="H56" s="59"/>
      <c r="I56" s="59"/>
      <c r="J56" s="59"/>
      <c r="K56" s="109"/>
    </row>
    <row r="57" spans="1:11" x14ac:dyDescent="0.2">
      <c r="A57" s="109"/>
      <c r="B57" s="109"/>
      <c r="C57" s="109"/>
      <c r="D57" s="59"/>
      <c r="E57" s="59"/>
      <c r="F57" s="59"/>
      <c r="G57" s="59"/>
      <c r="H57" s="59"/>
      <c r="I57" s="59"/>
      <c r="J57" s="59"/>
      <c r="K57" s="109"/>
    </row>
    <row r="58" spans="1:11" x14ac:dyDescent="0.2">
      <c r="A58" s="109"/>
      <c r="B58" s="109"/>
      <c r="C58" s="109"/>
      <c r="D58" s="109"/>
      <c r="E58" s="109"/>
      <c r="F58" s="109"/>
      <c r="G58" s="109"/>
      <c r="H58" s="109"/>
      <c r="I58" s="109"/>
      <c r="J58" s="109"/>
      <c r="K58" s="109"/>
    </row>
    <row r="59" spans="1:11" x14ac:dyDescent="0.2">
      <c r="A59" s="109"/>
      <c r="B59" s="109"/>
      <c r="C59" s="109"/>
      <c r="D59" s="109"/>
      <c r="E59" s="109"/>
      <c r="F59" s="109"/>
      <c r="G59" s="109"/>
      <c r="H59" s="109"/>
      <c r="I59" s="109"/>
      <c r="J59" s="109"/>
      <c r="K59" s="109"/>
    </row>
    <row r="60" spans="1:11" x14ac:dyDescent="0.2">
      <c r="A60" s="111" t="s">
        <v>15</v>
      </c>
      <c r="B60" s="109"/>
      <c r="C60" s="109"/>
      <c r="D60" s="109"/>
      <c r="E60" s="109"/>
      <c r="F60" s="109"/>
      <c r="G60" s="109"/>
      <c r="H60" s="109"/>
      <c r="I60" s="109"/>
      <c r="J60" s="109"/>
      <c r="K60" s="109"/>
    </row>
    <row r="61" spans="1:11" x14ac:dyDescent="0.2">
      <c r="A61" s="111"/>
      <c r="B61" s="114" t="s">
        <v>16</v>
      </c>
      <c r="C61" s="109"/>
      <c r="D61" s="390"/>
      <c r="E61" s="109"/>
      <c r="F61" s="114" t="s">
        <v>16</v>
      </c>
      <c r="G61" s="109"/>
      <c r="H61" s="390"/>
      <c r="I61" s="390"/>
      <c r="J61" s="390"/>
      <c r="K61" s="109"/>
    </row>
    <row r="62" spans="1:11" x14ac:dyDescent="0.2">
      <c r="A62" s="109"/>
      <c r="B62" s="114" t="s">
        <v>17</v>
      </c>
      <c r="C62" s="109"/>
      <c r="D62" s="390"/>
      <c r="E62" s="109"/>
      <c r="F62" s="114" t="s">
        <v>17</v>
      </c>
      <c r="G62" s="109"/>
      <c r="H62" s="390"/>
      <c r="I62" s="390"/>
      <c r="J62" s="390"/>
      <c r="K62" s="109"/>
    </row>
    <row r="63" spans="1:11" x14ac:dyDescent="0.2">
      <c r="A63" s="109"/>
      <c r="B63" s="114" t="s">
        <v>574</v>
      </c>
      <c r="C63" s="109"/>
      <c r="D63" s="390"/>
      <c r="E63" s="109"/>
      <c r="F63" s="114" t="s">
        <v>574</v>
      </c>
      <c r="G63" s="109"/>
      <c r="H63" s="390"/>
      <c r="I63" s="390"/>
      <c r="J63" s="390"/>
      <c r="K63" s="109"/>
    </row>
    <row r="64" spans="1:11" x14ac:dyDescent="0.2">
      <c r="A64" s="109"/>
      <c r="B64" s="114" t="s">
        <v>18</v>
      </c>
      <c r="C64" s="109"/>
      <c r="D64" s="391"/>
      <c r="E64" s="109"/>
      <c r="F64" s="114" t="s">
        <v>18</v>
      </c>
      <c r="G64" s="109"/>
      <c r="H64" s="391"/>
      <c r="I64" s="391"/>
      <c r="J64" s="391"/>
      <c r="K64" s="109"/>
    </row>
    <row r="65" spans="1:11" x14ac:dyDescent="0.2">
      <c r="A65" s="109"/>
      <c r="B65" s="114"/>
      <c r="C65" s="109"/>
      <c r="D65" s="114"/>
      <c r="E65" s="109"/>
      <c r="F65" s="114"/>
      <c r="G65" s="109"/>
      <c r="H65" s="114"/>
      <c r="I65" s="114"/>
      <c r="J65" s="114"/>
      <c r="K65" s="109"/>
    </row>
    <row r="66" spans="1:11" x14ac:dyDescent="0.2">
      <c r="A66" s="111"/>
      <c r="B66" s="114" t="s">
        <v>16</v>
      </c>
      <c r="C66" s="109"/>
      <c r="D66" s="390"/>
      <c r="E66" s="109"/>
      <c r="F66" s="114" t="s">
        <v>16</v>
      </c>
      <c r="G66" s="109"/>
      <c r="H66" s="390"/>
      <c r="I66" s="390"/>
      <c r="J66" s="390"/>
      <c r="K66" s="109"/>
    </row>
    <row r="67" spans="1:11" x14ac:dyDescent="0.2">
      <c r="A67" s="109"/>
      <c r="B67" s="114" t="s">
        <v>17</v>
      </c>
      <c r="C67" s="109"/>
      <c r="D67" s="390"/>
      <c r="E67" s="109"/>
      <c r="F67" s="114" t="s">
        <v>17</v>
      </c>
      <c r="G67" s="109"/>
      <c r="H67" s="390"/>
      <c r="I67" s="390"/>
      <c r="J67" s="390"/>
      <c r="K67" s="109"/>
    </row>
    <row r="68" spans="1:11" x14ac:dyDescent="0.2">
      <c r="A68" s="109"/>
      <c r="B68" s="114" t="s">
        <v>574</v>
      </c>
      <c r="C68" s="109"/>
      <c r="D68" s="390"/>
      <c r="E68" s="109"/>
      <c r="F68" s="114" t="s">
        <v>574</v>
      </c>
      <c r="G68" s="109"/>
      <c r="H68" s="390"/>
      <c r="I68" s="390"/>
      <c r="J68" s="390"/>
      <c r="K68" s="109"/>
    </row>
    <row r="69" spans="1:11" x14ac:dyDescent="0.2">
      <c r="A69" s="109"/>
      <c r="B69" s="114" t="s">
        <v>18</v>
      </c>
      <c r="C69" s="109"/>
      <c r="D69" s="391"/>
      <c r="E69" s="109"/>
      <c r="F69" s="114" t="s">
        <v>18</v>
      </c>
      <c r="G69" s="109"/>
      <c r="H69" s="391"/>
      <c r="I69" s="391"/>
      <c r="J69" s="391"/>
      <c r="K69" s="109"/>
    </row>
    <row r="70" spans="1:11" x14ac:dyDescent="0.2">
      <c r="A70" s="109"/>
      <c r="B70" s="109"/>
      <c r="C70" s="109"/>
      <c r="D70" s="109"/>
      <c r="E70" s="109"/>
      <c r="F70" s="109"/>
      <c r="G70" s="109"/>
      <c r="H70" s="109"/>
      <c r="I70" s="109"/>
      <c r="J70" s="109"/>
      <c r="K70" s="109"/>
    </row>
  </sheetData>
  <sheetProtection password="CD9E" sheet="1" objects="1" scenarios="1" selectLockedCells="1"/>
  <conditionalFormatting sqref="A2">
    <cfRule type="expression" dxfId="5" priority="3" stopIfTrue="1">
      <formula>XEW2&lt;&gt;SUM(XEX1:XEX1048573)</formula>
    </cfRule>
  </conditionalFormatting>
  <conditionalFormatting sqref="A1">
    <cfRule type="expression" dxfId="4" priority="2" stopIfTrue="1">
      <formula>XEW1&lt;&gt;SUM(#REF!)</formula>
    </cfRule>
  </conditionalFormatting>
  <conditionalFormatting sqref="A2">
    <cfRule type="expression" dxfId="3" priority="1" stopIfTrue="1">
      <formula>XEW2&lt;&gt;SUM(#REF!)</formula>
    </cfRule>
  </conditionalFormatting>
  <dataValidations count="4">
    <dataValidation type="list" showInputMessage="1" showErrorMessage="1" sqref="E29:E33 E45:E49 E35:E36 E38 E24:E25">
      <formula1>"Yes,No"</formula1>
    </dataValidation>
    <dataValidation type="list" showInputMessage="1" showErrorMessage="1" sqref="D40">
      <formula1>CtzCov</formula1>
    </dataValidation>
    <dataValidation type="list" showInputMessage="1" showErrorMessage="1" sqref="D42">
      <formula1>GeoCov</formula1>
    </dataValidation>
    <dataValidation type="list" showInputMessage="1" showErrorMessage="1" sqref="D12">
      <formula1>Methodo</formula1>
    </dataValidation>
  </dataValidations>
  <hyperlinks>
    <hyperlink ref="A1" location="'List of tables'!A9" display="'List of tables'!A9"/>
    <hyperlink ref="A2" location="ExplNote!A1" display="Go to explanatory note"/>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CCFFCC"/>
  </sheetPr>
  <dimension ref="A1:AV43"/>
  <sheetViews>
    <sheetView showGridLines="0" topLeftCell="A4" zoomScale="90" zoomScaleNormal="90" workbookViewId="0">
      <selection activeCell="I29" sqref="I29"/>
    </sheetView>
  </sheetViews>
  <sheetFormatPr baseColWidth="10" defaultColWidth="9.140625" defaultRowHeight="15" customHeight="1" x14ac:dyDescent="0.2"/>
  <cols>
    <col min="1" max="1" width="45.28515625" style="144" customWidth="1"/>
    <col min="2" max="2" width="12.7109375" style="144" customWidth="1"/>
    <col min="3" max="3" width="5.7109375" style="144" customWidth="1"/>
    <col min="4" max="4" width="12.7109375" style="144" customWidth="1"/>
    <col min="5" max="5" width="5.7109375" style="144" customWidth="1"/>
    <col min="6" max="6" width="12.7109375" style="144" customWidth="1"/>
    <col min="7" max="7" width="5.7109375" style="144" customWidth="1"/>
    <col min="8" max="8" width="12.7109375" style="144" customWidth="1"/>
    <col min="9" max="9" width="5.7109375" style="144" customWidth="1"/>
    <col min="10" max="10" width="12.7109375" style="144" customWidth="1"/>
    <col min="11" max="11" width="5.7109375" style="144" customWidth="1"/>
    <col min="12" max="13" width="12.7109375" style="144" customWidth="1"/>
    <col min="14" max="14" width="5.7109375" style="144" customWidth="1"/>
    <col min="15" max="15" width="12.7109375" style="144" customWidth="1"/>
    <col min="16" max="16" width="5.7109375" style="144" customWidth="1"/>
    <col min="17" max="17" width="12.7109375" style="144" customWidth="1"/>
    <col min="18" max="18" width="5.7109375" style="144" customWidth="1"/>
    <col min="19" max="19" width="12.7109375" style="144" customWidth="1"/>
    <col min="20" max="20" width="5.7109375" style="144" customWidth="1"/>
    <col min="21" max="21" width="12.7109375" style="144" customWidth="1"/>
    <col min="22" max="22" width="5.7109375" style="144" customWidth="1"/>
    <col min="23" max="23" width="12.7109375" style="144" customWidth="1"/>
    <col min="24" max="24" width="5.7109375" style="144" customWidth="1"/>
    <col min="25" max="26" width="12.7109375" style="144" customWidth="1"/>
    <col min="27" max="27" width="5.7109375" style="144" customWidth="1"/>
    <col min="28" max="35" width="12.7109375" style="144" customWidth="1"/>
    <col min="36" max="36" width="5.7109375" style="144" customWidth="1"/>
    <col min="37" max="37" width="12.7109375" style="144" customWidth="1"/>
    <col min="38" max="38" width="5.7109375" style="144" customWidth="1"/>
    <col min="39" max="39" width="12.7109375" style="144" customWidth="1"/>
    <col min="40" max="40" width="5.7109375" style="144" customWidth="1"/>
    <col min="41" max="41" width="12.7109375" style="144" customWidth="1"/>
    <col min="42" max="42" width="5.7109375" style="144" customWidth="1"/>
    <col min="43" max="43" width="12.7109375" style="144" customWidth="1"/>
    <col min="44" max="44" width="5.7109375" style="144" customWidth="1"/>
    <col min="45" max="46" width="12.7109375" style="144" customWidth="1"/>
    <col min="47" max="47" width="5.7109375" style="144" customWidth="1"/>
    <col min="48" max="16384" width="9.140625" style="144"/>
  </cols>
  <sheetData>
    <row r="1" spans="1:48" s="679" customFormat="1" ht="12" customHeight="1" x14ac:dyDescent="0.2">
      <c r="A1" s="26" t="s">
        <v>6</v>
      </c>
    </row>
    <row r="2" spans="1:48" s="679" customFormat="1" ht="12" customHeight="1" x14ac:dyDescent="0.2">
      <c r="A2" s="28" t="s">
        <v>10</v>
      </c>
    </row>
    <row r="3" spans="1:48" s="679" customFormat="1" ht="12" customHeight="1" x14ac:dyDescent="0.2">
      <c r="A3" s="28" t="s">
        <v>7</v>
      </c>
    </row>
    <row r="4" spans="1:48" ht="15" customHeight="1" x14ac:dyDescent="0.2">
      <c r="A4" s="680" t="s">
        <v>248</v>
      </c>
      <c r="B4" s="680"/>
      <c r="C4" s="680"/>
      <c r="D4" s="681"/>
      <c r="E4" s="681"/>
      <c r="F4" s="681"/>
      <c r="G4" s="681"/>
      <c r="H4" s="680"/>
      <c r="I4" s="680"/>
      <c r="J4" s="681"/>
      <c r="K4" s="681"/>
      <c r="L4" s="681"/>
      <c r="M4" s="681"/>
      <c r="N4" s="681"/>
      <c r="O4" s="680"/>
      <c r="P4" s="680"/>
      <c r="Q4" s="681"/>
      <c r="R4" s="681"/>
      <c r="S4" s="681"/>
      <c r="T4" s="681"/>
      <c r="U4" s="681"/>
      <c r="V4" s="680"/>
      <c r="W4" s="680"/>
      <c r="X4" s="681"/>
      <c r="Y4" s="681"/>
      <c r="Z4" s="681"/>
      <c r="AA4" s="681"/>
      <c r="AB4" s="681"/>
      <c r="AC4" s="681"/>
      <c r="AD4" s="681"/>
      <c r="AE4" s="681"/>
      <c r="AF4" s="681"/>
      <c r="AG4" s="681"/>
      <c r="AH4" s="681"/>
      <c r="AI4" s="681"/>
      <c r="AJ4" s="681"/>
      <c r="AK4" s="681"/>
      <c r="AL4" s="681"/>
      <c r="AM4" s="681"/>
      <c r="AN4" s="681"/>
      <c r="AO4" s="681"/>
      <c r="AP4" s="681"/>
      <c r="AQ4" s="681"/>
      <c r="AR4" s="681"/>
      <c r="AS4" s="681"/>
      <c r="AT4" s="681"/>
      <c r="AU4" s="681"/>
      <c r="AV4" s="681"/>
    </row>
    <row r="5" spans="1:48" s="131" customFormat="1" ht="15" customHeight="1" x14ac:dyDescent="0.2">
      <c r="AV5" s="681"/>
    </row>
    <row r="6" spans="1:48" s="131" customFormat="1" ht="15" customHeight="1" x14ac:dyDescent="0.2">
      <c r="A6" s="206"/>
      <c r="B6" s="206"/>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c r="AE6" s="206"/>
      <c r="AF6" s="206"/>
      <c r="AG6" s="206"/>
      <c r="AH6" s="206"/>
      <c r="AI6" s="206"/>
      <c r="AJ6" s="206"/>
      <c r="AK6" s="206"/>
      <c r="AL6" s="206"/>
      <c r="AM6" s="206"/>
      <c r="AN6" s="206"/>
      <c r="AO6" s="206"/>
      <c r="AP6" s="206"/>
      <c r="AQ6" s="206"/>
      <c r="AR6" s="206"/>
      <c r="AS6" s="206"/>
      <c r="AT6" s="206"/>
      <c r="AU6" s="206"/>
      <c r="AV6" s="206"/>
    </row>
    <row r="7" spans="1:48" ht="15" customHeight="1" x14ac:dyDescent="0.25">
      <c r="A7" s="682" t="s">
        <v>819</v>
      </c>
      <c r="B7" s="206"/>
      <c r="C7" s="206"/>
      <c r="D7" s="206"/>
      <c r="E7" s="206"/>
      <c r="F7" s="206"/>
      <c r="G7" s="206"/>
      <c r="H7" s="206"/>
      <c r="I7" s="206"/>
      <c r="J7" s="206"/>
      <c r="K7" s="206"/>
      <c r="L7" s="206"/>
      <c r="M7" s="206"/>
      <c r="N7" s="206"/>
      <c r="O7" s="206"/>
      <c r="P7" s="206"/>
      <c r="Q7" s="206"/>
      <c r="R7" s="206"/>
      <c r="S7" s="206"/>
      <c r="T7" s="206"/>
      <c r="U7" s="206"/>
      <c r="V7" s="206"/>
      <c r="W7" s="206"/>
      <c r="X7" s="206"/>
      <c r="Y7" s="206"/>
      <c r="Z7" s="206"/>
      <c r="AA7" s="206"/>
      <c r="AB7" s="206"/>
      <c r="AC7" s="206"/>
      <c r="AD7" s="206"/>
      <c r="AE7" s="206"/>
      <c r="AF7" s="206"/>
      <c r="AG7" s="206"/>
      <c r="AH7" s="206"/>
      <c r="AI7" s="206"/>
      <c r="AJ7" s="206"/>
      <c r="AK7" s="206"/>
      <c r="AL7" s="206"/>
      <c r="AM7" s="206"/>
      <c r="AN7" s="206"/>
      <c r="AO7" s="206"/>
      <c r="AP7" s="206"/>
      <c r="AQ7" s="206"/>
      <c r="AR7" s="206"/>
      <c r="AS7" s="206"/>
      <c r="AT7" s="206"/>
      <c r="AU7" s="206"/>
      <c r="AV7" s="206"/>
    </row>
    <row r="8" spans="1:48" ht="15" customHeight="1" x14ac:dyDescent="0.2">
      <c r="A8" s="683" t="s">
        <v>21</v>
      </c>
      <c r="B8" s="206"/>
      <c r="C8" s="206"/>
      <c r="D8" s="206"/>
      <c r="E8" s="206"/>
      <c r="F8" s="206"/>
      <c r="G8" s="206"/>
      <c r="H8" s="206"/>
      <c r="I8" s="206"/>
      <c r="J8" s="206"/>
      <c r="K8" s="206"/>
      <c r="L8" s="206"/>
      <c r="M8" s="206"/>
      <c r="N8" s="206"/>
      <c r="O8" s="206"/>
      <c r="P8" s="206"/>
      <c r="Q8" s="206"/>
      <c r="R8" s="206"/>
      <c r="S8" s="206"/>
      <c r="T8" s="206"/>
      <c r="U8" s="206"/>
      <c r="V8" s="206"/>
      <c r="W8" s="206"/>
      <c r="X8" s="206"/>
      <c r="Y8" s="206"/>
      <c r="Z8" s="206"/>
      <c r="AA8" s="206"/>
      <c r="AB8" s="206"/>
      <c r="AC8" s="206"/>
      <c r="AD8" s="206"/>
      <c r="AE8" s="206"/>
      <c r="AF8" s="206"/>
      <c r="AG8" s="206"/>
      <c r="AH8" s="206"/>
      <c r="AI8" s="206"/>
      <c r="AJ8" s="206"/>
      <c r="AK8" s="206"/>
      <c r="AL8" s="206"/>
      <c r="AM8" s="206"/>
      <c r="AN8" s="206"/>
      <c r="AO8" s="206"/>
      <c r="AP8" s="206"/>
      <c r="AQ8" s="206"/>
      <c r="AR8" s="206"/>
      <c r="AS8" s="206"/>
      <c r="AT8" s="206"/>
      <c r="AU8" s="206"/>
      <c r="AV8" s="206"/>
    </row>
    <row r="9" spans="1:48" ht="15" customHeight="1" x14ac:dyDescent="0.2">
      <c r="A9" s="206"/>
      <c r="B9" s="847" t="s">
        <v>34</v>
      </c>
      <c r="C9" s="763">
        <v>2014</v>
      </c>
      <c r="D9" s="206"/>
      <c r="E9" s="206"/>
      <c r="F9" s="206"/>
      <c r="G9" s="206"/>
      <c r="H9" s="206"/>
      <c r="I9" s="206"/>
      <c r="J9" s="847"/>
      <c r="K9" s="206"/>
      <c r="L9" s="206"/>
      <c r="M9" s="206"/>
      <c r="N9" s="206"/>
      <c r="O9" s="206"/>
      <c r="P9" s="206"/>
      <c r="Q9" s="206"/>
      <c r="R9" s="206"/>
      <c r="S9" s="206"/>
      <c r="T9" s="206"/>
      <c r="U9" s="206"/>
      <c r="V9" s="206"/>
      <c r="W9" s="206"/>
      <c r="X9" s="847"/>
      <c r="Y9" s="206"/>
      <c r="Z9" s="206"/>
      <c r="AA9" s="206"/>
      <c r="AB9" s="206"/>
      <c r="AC9" s="206"/>
      <c r="AD9" s="206"/>
      <c r="AE9" s="206"/>
      <c r="AF9" s="206"/>
      <c r="AG9" s="206"/>
      <c r="AH9" s="206"/>
      <c r="AI9" s="206"/>
      <c r="AJ9" s="206"/>
      <c r="AK9" s="206"/>
      <c r="AL9" s="206"/>
      <c r="AM9" s="206"/>
      <c r="AN9" s="206"/>
      <c r="AO9" s="206"/>
      <c r="AP9" s="206"/>
      <c r="AQ9" s="206"/>
      <c r="AR9" s="206"/>
      <c r="AS9" s="206"/>
      <c r="AT9" s="206"/>
      <c r="AU9" s="206"/>
      <c r="AV9" s="206"/>
    </row>
    <row r="10" spans="1:48" ht="15" customHeight="1" x14ac:dyDescent="0.2">
      <c r="A10" s="206"/>
      <c r="B10" s="847"/>
      <c r="C10" s="206"/>
      <c r="D10" s="206"/>
      <c r="E10" s="206"/>
      <c r="F10" s="206"/>
      <c r="G10" s="206"/>
      <c r="H10" s="206"/>
      <c r="I10" s="206"/>
      <c r="J10" s="847"/>
      <c r="K10" s="206"/>
      <c r="L10" s="206"/>
      <c r="M10" s="206"/>
      <c r="N10" s="206"/>
      <c r="O10" s="206"/>
      <c r="P10" s="206"/>
      <c r="Q10" s="206"/>
      <c r="R10" s="206"/>
      <c r="S10" s="206"/>
      <c r="T10" s="206"/>
      <c r="U10" s="206"/>
      <c r="V10" s="206"/>
      <c r="W10" s="206"/>
      <c r="X10" s="847"/>
      <c r="Y10" s="206"/>
      <c r="Z10" s="206"/>
      <c r="AA10" s="206"/>
      <c r="AB10" s="206"/>
      <c r="AC10" s="206"/>
      <c r="AD10" s="206"/>
      <c r="AE10" s="206"/>
      <c r="AF10" s="206"/>
      <c r="AG10" s="206"/>
      <c r="AH10" s="206"/>
      <c r="AI10" s="206"/>
      <c r="AJ10" s="206"/>
      <c r="AK10" s="206"/>
      <c r="AL10" s="206"/>
      <c r="AM10" s="206"/>
      <c r="AN10" s="206"/>
      <c r="AO10" s="206"/>
      <c r="AP10" s="206"/>
      <c r="AQ10" s="206"/>
      <c r="AR10" s="206"/>
      <c r="AS10" s="206"/>
      <c r="AT10" s="206"/>
      <c r="AU10" s="206"/>
      <c r="AV10" s="206"/>
    </row>
    <row r="11" spans="1:48" ht="15" customHeight="1" x14ac:dyDescent="0.2">
      <c r="A11" s="208"/>
      <c r="B11" s="765" t="s">
        <v>289</v>
      </c>
      <c r="C11" s="689"/>
      <c r="D11" s="689"/>
      <c r="E11" s="689"/>
      <c r="F11" s="689"/>
      <c r="G11" s="689"/>
      <c r="H11" s="689"/>
      <c r="I11" s="689"/>
      <c r="J11" s="689"/>
      <c r="K11" s="689"/>
      <c r="L11" s="689"/>
      <c r="M11" s="689"/>
      <c r="N11" s="689"/>
      <c r="O11" s="765" t="s">
        <v>290</v>
      </c>
      <c r="P11" s="689"/>
      <c r="Q11" s="689"/>
      <c r="R11" s="689"/>
      <c r="S11" s="689"/>
      <c r="T11" s="689"/>
      <c r="U11" s="689"/>
      <c r="V11" s="689"/>
      <c r="W11" s="689"/>
      <c r="X11" s="689"/>
      <c r="Y11" s="689"/>
      <c r="Z11" s="690"/>
      <c r="AA11" s="689"/>
      <c r="AB11" s="766" t="s">
        <v>736</v>
      </c>
      <c r="AC11" s="767"/>
      <c r="AD11" s="767"/>
      <c r="AE11" s="767"/>
      <c r="AF11" s="767"/>
      <c r="AG11" s="767"/>
      <c r="AH11" s="690"/>
      <c r="AI11" s="765" t="s">
        <v>682</v>
      </c>
      <c r="AJ11" s="689"/>
      <c r="AK11" s="689"/>
      <c r="AL11" s="689"/>
      <c r="AM11" s="689"/>
      <c r="AN11" s="689"/>
      <c r="AO11" s="689"/>
      <c r="AP11" s="689"/>
      <c r="AQ11" s="689"/>
      <c r="AR11" s="689"/>
      <c r="AS11" s="689"/>
      <c r="AT11" s="690"/>
      <c r="AU11" s="1321"/>
      <c r="AV11" s="206"/>
    </row>
    <row r="12" spans="1:48" ht="18" customHeight="1" x14ac:dyDescent="0.2">
      <c r="A12" s="212"/>
      <c r="B12" s="769" t="s">
        <v>291</v>
      </c>
      <c r="C12" s="770"/>
      <c r="D12" s="770"/>
      <c r="E12" s="770"/>
      <c r="F12" s="770"/>
      <c r="G12" s="770"/>
      <c r="H12" s="770"/>
      <c r="I12" s="770"/>
      <c r="J12" s="770"/>
      <c r="K12" s="770"/>
      <c r="L12" s="770"/>
      <c r="M12" s="690"/>
      <c r="N12" s="1321"/>
      <c r="O12" s="769" t="s">
        <v>291</v>
      </c>
      <c r="P12" s="770"/>
      <c r="Q12" s="770"/>
      <c r="R12" s="770"/>
      <c r="S12" s="770"/>
      <c r="T12" s="770"/>
      <c r="U12" s="770"/>
      <c r="V12" s="770"/>
      <c r="W12" s="770"/>
      <c r="X12" s="770"/>
      <c r="Y12" s="770"/>
      <c r="Z12" s="690"/>
      <c r="AA12" s="770"/>
      <c r="AB12" s="771" t="s">
        <v>291</v>
      </c>
      <c r="AC12" s="772"/>
      <c r="AD12" s="772"/>
      <c r="AE12" s="772"/>
      <c r="AF12" s="772"/>
      <c r="AG12" s="772"/>
      <c r="AH12" s="690"/>
      <c r="AI12" s="769" t="s">
        <v>291</v>
      </c>
      <c r="AJ12" s="770"/>
      <c r="AK12" s="770"/>
      <c r="AL12" s="770"/>
      <c r="AM12" s="770"/>
      <c r="AN12" s="770"/>
      <c r="AO12" s="770"/>
      <c r="AP12" s="770"/>
      <c r="AQ12" s="770"/>
      <c r="AR12" s="770"/>
      <c r="AS12" s="770"/>
      <c r="AT12" s="690"/>
      <c r="AU12" s="1321"/>
      <c r="AV12" s="206"/>
    </row>
    <row r="13" spans="1:48" s="858" customFormat="1" ht="43.5" customHeight="1" x14ac:dyDescent="0.2">
      <c r="A13" s="217"/>
      <c r="B13" s="1761" t="s">
        <v>292</v>
      </c>
      <c r="C13" s="1762"/>
      <c r="D13" s="1762" t="s">
        <v>293</v>
      </c>
      <c r="E13" s="1762"/>
      <c r="F13" s="1762" t="s">
        <v>294</v>
      </c>
      <c r="G13" s="1762"/>
      <c r="H13" s="1762" t="s">
        <v>681</v>
      </c>
      <c r="I13" s="1762"/>
      <c r="J13" s="1762" t="s">
        <v>295</v>
      </c>
      <c r="K13" s="1762"/>
      <c r="L13" s="774" t="s">
        <v>735</v>
      </c>
      <c r="M13" s="1759" t="s">
        <v>42</v>
      </c>
      <c r="N13" s="1760"/>
      <c r="O13" s="1761" t="s">
        <v>292</v>
      </c>
      <c r="P13" s="1762"/>
      <c r="Q13" s="1762" t="s">
        <v>293</v>
      </c>
      <c r="R13" s="1762"/>
      <c r="S13" s="1762" t="s">
        <v>294</v>
      </c>
      <c r="T13" s="1762"/>
      <c r="U13" s="1762" t="s">
        <v>681</v>
      </c>
      <c r="V13" s="1762"/>
      <c r="W13" s="1762" t="s">
        <v>295</v>
      </c>
      <c r="X13" s="1762"/>
      <c r="Y13" s="774" t="s">
        <v>735</v>
      </c>
      <c r="Z13" s="1765" t="s">
        <v>42</v>
      </c>
      <c r="AA13" s="1766"/>
      <c r="AB13" s="776" t="s">
        <v>292</v>
      </c>
      <c r="AC13" s="777" t="s">
        <v>293</v>
      </c>
      <c r="AD13" s="777" t="s">
        <v>294</v>
      </c>
      <c r="AE13" s="777" t="s">
        <v>681</v>
      </c>
      <c r="AF13" s="693" t="s">
        <v>295</v>
      </c>
      <c r="AG13" s="778" t="s">
        <v>735</v>
      </c>
      <c r="AH13" s="1320" t="s">
        <v>42</v>
      </c>
      <c r="AI13" s="1761" t="s">
        <v>292</v>
      </c>
      <c r="AJ13" s="1762"/>
      <c r="AK13" s="1762" t="s">
        <v>293</v>
      </c>
      <c r="AL13" s="1762"/>
      <c r="AM13" s="1762" t="s">
        <v>294</v>
      </c>
      <c r="AN13" s="1762"/>
      <c r="AO13" s="1762" t="s">
        <v>681</v>
      </c>
      <c r="AP13" s="1762"/>
      <c r="AQ13" s="1762" t="s">
        <v>295</v>
      </c>
      <c r="AR13" s="1762"/>
      <c r="AS13" s="774" t="s">
        <v>735</v>
      </c>
      <c r="AT13" s="1763" t="s">
        <v>42</v>
      </c>
      <c r="AU13" s="1764"/>
      <c r="AV13" s="206"/>
    </row>
    <row r="14" spans="1:48" s="745" customFormat="1" ht="15" customHeight="1" x14ac:dyDescent="0.2">
      <c r="A14" s="779" t="s">
        <v>791</v>
      </c>
      <c r="B14" s="780">
        <v>470.45927903900002</v>
      </c>
      <c r="C14" s="781"/>
      <c r="D14" s="781">
        <v>342.15220293700003</v>
      </c>
      <c r="E14" s="781"/>
      <c r="F14" s="781">
        <v>6843.0440587499997</v>
      </c>
      <c r="G14" s="784"/>
      <c r="H14" s="784">
        <v>135.43524699599999</v>
      </c>
      <c r="I14" s="784"/>
      <c r="J14" s="782">
        <v>548.869158879</v>
      </c>
      <c r="K14" s="1313"/>
      <c r="L14" s="1322"/>
      <c r="M14" s="1313">
        <f>SUM(B14,D14,F14,H14,J14)</f>
        <v>8339.9599466010004</v>
      </c>
      <c r="N14" s="1327"/>
      <c r="O14" s="780">
        <v>142.563417891</v>
      </c>
      <c r="P14" s="781"/>
      <c r="Q14" s="781">
        <v>156.81975968</v>
      </c>
      <c r="R14" s="781"/>
      <c r="S14" s="781">
        <v>1218.9172229599999</v>
      </c>
      <c r="T14" s="784"/>
      <c r="U14" s="784">
        <v>35.640854472599997</v>
      </c>
      <c r="V14" s="784"/>
      <c r="W14" s="782">
        <v>99.794392523400006</v>
      </c>
      <c r="X14" s="1313"/>
      <c r="Y14" s="1322"/>
      <c r="Z14" s="1313">
        <f>SUM(W14,U14,S14,Q14,O14)</f>
        <v>1653.7356475269999</v>
      </c>
      <c r="AA14" s="1327"/>
      <c r="AB14" s="785"/>
      <c r="AC14" s="786"/>
      <c r="AD14" s="786"/>
      <c r="AE14" s="787"/>
      <c r="AF14" s="788"/>
      <c r="AG14" s="789"/>
      <c r="AH14" s="783"/>
      <c r="AI14" s="780">
        <v>613.02269692899995</v>
      </c>
      <c r="AJ14" s="781"/>
      <c r="AK14" s="781">
        <v>498.97196261699997</v>
      </c>
      <c r="AL14" s="781"/>
      <c r="AM14" s="781">
        <v>8061.9612817099996</v>
      </c>
      <c r="AN14" s="784"/>
      <c r="AO14" s="784">
        <v>171.07610146900001</v>
      </c>
      <c r="AP14" s="784"/>
      <c r="AQ14" s="782">
        <v>648.66355140200005</v>
      </c>
      <c r="AR14" s="1313"/>
      <c r="AS14" s="1322"/>
      <c r="AT14" s="1313">
        <f>SUM(AQ14,AO14,AM14,AK14,AI14)</f>
        <v>9993.6955941270007</v>
      </c>
      <c r="AU14" s="1327"/>
      <c r="AV14" s="206"/>
    </row>
    <row r="15" spans="1:48" ht="25.5" x14ac:dyDescent="0.2">
      <c r="A15" s="848" t="s">
        <v>789</v>
      </c>
      <c r="B15" s="790">
        <v>163.947930574</v>
      </c>
      <c r="C15" s="791"/>
      <c r="D15" s="791">
        <v>156.81975968</v>
      </c>
      <c r="E15" s="791"/>
      <c r="F15" s="791">
        <v>4127.2109479299997</v>
      </c>
      <c r="G15" s="794"/>
      <c r="H15" s="794">
        <v>28.512683578099999</v>
      </c>
      <c r="I15" s="794"/>
      <c r="J15" s="792">
        <v>320.767690254</v>
      </c>
      <c r="K15" s="1314"/>
      <c r="L15" s="1323"/>
      <c r="M15" s="1314">
        <f t="shared" ref="M15:M16" si="0">SUM(B15,D15,F15,H15,J15)</f>
        <v>4797.2590120160994</v>
      </c>
      <c r="N15" s="1328"/>
      <c r="O15" s="790">
        <v>57.025367156199998</v>
      </c>
      <c r="P15" s="791"/>
      <c r="Q15" s="791">
        <v>99.794392523400006</v>
      </c>
      <c r="R15" s="791"/>
      <c r="S15" s="791">
        <v>677.17623498</v>
      </c>
      <c r="T15" s="794"/>
      <c r="U15" s="794">
        <v>35.640854472599997</v>
      </c>
      <c r="V15" s="794"/>
      <c r="W15" s="792">
        <v>42.769025367200001</v>
      </c>
      <c r="X15" s="1314"/>
      <c r="Y15" s="1323"/>
      <c r="Z15" s="1314">
        <f t="shared" ref="Z15:Z16" si="1">SUM(W15,U15,S15,Q15,O15)</f>
        <v>912.40587449940006</v>
      </c>
      <c r="AA15" s="1328"/>
      <c r="AB15" s="795"/>
      <c r="AC15" s="796"/>
      <c r="AD15" s="796"/>
      <c r="AE15" s="797"/>
      <c r="AF15" s="798"/>
      <c r="AG15" s="799"/>
      <c r="AH15" s="793"/>
      <c r="AI15" s="790">
        <v>220.97329773000001</v>
      </c>
      <c r="AJ15" s="791"/>
      <c r="AK15" s="791">
        <v>2560.6141522029998</v>
      </c>
      <c r="AL15" s="791"/>
      <c r="AM15" s="791">
        <v>4804.3871829099999</v>
      </c>
      <c r="AN15" s="794"/>
      <c r="AO15" s="794">
        <v>64.153538050700007</v>
      </c>
      <c r="AP15" s="794"/>
      <c r="AQ15" s="792">
        <v>363.53671562099998</v>
      </c>
      <c r="AR15" s="1314"/>
      <c r="AS15" s="1323"/>
      <c r="AT15" s="1314">
        <f t="shared" ref="AT15:AT16" si="2">SUM(AQ15,AO15,AM15,AK15,AI15)</f>
        <v>8013.664886514699</v>
      </c>
      <c r="AU15" s="1328"/>
      <c r="AV15" s="206"/>
    </row>
    <row r="16" spans="1:48" ht="15" customHeight="1" x14ac:dyDescent="0.2">
      <c r="A16" s="715" t="s">
        <v>790</v>
      </c>
      <c r="B16" s="790">
        <v>306.51134846500003</v>
      </c>
      <c r="C16" s="791"/>
      <c r="D16" s="791">
        <v>185.33244325800001</v>
      </c>
      <c r="E16" s="791"/>
      <c r="F16" s="791">
        <v>2715.8331108100001</v>
      </c>
      <c r="G16" s="794"/>
      <c r="H16" s="794">
        <v>106.922563418</v>
      </c>
      <c r="I16" s="794"/>
      <c r="J16" s="792">
        <v>228.101468625</v>
      </c>
      <c r="K16" s="1314"/>
      <c r="L16" s="1323"/>
      <c r="M16" s="1314">
        <f t="shared" si="0"/>
        <v>3542.7009345760002</v>
      </c>
      <c r="N16" s="1328"/>
      <c r="O16" s="790">
        <v>85.5380507343</v>
      </c>
      <c r="P16" s="791"/>
      <c r="Q16" s="791">
        <v>57.025367156199998</v>
      </c>
      <c r="R16" s="791"/>
      <c r="S16" s="791">
        <v>541.74098798399996</v>
      </c>
      <c r="T16" s="794"/>
      <c r="U16" s="794">
        <v>0</v>
      </c>
      <c r="V16" s="794"/>
      <c r="W16" s="792">
        <v>57.025367156199998</v>
      </c>
      <c r="X16" s="1314"/>
      <c r="Y16" s="1323"/>
      <c r="Z16" s="1314">
        <f t="shared" si="1"/>
        <v>741.32977303069993</v>
      </c>
      <c r="AA16" s="1328"/>
      <c r="AB16" s="795"/>
      <c r="AC16" s="796"/>
      <c r="AD16" s="796"/>
      <c r="AE16" s="797"/>
      <c r="AF16" s="798"/>
      <c r="AG16" s="799"/>
      <c r="AH16" s="793"/>
      <c r="AI16" s="790">
        <v>392.04939919899999</v>
      </c>
      <c r="AJ16" s="791"/>
      <c r="AK16" s="791">
        <v>242.357810414</v>
      </c>
      <c r="AL16" s="791"/>
      <c r="AM16" s="791">
        <v>3257.5740987999998</v>
      </c>
      <c r="AN16" s="794"/>
      <c r="AO16" s="794">
        <v>106.922563418</v>
      </c>
      <c r="AP16" s="794"/>
      <c r="AQ16" s="792">
        <v>285.12683578100001</v>
      </c>
      <c r="AR16" s="1314"/>
      <c r="AS16" s="1323"/>
      <c r="AT16" s="1314">
        <f t="shared" si="2"/>
        <v>4284.0307076119998</v>
      </c>
      <c r="AU16" s="1328"/>
      <c r="AV16" s="206"/>
    </row>
    <row r="17" spans="1:48" ht="15" customHeight="1" x14ac:dyDescent="0.2">
      <c r="A17" s="849" t="s">
        <v>737</v>
      </c>
      <c r="B17" s="991"/>
      <c r="C17" s="992"/>
      <c r="D17" s="992"/>
      <c r="E17" s="993"/>
      <c r="F17" s="994"/>
      <c r="G17" s="1357"/>
      <c r="H17" s="1356"/>
      <c r="I17" s="992"/>
      <c r="J17" s="992"/>
      <c r="K17" s="995"/>
      <c r="L17" s="995"/>
      <c r="M17" s="1355"/>
      <c r="N17" s="1359"/>
      <c r="O17" s="996"/>
      <c r="P17" s="997"/>
      <c r="Q17" s="997"/>
      <c r="R17" s="998"/>
      <c r="S17" s="999"/>
      <c r="T17" s="1000"/>
      <c r="U17" s="998"/>
      <c r="V17" s="1358"/>
      <c r="W17" s="992"/>
      <c r="X17" s="992"/>
      <c r="Y17" s="995"/>
      <c r="Z17" s="1355"/>
      <c r="AA17" s="1359"/>
      <c r="AB17" s="1360"/>
      <c r="AC17" s="1361"/>
      <c r="AD17" s="1361"/>
      <c r="AE17" s="1362"/>
      <c r="AF17" s="1363"/>
      <c r="AG17" s="1364"/>
      <c r="AH17" s="1365"/>
      <c r="AI17" s="1366"/>
      <c r="AJ17" s="1357"/>
      <c r="AK17" s="1357"/>
      <c r="AL17" s="1357"/>
      <c r="AM17" s="1357"/>
      <c r="AN17" s="1367"/>
      <c r="AO17" s="1367"/>
      <c r="AP17" s="1367"/>
      <c r="AQ17" s="1368"/>
      <c r="AR17" s="1369"/>
      <c r="AS17" s="1370"/>
      <c r="AT17" s="1369"/>
      <c r="AU17" s="1359"/>
      <c r="AV17" s="206"/>
    </row>
    <row r="18" spans="1:48" ht="18" customHeight="1" x14ac:dyDescent="0.2">
      <c r="A18" s="850" t="s">
        <v>738</v>
      </c>
      <c r="B18" s="851"/>
      <c r="C18" s="851"/>
      <c r="D18" s="851"/>
      <c r="E18" s="851"/>
      <c r="F18" s="856"/>
      <c r="G18" s="1345"/>
      <c r="H18" s="851"/>
      <c r="I18" s="851"/>
      <c r="J18" s="851"/>
      <c r="K18" s="851"/>
      <c r="L18" s="851"/>
      <c r="M18" s="1346"/>
      <c r="N18" s="1345"/>
      <c r="O18" s="856"/>
      <c r="P18" s="856"/>
      <c r="Q18" s="856"/>
      <c r="R18" s="856"/>
      <c r="S18" s="856"/>
      <c r="T18" s="856"/>
      <c r="U18" s="1346"/>
      <c r="V18" s="851"/>
      <c r="W18" s="851"/>
      <c r="X18" s="851"/>
      <c r="Y18" s="851"/>
      <c r="Z18" s="851"/>
      <c r="AA18" s="1346"/>
      <c r="AB18" s="1345"/>
      <c r="AC18" s="206"/>
      <c r="AD18" s="206"/>
      <c r="AE18" s="206"/>
      <c r="AF18" s="206"/>
      <c r="AG18" s="206"/>
      <c r="AH18" s="206"/>
      <c r="AI18" s="206"/>
      <c r="AJ18" s="206"/>
      <c r="AK18" s="206"/>
      <c r="AL18" s="206"/>
      <c r="AM18" s="206"/>
      <c r="AN18" s="206"/>
      <c r="AO18" s="206"/>
      <c r="AP18" s="206"/>
      <c r="AQ18" s="206"/>
      <c r="AR18" s="206"/>
      <c r="AS18" s="206"/>
      <c r="AT18" s="206"/>
      <c r="AU18" s="206"/>
      <c r="AV18" s="206"/>
    </row>
    <row r="19" spans="1:48" ht="15" customHeight="1" x14ac:dyDescent="0.2">
      <c r="A19" s="852" t="s">
        <v>792</v>
      </c>
      <c r="B19" s="853"/>
      <c r="C19" s="853"/>
      <c r="D19" s="853"/>
      <c r="E19" s="853"/>
      <c r="F19" s="857"/>
      <c r="G19" s="853"/>
      <c r="H19" s="853"/>
      <c r="I19" s="853"/>
      <c r="J19" s="853"/>
      <c r="K19" s="853"/>
      <c r="L19" s="853"/>
      <c r="M19" s="857"/>
      <c r="N19" s="857"/>
      <c r="O19" s="857"/>
      <c r="P19" s="857"/>
      <c r="Q19" s="857"/>
      <c r="R19" s="857"/>
      <c r="S19" s="857"/>
      <c r="T19" s="857"/>
      <c r="U19" s="857"/>
      <c r="V19" s="857"/>
      <c r="W19" s="857"/>
      <c r="X19" s="857"/>
      <c r="Y19" s="857"/>
      <c r="Z19" s="857"/>
      <c r="AA19" s="857"/>
      <c r="AB19" s="857"/>
      <c r="AC19" s="857"/>
      <c r="AD19" s="857"/>
      <c r="AE19" s="857"/>
      <c r="AF19" s="857"/>
      <c r="AG19" s="857"/>
      <c r="AH19" s="857"/>
      <c r="AI19" s="857"/>
      <c r="AJ19" s="857"/>
      <c r="AK19" s="857"/>
      <c r="AL19" s="857"/>
      <c r="AM19" s="857"/>
      <c r="AN19" s="857"/>
      <c r="AO19" s="857"/>
      <c r="AP19" s="857"/>
      <c r="AQ19" s="857"/>
      <c r="AR19" s="857"/>
      <c r="AS19" s="857"/>
      <c r="AT19" s="857"/>
      <c r="AU19" s="857"/>
      <c r="AV19" s="206"/>
    </row>
    <row r="20" spans="1:48" ht="25.5" x14ac:dyDescent="0.2">
      <c r="A20" s="854" t="s">
        <v>739</v>
      </c>
      <c r="B20" s="790">
        <v>114.050734312</v>
      </c>
      <c r="C20" s="794"/>
      <c r="D20" s="791">
        <v>7.1281708945300002</v>
      </c>
      <c r="E20" s="791"/>
      <c r="F20" s="791">
        <v>242.357810414</v>
      </c>
      <c r="G20" s="794"/>
      <c r="H20" s="794">
        <v>0</v>
      </c>
      <c r="I20" s="794"/>
      <c r="J20" s="792">
        <v>28.512683578099999</v>
      </c>
      <c r="K20" s="1314"/>
      <c r="L20" s="1323"/>
      <c r="M20" s="1314">
        <f>SUM(B20,D20,F20,H20,J20)</f>
        <v>392.04939919863</v>
      </c>
      <c r="N20" s="1328"/>
      <c r="O20" s="790">
        <v>35.640854472599997</v>
      </c>
      <c r="P20" s="791"/>
      <c r="Q20" s="791">
        <v>7.1281708945300002</v>
      </c>
      <c r="R20" s="791"/>
      <c r="S20" s="791">
        <v>42.769025367200001</v>
      </c>
      <c r="T20" s="794"/>
      <c r="U20" s="794">
        <v>0</v>
      </c>
      <c r="V20" s="794"/>
      <c r="W20" s="794">
        <v>7.1281708945300002</v>
      </c>
      <c r="X20" s="1314"/>
      <c r="Y20" s="1323"/>
      <c r="Z20" s="1314">
        <f>SUM(O20,Q20,S20,W20,U20)</f>
        <v>92.666221628860001</v>
      </c>
      <c r="AA20" s="1328"/>
      <c r="AB20" s="795"/>
      <c r="AC20" s="796"/>
      <c r="AD20" s="796"/>
      <c r="AE20" s="797"/>
      <c r="AF20" s="798"/>
      <c r="AG20" s="799"/>
      <c r="AH20" s="793"/>
      <c r="AI20" s="790">
        <v>149.69158878499999</v>
      </c>
      <c r="AJ20" s="791"/>
      <c r="AK20" s="791">
        <v>14.2563417891</v>
      </c>
      <c r="AL20" s="791"/>
      <c r="AM20" s="791">
        <v>285.12683578100001</v>
      </c>
      <c r="AN20" s="794"/>
      <c r="AO20" s="794">
        <v>0</v>
      </c>
      <c r="AP20" s="794"/>
      <c r="AQ20" s="792">
        <v>35.640854472599997</v>
      </c>
      <c r="AR20" s="1314"/>
      <c r="AS20" s="1323"/>
      <c r="AT20" s="1314">
        <f>SUM(AI20,AQ20,AO20,AM20,AK20)</f>
        <v>484.71562082770004</v>
      </c>
      <c r="AU20" s="1328"/>
      <c r="AV20" s="206"/>
    </row>
    <row r="21" spans="1:48" ht="15" customHeight="1" x14ac:dyDescent="0.2">
      <c r="A21" s="814" t="s">
        <v>293</v>
      </c>
      <c r="B21" s="790">
        <v>14.2563417891</v>
      </c>
      <c r="C21" s="791"/>
      <c r="D21" s="791">
        <v>57.025367156199998</v>
      </c>
      <c r="E21" s="791"/>
      <c r="F21" s="791">
        <v>313.63951935900002</v>
      </c>
      <c r="G21" s="794"/>
      <c r="H21" s="794">
        <v>7.1281708945300002</v>
      </c>
      <c r="I21" s="794"/>
      <c r="J21" s="792">
        <v>57.025367156199998</v>
      </c>
      <c r="K21" s="1314"/>
      <c r="L21" s="1323"/>
      <c r="M21" s="1314">
        <f t="shared" ref="M21:M25" si="3">SUM(B21,D21,F21,H21,J21)</f>
        <v>449.07476635503002</v>
      </c>
      <c r="N21" s="1328"/>
      <c r="O21" s="790">
        <v>14.2563417891</v>
      </c>
      <c r="P21" s="791"/>
      <c r="Q21" s="791">
        <v>7.1281708945300002</v>
      </c>
      <c r="R21" s="791"/>
      <c r="S21" s="791">
        <v>57.025367156199998</v>
      </c>
      <c r="T21" s="794"/>
      <c r="U21" s="794">
        <v>0</v>
      </c>
      <c r="V21" s="794"/>
      <c r="W21" s="794">
        <v>7.1281708945300002</v>
      </c>
      <c r="X21" s="1314"/>
      <c r="Y21" s="1323"/>
      <c r="Z21" s="1314">
        <f t="shared" ref="Z21:Z25" si="4">SUM(O21,Q21,S21,W21,U21)</f>
        <v>85.538050734359999</v>
      </c>
      <c r="AA21" s="1328"/>
      <c r="AB21" s="795"/>
      <c r="AC21" s="796"/>
      <c r="AD21" s="796"/>
      <c r="AE21" s="797"/>
      <c r="AF21" s="798"/>
      <c r="AG21" s="799"/>
      <c r="AH21" s="793"/>
      <c r="AI21" s="790">
        <v>28.512683578099999</v>
      </c>
      <c r="AJ21" s="791"/>
      <c r="AK21" s="791">
        <v>64.153538050700007</v>
      </c>
      <c r="AL21" s="791"/>
      <c r="AM21" s="791">
        <v>370.66488651499998</v>
      </c>
      <c r="AN21" s="794"/>
      <c r="AO21" s="794">
        <v>7.1281708945300002</v>
      </c>
      <c r="AP21" s="794"/>
      <c r="AQ21" s="792">
        <v>64.153538050700007</v>
      </c>
      <c r="AR21" s="1314"/>
      <c r="AS21" s="1323"/>
      <c r="AT21" s="1314">
        <f t="shared" ref="AT21:AT25" si="5">SUM(AI21,AQ21,AO21,AM21,AK21)</f>
        <v>534.61281708903005</v>
      </c>
      <c r="AU21" s="1328"/>
      <c r="AV21" s="206"/>
    </row>
    <row r="22" spans="1:48" ht="15" customHeight="1" x14ac:dyDescent="0.2">
      <c r="A22" s="814" t="s">
        <v>294</v>
      </c>
      <c r="B22" s="790">
        <v>121.178905207</v>
      </c>
      <c r="C22" s="791"/>
      <c r="D22" s="791">
        <v>71.281708945299997</v>
      </c>
      <c r="E22" s="791"/>
      <c r="F22" s="791">
        <v>1831.9399198900001</v>
      </c>
      <c r="G22" s="794"/>
      <c r="H22" s="794">
        <v>71.281708945299997</v>
      </c>
      <c r="I22" s="794"/>
      <c r="J22" s="792">
        <v>106.922563418</v>
      </c>
      <c r="K22" s="1314"/>
      <c r="L22" s="1323"/>
      <c r="M22" s="1314">
        <f t="shared" si="3"/>
        <v>2202.6048064056004</v>
      </c>
      <c r="N22" s="1328"/>
      <c r="O22" s="790">
        <v>28.512683578099999</v>
      </c>
      <c r="P22" s="791"/>
      <c r="Q22" s="791">
        <v>35.640854472599997</v>
      </c>
      <c r="R22" s="791"/>
      <c r="S22" s="791">
        <v>335.02403204299998</v>
      </c>
      <c r="T22" s="794"/>
      <c r="U22" s="794">
        <v>0</v>
      </c>
      <c r="V22" s="794"/>
      <c r="W22" s="794">
        <v>28.512683578099999</v>
      </c>
      <c r="X22" s="1314"/>
      <c r="Y22" s="1323"/>
      <c r="Z22" s="1314">
        <f t="shared" si="4"/>
        <v>427.69025367179995</v>
      </c>
      <c r="AA22" s="1328"/>
      <c r="AB22" s="795"/>
      <c r="AC22" s="796"/>
      <c r="AD22" s="796"/>
      <c r="AE22" s="797"/>
      <c r="AF22" s="798"/>
      <c r="AG22" s="799"/>
      <c r="AH22" s="793"/>
      <c r="AI22" s="790">
        <v>149.69158878499999</v>
      </c>
      <c r="AJ22" s="791"/>
      <c r="AK22" s="791">
        <v>106.922563418</v>
      </c>
      <c r="AL22" s="791"/>
      <c r="AM22" s="791">
        <v>2166.9639519399998</v>
      </c>
      <c r="AN22" s="794"/>
      <c r="AO22" s="794">
        <v>71.281708945299997</v>
      </c>
      <c r="AP22" s="794"/>
      <c r="AQ22" s="792">
        <v>135.43524699599999</v>
      </c>
      <c r="AR22" s="1314"/>
      <c r="AS22" s="1323"/>
      <c r="AT22" s="1314">
        <f t="shared" si="5"/>
        <v>2630.2950600843001</v>
      </c>
      <c r="AU22" s="1328"/>
      <c r="AV22" s="206"/>
    </row>
    <row r="23" spans="1:48" ht="15" customHeight="1" x14ac:dyDescent="0.2">
      <c r="A23" s="814" t="s">
        <v>681</v>
      </c>
      <c r="B23" s="790">
        <v>0</v>
      </c>
      <c r="C23" s="791"/>
      <c r="D23" s="791">
        <v>7.1281708945300002</v>
      </c>
      <c r="E23" s="791"/>
      <c r="F23" s="791">
        <v>42.769025367200001</v>
      </c>
      <c r="G23" s="794"/>
      <c r="H23" s="794">
        <v>14.2563417891</v>
      </c>
      <c r="I23" s="794"/>
      <c r="J23" s="792">
        <v>0</v>
      </c>
      <c r="K23" s="1314"/>
      <c r="L23" s="1323"/>
      <c r="M23" s="1314">
        <f t="shared" si="3"/>
        <v>64.153538050830008</v>
      </c>
      <c r="N23" s="1328"/>
      <c r="O23" s="790">
        <v>0</v>
      </c>
      <c r="P23" s="791"/>
      <c r="Q23" s="791">
        <v>0</v>
      </c>
      <c r="R23" s="791"/>
      <c r="S23" s="791">
        <v>28.512683578099999</v>
      </c>
      <c r="T23" s="794"/>
      <c r="U23" s="794">
        <v>0</v>
      </c>
      <c r="V23" s="794"/>
      <c r="W23" s="794">
        <v>7.1281708945300002</v>
      </c>
      <c r="X23" s="1314"/>
      <c r="Y23" s="1323"/>
      <c r="Z23" s="1314">
        <f t="shared" si="4"/>
        <v>35.640854472629997</v>
      </c>
      <c r="AA23" s="1328"/>
      <c r="AB23" s="795"/>
      <c r="AC23" s="796"/>
      <c r="AD23" s="796"/>
      <c r="AE23" s="797"/>
      <c r="AF23" s="798"/>
      <c r="AG23" s="799"/>
      <c r="AH23" s="793"/>
      <c r="AI23" s="790">
        <v>0</v>
      </c>
      <c r="AJ23" s="791"/>
      <c r="AK23" s="791">
        <v>7.1281708945300002</v>
      </c>
      <c r="AL23" s="791"/>
      <c r="AM23" s="791">
        <v>71.281708945299997</v>
      </c>
      <c r="AN23" s="794"/>
      <c r="AO23" s="794">
        <v>14.2563417891</v>
      </c>
      <c r="AP23" s="794"/>
      <c r="AQ23" s="792">
        <v>7.1281708945300002</v>
      </c>
      <c r="AR23" s="1314"/>
      <c r="AS23" s="1323"/>
      <c r="AT23" s="1314">
        <f t="shared" si="5"/>
        <v>99.794392523460004</v>
      </c>
      <c r="AU23" s="1328"/>
      <c r="AV23" s="206"/>
    </row>
    <row r="24" spans="1:48" ht="15" customHeight="1" x14ac:dyDescent="0.2">
      <c r="A24" s="814" t="s">
        <v>295</v>
      </c>
      <c r="B24" s="790">
        <v>14.2563417891</v>
      </c>
      <c r="C24" s="791"/>
      <c r="D24" s="791">
        <v>21.384512683600001</v>
      </c>
      <c r="E24" s="791"/>
      <c r="F24" s="791">
        <v>106.922563418</v>
      </c>
      <c r="G24" s="794"/>
      <c r="H24" s="794">
        <v>0</v>
      </c>
      <c r="I24" s="794"/>
      <c r="J24" s="792">
        <v>35.640854472599997</v>
      </c>
      <c r="K24" s="1314"/>
      <c r="L24" s="1323"/>
      <c r="M24" s="1314">
        <f t="shared" si="3"/>
        <v>178.20427236329999</v>
      </c>
      <c r="N24" s="1328"/>
      <c r="O24" s="790">
        <v>0</v>
      </c>
      <c r="P24" s="791"/>
      <c r="Q24" s="791">
        <v>7.1281708945300002</v>
      </c>
      <c r="R24" s="791"/>
      <c r="S24" s="791">
        <v>49.897196261700003</v>
      </c>
      <c r="T24" s="794"/>
      <c r="U24" s="794">
        <v>0</v>
      </c>
      <c r="V24" s="794"/>
      <c r="W24" s="794">
        <v>0</v>
      </c>
      <c r="X24" s="1314"/>
      <c r="Y24" s="1323"/>
      <c r="Z24" s="1314">
        <f t="shared" si="4"/>
        <v>57.025367156230004</v>
      </c>
      <c r="AA24" s="1328"/>
      <c r="AB24" s="795"/>
      <c r="AC24" s="796"/>
      <c r="AD24" s="796"/>
      <c r="AE24" s="797"/>
      <c r="AF24" s="798"/>
      <c r="AG24" s="799"/>
      <c r="AH24" s="793"/>
      <c r="AI24" s="790">
        <v>14.2563417891</v>
      </c>
      <c r="AJ24" s="791"/>
      <c r="AK24" s="791">
        <v>28.512683578099999</v>
      </c>
      <c r="AL24" s="791"/>
      <c r="AM24" s="791">
        <v>156.81975968</v>
      </c>
      <c r="AN24" s="794"/>
      <c r="AO24" s="794">
        <v>0</v>
      </c>
      <c r="AP24" s="794"/>
      <c r="AQ24" s="792">
        <v>35.640854472599997</v>
      </c>
      <c r="AR24" s="1314"/>
      <c r="AS24" s="1323"/>
      <c r="AT24" s="1314">
        <f t="shared" si="5"/>
        <v>235.2296395198</v>
      </c>
      <c r="AU24" s="1328"/>
      <c r="AV24" s="206"/>
    </row>
    <row r="25" spans="1:48" ht="15" customHeight="1" x14ac:dyDescent="0.2">
      <c r="A25" s="855" t="s">
        <v>735</v>
      </c>
      <c r="B25" s="1347">
        <v>7.1281708945300002</v>
      </c>
      <c r="C25" s="1348"/>
      <c r="D25" s="1348">
        <v>0</v>
      </c>
      <c r="E25" s="1348"/>
      <c r="F25" s="1348">
        <f>21.3845126836+7.12817089453</f>
        <v>28.512683578130002</v>
      </c>
      <c r="G25" s="1349"/>
      <c r="H25" s="1349">
        <v>0</v>
      </c>
      <c r="I25" s="1349"/>
      <c r="J25" s="1350">
        <v>0</v>
      </c>
      <c r="K25" s="1351"/>
      <c r="L25" s="1326"/>
      <c r="M25" s="1351">
        <f t="shared" si="3"/>
        <v>35.640854472660003</v>
      </c>
      <c r="N25" s="1352"/>
      <c r="O25" s="1347">
        <v>0</v>
      </c>
      <c r="P25" s="1348"/>
      <c r="Q25" s="1348">
        <v>0</v>
      </c>
      <c r="R25" s="1348"/>
      <c r="S25" s="1348">
        <v>7.1281708945300002</v>
      </c>
      <c r="T25" s="1349"/>
      <c r="U25" s="1349">
        <v>0</v>
      </c>
      <c r="V25" s="1349"/>
      <c r="W25" s="1349">
        <v>0</v>
      </c>
      <c r="X25" s="1351"/>
      <c r="Y25" s="1326"/>
      <c r="Z25" s="1351">
        <f t="shared" si="4"/>
        <v>7.1281708945300002</v>
      </c>
      <c r="AA25" s="1352"/>
      <c r="AB25" s="1353"/>
      <c r="AC25" s="828"/>
      <c r="AD25" s="828"/>
      <c r="AE25" s="831"/>
      <c r="AF25" s="829"/>
      <c r="AG25" s="832"/>
      <c r="AH25" s="1354"/>
      <c r="AI25" s="1347">
        <v>7.1281708945300002</v>
      </c>
      <c r="AJ25" s="1348"/>
      <c r="AK25" s="1348">
        <v>0</v>
      </c>
      <c r="AL25" s="1348"/>
      <c r="AM25" s="1348">
        <f>28.5126835781+7.12817089453</f>
        <v>35.640854472629997</v>
      </c>
      <c r="AN25" s="1349"/>
      <c r="AO25" s="1349">
        <v>0</v>
      </c>
      <c r="AP25" s="1349"/>
      <c r="AQ25" s="1350">
        <v>0</v>
      </c>
      <c r="AR25" s="1351"/>
      <c r="AS25" s="1326"/>
      <c r="AT25" s="1351">
        <f t="shared" si="5"/>
        <v>42.769025367159998</v>
      </c>
      <c r="AU25" s="1352"/>
      <c r="AV25" s="206"/>
    </row>
    <row r="26" spans="1:48" ht="15" customHeight="1" x14ac:dyDescent="0.2">
      <c r="A26" s="750"/>
      <c r="B26" s="206"/>
      <c r="C26" s="206"/>
      <c r="D26" s="206"/>
      <c r="E26" s="206"/>
      <c r="F26" s="206"/>
      <c r="G26" s="206"/>
      <c r="H26" s="206"/>
      <c r="I26" s="206"/>
      <c r="J26" s="206"/>
      <c r="K26" s="206"/>
      <c r="L26" s="206"/>
      <c r="M26" s="206"/>
      <c r="N26" s="206"/>
      <c r="O26" s="206"/>
      <c r="P26" s="206"/>
      <c r="Q26" s="206"/>
      <c r="R26" s="206"/>
      <c r="S26" s="206"/>
      <c r="T26" s="206"/>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row>
    <row r="27" spans="1:48" ht="15" customHeight="1" x14ac:dyDescent="0.2">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row>
    <row r="28" spans="1:48" ht="15" customHeight="1" x14ac:dyDescent="0.2">
      <c r="A28" s="750" t="s">
        <v>32</v>
      </c>
      <c r="B28" s="752" t="s">
        <v>1065</v>
      </c>
      <c r="C28" s="752"/>
      <c r="D28" s="752"/>
      <c r="E28" s="752"/>
      <c r="F28" s="752"/>
      <c r="G28" s="752"/>
      <c r="H28" s="752"/>
      <c r="I28" s="752"/>
      <c r="J28" s="752"/>
      <c r="K28" s="752"/>
      <c r="L28" s="752"/>
      <c r="M28" s="752"/>
      <c r="N28" s="752"/>
      <c r="O28" s="752"/>
      <c r="P28" s="752"/>
      <c r="Q28" s="752"/>
      <c r="R28" s="752"/>
      <c r="S28" s="752"/>
      <c r="T28" s="752"/>
      <c r="U28" s="752"/>
      <c r="V28" s="752"/>
      <c r="W28" s="752"/>
      <c r="X28" s="752"/>
      <c r="Y28" s="752"/>
      <c r="Z28" s="752"/>
      <c r="AA28" s="752"/>
      <c r="AB28" s="752"/>
      <c r="AC28" s="752"/>
      <c r="AD28" s="752"/>
      <c r="AE28" s="752"/>
      <c r="AF28" s="752"/>
      <c r="AG28" s="752"/>
      <c r="AH28" s="752"/>
      <c r="AI28" s="752"/>
      <c r="AJ28" s="752"/>
      <c r="AK28" s="752"/>
      <c r="AL28" s="752"/>
      <c r="AM28" s="752"/>
      <c r="AN28" s="752"/>
      <c r="AO28" s="752"/>
      <c r="AP28" s="752"/>
      <c r="AQ28" s="752"/>
      <c r="AR28" s="752"/>
      <c r="AS28" s="752"/>
      <c r="AT28" s="752"/>
      <c r="AU28" s="752"/>
      <c r="AV28" s="206"/>
    </row>
    <row r="29" spans="1:48" ht="15" customHeight="1" x14ac:dyDescent="0.2">
      <c r="A29" s="206"/>
      <c r="B29" s="754"/>
      <c r="C29" s="754"/>
      <c r="D29" s="754"/>
      <c r="E29" s="754"/>
      <c r="F29" s="754"/>
      <c r="G29" s="754"/>
      <c r="H29" s="754"/>
      <c r="I29" s="754"/>
      <c r="J29" s="754"/>
      <c r="K29" s="754"/>
      <c r="L29" s="754"/>
      <c r="M29" s="754"/>
      <c r="N29" s="754"/>
      <c r="O29" s="754"/>
      <c r="P29" s="754"/>
      <c r="Q29" s="754"/>
      <c r="R29" s="754"/>
      <c r="S29" s="754"/>
      <c r="T29" s="754"/>
      <c r="U29" s="754"/>
      <c r="V29" s="754"/>
      <c r="W29" s="754"/>
      <c r="X29" s="754"/>
      <c r="Y29" s="754"/>
      <c r="Z29" s="754"/>
      <c r="AA29" s="754"/>
      <c r="AB29" s="754"/>
      <c r="AC29" s="754"/>
      <c r="AD29" s="754"/>
      <c r="AE29" s="754"/>
      <c r="AF29" s="754"/>
      <c r="AG29" s="754"/>
      <c r="AH29" s="754"/>
      <c r="AI29" s="754"/>
      <c r="AJ29" s="754"/>
      <c r="AK29" s="754"/>
      <c r="AL29" s="754"/>
      <c r="AM29" s="754"/>
      <c r="AN29" s="754"/>
      <c r="AO29" s="754"/>
      <c r="AP29" s="754"/>
      <c r="AQ29" s="754"/>
      <c r="AR29" s="754"/>
      <c r="AS29" s="754"/>
      <c r="AT29" s="754"/>
      <c r="AU29" s="754"/>
      <c r="AV29" s="206"/>
    </row>
    <row r="30" spans="1:48" ht="15" customHeight="1" x14ac:dyDescent="0.2">
      <c r="A30" s="206"/>
      <c r="B30" s="754"/>
      <c r="C30" s="754"/>
      <c r="D30" s="754"/>
      <c r="E30" s="754"/>
      <c r="F30" s="754"/>
      <c r="G30" s="754"/>
      <c r="H30" s="754"/>
      <c r="I30" s="754"/>
      <c r="J30" s="754"/>
      <c r="K30" s="754"/>
      <c r="L30" s="754"/>
      <c r="M30" s="754"/>
      <c r="N30" s="754"/>
      <c r="O30" s="754"/>
      <c r="P30" s="754"/>
      <c r="Q30" s="754"/>
      <c r="R30" s="754"/>
      <c r="S30" s="754"/>
      <c r="T30" s="754"/>
      <c r="U30" s="754"/>
      <c r="V30" s="754"/>
      <c r="W30" s="754"/>
      <c r="X30" s="754"/>
      <c r="Y30" s="754"/>
      <c r="Z30" s="754"/>
      <c r="AA30" s="754"/>
      <c r="AB30" s="754"/>
      <c r="AC30" s="754"/>
      <c r="AD30" s="754"/>
      <c r="AE30" s="754"/>
      <c r="AF30" s="754"/>
      <c r="AG30" s="754"/>
      <c r="AH30" s="754"/>
      <c r="AI30" s="754"/>
      <c r="AJ30" s="754"/>
      <c r="AK30" s="754"/>
      <c r="AL30" s="754"/>
      <c r="AM30" s="754"/>
      <c r="AN30" s="754"/>
      <c r="AO30" s="754"/>
      <c r="AP30" s="754"/>
      <c r="AQ30" s="754"/>
      <c r="AR30" s="754"/>
      <c r="AS30" s="754"/>
      <c r="AT30" s="754"/>
      <c r="AU30" s="754"/>
      <c r="AV30" s="206"/>
    </row>
    <row r="31" spans="1:48" ht="15" customHeight="1" x14ac:dyDescent="0.2">
      <c r="A31" s="206"/>
      <c r="B31" s="754"/>
      <c r="C31" s="754"/>
      <c r="D31" s="754"/>
      <c r="E31" s="754"/>
      <c r="F31" s="754"/>
      <c r="G31" s="754"/>
      <c r="H31" s="754"/>
      <c r="I31" s="754"/>
      <c r="J31" s="754"/>
      <c r="K31" s="754"/>
      <c r="L31" s="754"/>
      <c r="M31" s="754"/>
      <c r="N31" s="754"/>
      <c r="O31" s="754"/>
      <c r="P31" s="754"/>
      <c r="Q31" s="754"/>
      <c r="R31" s="754"/>
      <c r="S31" s="754"/>
      <c r="T31" s="754"/>
      <c r="U31" s="754"/>
      <c r="V31" s="754"/>
      <c r="W31" s="754"/>
      <c r="X31" s="754"/>
      <c r="Y31" s="754"/>
      <c r="Z31" s="754"/>
      <c r="AA31" s="754"/>
      <c r="AB31" s="754"/>
      <c r="AC31" s="754"/>
      <c r="AD31" s="754"/>
      <c r="AE31" s="754"/>
      <c r="AF31" s="754"/>
      <c r="AG31" s="754"/>
      <c r="AH31" s="754"/>
      <c r="AI31" s="754"/>
      <c r="AJ31" s="754"/>
      <c r="AK31" s="754"/>
      <c r="AL31" s="754"/>
      <c r="AM31" s="754"/>
      <c r="AN31" s="754"/>
      <c r="AO31" s="754"/>
      <c r="AP31" s="754"/>
      <c r="AQ31" s="754"/>
      <c r="AR31" s="754"/>
      <c r="AS31" s="754"/>
      <c r="AT31" s="754"/>
      <c r="AU31" s="754"/>
      <c r="AV31" s="206"/>
    </row>
    <row r="32" spans="1:48" ht="15" customHeight="1" x14ac:dyDescent="0.2">
      <c r="A32" s="206"/>
      <c r="B32" s="206"/>
      <c r="C32" s="206"/>
      <c r="D32" s="206"/>
      <c r="E32" s="206"/>
      <c r="F32" s="206"/>
      <c r="G32" s="206"/>
      <c r="H32" s="206"/>
      <c r="I32" s="206"/>
      <c r="J32" s="206"/>
      <c r="K32" s="206"/>
      <c r="L32" s="206"/>
      <c r="M32" s="206"/>
      <c r="N32" s="206"/>
      <c r="O32" s="206"/>
      <c r="P32" s="206"/>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row>
    <row r="33" spans="1:48" ht="15" customHeight="1" x14ac:dyDescent="0.2">
      <c r="A33" s="750" t="s">
        <v>33</v>
      </c>
      <c r="B33" s="752"/>
      <c r="C33" s="752"/>
      <c r="D33" s="752"/>
      <c r="E33" s="752"/>
      <c r="F33" s="752"/>
      <c r="G33" s="752"/>
      <c r="H33" s="752"/>
      <c r="I33" s="752"/>
      <c r="J33" s="752"/>
      <c r="K33" s="752"/>
      <c r="L33" s="752"/>
      <c r="M33" s="752"/>
      <c r="N33" s="752"/>
      <c r="O33" s="752"/>
      <c r="P33" s="752"/>
      <c r="Q33" s="752"/>
      <c r="R33" s="752"/>
      <c r="S33" s="752"/>
      <c r="T33" s="752"/>
      <c r="U33" s="752"/>
      <c r="V33" s="752"/>
      <c r="W33" s="752"/>
      <c r="X33" s="752"/>
      <c r="Y33" s="752"/>
      <c r="Z33" s="752"/>
      <c r="AA33" s="752"/>
      <c r="AB33" s="752"/>
      <c r="AC33" s="752"/>
      <c r="AD33" s="752"/>
      <c r="AE33" s="752"/>
      <c r="AF33" s="752"/>
      <c r="AG33" s="752"/>
      <c r="AH33" s="752"/>
      <c r="AI33" s="752"/>
      <c r="AJ33" s="752"/>
      <c r="AK33" s="752"/>
      <c r="AL33" s="752"/>
      <c r="AM33" s="752"/>
      <c r="AN33" s="752"/>
      <c r="AO33" s="752"/>
      <c r="AP33" s="752"/>
      <c r="AQ33" s="752"/>
      <c r="AR33" s="752"/>
      <c r="AS33" s="752"/>
      <c r="AT33" s="752"/>
      <c r="AU33" s="752"/>
      <c r="AV33" s="206"/>
    </row>
    <row r="34" spans="1:48" ht="15" customHeight="1" x14ac:dyDescent="0.2">
      <c r="A34" s="750"/>
      <c r="B34" s="754"/>
      <c r="C34" s="754"/>
      <c r="D34" s="754"/>
      <c r="E34" s="754"/>
      <c r="F34" s="754"/>
      <c r="G34" s="754"/>
      <c r="H34" s="754"/>
      <c r="I34" s="754"/>
      <c r="J34" s="754"/>
      <c r="K34" s="754"/>
      <c r="L34" s="754"/>
      <c r="M34" s="754"/>
      <c r="N34" s="754"/>
      <c r="O34" s="754"/>
      <c r="P34" s="754"/>
      <c r="Q34" s="754"/>
      <c r="R34" s="754"/>
      <c r="S34" s="754"/>
      <c r="T34" s="754"/>
      <c r="U34" s="754"/>
      <c r="V34" s="754"/>
      <c r="W34" s="754"/>
      <c r="X34" s="754"/>
      <c r="Y34" s="754"/>
      <c r="Z34" s="754"/>
      <c r="AA34" s="754"/>
      <c r="AB34" s="754"/>
      <c r="AC34" s="754"/>
      <c r="AD34" s="754"/>
      <c r="AE34" s="754"/>
      <c r="AF34" s="754"/>
      <c r="AG34" s="754"/>
      <c r="AH34" s="754"/>
      <c r="AI34" s="754"/>
      <c r="AJ34" s="754"/>
      <c r="AK34" s="754"/>
      <c r="AL34" s="754"/>
      <c r="AM34" s="754"/>
      <c r="AN34" s="754"/>
      <c r="AO34" s="754"/>
      <c r="AP34" s="754"/>
      <c r="AQ34" s="754"/>
      <c r="AR34" s="754"/>
      <c r="AS34" s="754"/>
      <c r="AT34" s="754"/>
      <c r="AU34" s="754"/>
      <c r="AV34" s="206"/>
    </row>
    <row r="35" spans="1:48" ht="15" customHeight="1" x14ac:dyDescent="0.2">
      <c r="A35" s="206"/>
      <c r="B35" s="754"/>
      <c r="C35" s="754"/>
      <c r="D35" s="754"/>
      <c r="E35" s="754"/>
      <c r="F35" s="754"/>
      <c r="G35" s="754"/>
      <c r="H35" s="754"/>
      <c r="I35" s="754"/>
      <c r="J35" s="754"/>
      <c r="K35" s="754"/>
      <c r="L35" s="754"/>
      <c r="M35" s="754"/>
      <c r="N35" s="754"/>
      <c r="O35" s="754"/>
      <c r="P35" s="754"/>
      <c r="Q35" s="754"/>
      <c r="R35" s="754"/>
      <c r="S35" s="754"/>
      <c r="T35" s="754"/>
      <c r="U35" s="754"/>
      <c r="V35" s="754"/>
      <c r="W35" s="754"/>
      <c r="X35" s="754"/>
      <c r="Y35" s="754"/>
      <c r="Z35" s="754"/>
      <c r="AA35" s="754"/>
      <c r="AB35" s="754"/>
      <c r="AC35" s="754"/>
      <c r="AD35" s="754"/>
      <c r="AE35" s="754"/>
      <c r="AF35" s="754"/>
      <c r="AG35" s="754"/>
      <c r="AH35" s="754"/>
      <c r="AI35" s="754"/>
      <c r="AJ35" s="754"/>
      <c r="AK35" s="754"/>
      <c r="AL35" s="754"/>
      <c r="AM35" s="754"/>
      <c r="AN35" s="754"/>
      <c r="AO35" s="754"/>
      <c r="AP35" s="754"/>
      <c r="AQ35" s="754"/>
      <c r="AR35" s="754"/>
      <c r="AS35" s="754"/>
      <c r="AT35" s="754"/>
      <c r="AU35" s="754"/>
      <c r="AV35" s="206"/>
    </row>
    <row r="36" spans="1:48" ht="15" customHeight="1" x14ac:dyDescent="0.2">
      <c r="A36" s="206"/>
      <c r="B36" s="754"/>
      <c r="C36" s="754"/>
      <c r="D36" s="754"/>
      <c r="E36" s="754"/>
      <c r="F36" s="754"/>
      <c r="G36" s="754"/>
      <c r="H36" s="754"/>
      <c r="I36" s="754"/>
      <c r="J36" s="754"/>
      <c r="K36" s="754"/>
      <c r="L36" s="754"/>
      <c r="M36" s="754"/>
      <c r="N36" s="754"/>
      <c r="O36" s="754"/>
      <c r="P36" s="754"/>
      <c r="Q36" s="754"/>
      <c r="R36" s="754"/>
      <c r="S36" s="754"/>
      <c r="T36" s="754"/>
      <c r="U36" s="754"/>
      <c r="V36" s="754"/>
      <c r="W36" s="754"/>
      <c r="X36" s="754"/>
      <c r="Y36" s="754"/>
      <c r="Z36" s="754"/>
      <c r="AA36" s="754"/>
      <c r="AB36" s="754"/>
      <c r="AC36" s="754"/>
      <c r="AD36" s="754"/>
      <c r="AE36" s="754"/>
      <c r="AF36" s="754"/>
      <c r="AG36" s="754"/>
      <c r="AH36" s="754"/>
      <c r="AI36" s="754"/>
      <c r="AJ36" s="754"/>
      <c r="AK36" s="754"/>
      <c r="AL36" s="754"/>
      <c r="AM36" s="754"/>
      <c r="AN36" s="754"/>
      <c r="AO36" s="754"/>
      <c r="AP36" s="754"/>
      <c r="AQ36" s="754"/>
      <c r="AR36" s="754"/>
      <c r="AS36" s="754"/>
      <c r="AT36" s="754"/>
      <c r="AU36" s="754"/>
      <c r="AV36" s="206"/>
    </row>
    <row r="37" spans="1:48" ht="15" customHeight="1" x14ac:dyDescent="0.2">
      <c r="A37" s="206"/>
      <c r="B37" s="206"/>
      <c r="C37" s="206"/>
      <c r="D37" s="206"/>
      <c r="E37" s="206"/>
      <c r="F37" s="206"/>
      <c r="G37" s="206"/>
      <c r="H37" s="206"/>
      <c r="I37" s="206"/>
      <c r="J37" s="206"/>
      <c r="K37" s="206"/>
      <c r="L37" s="206"/>
      <c r="M37" s="206"/>
      <c r="N37" s="206"/>
      <c r="O37" s="206"/>
      <c r="P37" s="206"/>
      <c r="Q37" s="206"/>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row>
    <row r="38" spans="1:48" ht="12.75" x14ac:dyDescent="0.2">
      <c r="A38" s="750" t="s">
        <v>670</v>
      </c>
      <c r="B38" s="206"/>
      <c r="C38" s="206"/>
      <c r="D38" s="206"/>
      <c r="E38" s="206"/>
      <c r="F38" s="206"/>
      <c r="G38" s="206"/>
      <c r="H38" s="206"/>
      <c r="I38" s="206"/>
      <c r="J38" s="206"/>
      <c r="K38" s="206"/>
      <c r="L38" s="206"/>
      <c r="M38" s="206"/>
      <c r="N38" s="206"/>
      <c r="O38" s="206"/>
      <c r="P38" s="206"/>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row>
    <row r="39" spans="1:48" ht="12.75" x14ac:dyDescent="0.2">
      <c r="A39" s="755"/>
      <c r="B39" s="548"/>
      <c r="C39" s="206"/>
      <c r="D39" s="206"/>
      <c r="E39" s="206"/>
      <c r="F39" s="206"/>
      <c r="G39" s="206"/>
      <c r="H39" s="206"/>
      <c r="I39" s="206"/>
      <c r="J39" s="206"/>
      <c r="K39" s="206"/>
      <c r="L39" s="206"/>
      <c r="M39" s="206"/>
      <c r="N39" s="206"/>
      <c r="O39" s="206"/>
      <c r="P39" s="206"/>
      <c r="Q39" s="206"/>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row>
    <row r="40" spans="1:48" ht="12.75" x14ac:dyDescent="0.2">
      <c r="A40" s="206"/>
      <c r="B40" s="549"/>
      <c r="C40" s="206"/>
      <c r="D40" s="206"/>
      <c r="E40" s="206"/>
      <c r="F40" s="206"/>
      <c r="G40" s="206"/>
      <c r="H40" s="206"/>
      <c r="I40" s="206"/>
      <c r="J40" s="206"/>
      <c r="K40" s="206"/>
      <c r="L40" s="206"/>
      <c r="M40" s="206"/>
      <c r="N40" s="206"/>
      <c r="O40" s="206"/>
      <c r="P40" s="206"/>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row>
    <row r="41" spans="1:48" ht="12.75" x14ac:dyDescent="0.2">
      <c r="A41" s="206"/>
      <c r="B41" s="549"/>
      <c r="C41" s="206"/>
      <c r="D41" s="206"/>
      <c r="E41" s="206"/>
      <c r="F41" s="206"/>
      <c r="G41" s="206"/>
      <c r="H41" s="206"/>
      <c r="I41" s="206"/>
      <c r="J41" s="206"/>
      <c r="K41" s="206"/>
      <c r="L41" s="206"/>
      <c r="M41" s="206"/>
      <c r="N41" s="206"/>
      <c r="O41" s="206"/>
      <c r="P41" s="206"/>
      <c r="Q41" s="206"/>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row>
    <row r="42" spans="1:48" ht="12.75" x14ac:dyDescent="0.2">
      <c r="A42" s="206"/>
      <c r="B42" s="549"/>
      <c r="C42" s="206"/>
      <c r="D42" s="206"/>
      <c r="E42" s="206"/>
      <c r="F42" s="206"/>
      <c r="G42" s="206"/>
      <c r="H42" s="206"/>
      <c r="I42" s="206"/>
      <c r="J42" s="206"/>
      <c r="K42" s="206"/>
      <c r="L42" s="206"/>
      <c r="M42" s="206"/>
      <c r="N42" s="206"/>
      <c r="O42" s="206"/>
      <c r="P42" s="206"/>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row>
    <row r="43" spans="1:48" ht="15" customHeight="1" x14ac:dyDescent="0.2">
      <c r="A43" s="206"/>
      <c r="B43" s="206"/>
      <c r="C43" s="206"/>
      <c r="D43" s="206"/>
      <c r="E43" s="206"/>
      <c r="F43" s="206"/>
      <c r="G43" s="206"/>
      <c r="H43" s="206"/>
      <c r="I43" s="206"/>
      <c r="J43" s="206"/>
      <c r="K43" s="206"/>
      <c r="L43" s="206"/>
      <c r="M43" s="206"/>
      <c r="N43" s="206"/>
      <c r="O43" s="206"/>
      <c r="P43" s="206"/>
      <c r="Q43" s="206"/>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row>
  </sheetData>
  <sheetProtection password="CD9E" sheet="1" objects="1" scenarios="1" selectLockedCells="1"/>
  <mergeCells count="18">
    <mergeCell ref="M13:N13"/>
    <mergeCell ref="B13:C13"/>
    <mergeCell ref="D13:E13"/>
    <mergeCell ref="F13:G13"/>
    <mergeCell ref="H13:I13"/>
    <mergeCell ref="J13:K13"/>
    <mergeCell ref="AT13:AU13"/>
    <mergeCell ref="O13:P13"/>
    <mergeCell ref="Q13:R13"/>
    <mergeCell ref="S13:T13"/>
    <mergeCell ref="U13:V13"/>
    <mergeCell ref="W13:X13"/>
    <mergeCell ref="Z13:AA13"/>
    <mergeCell ref="AI13:AJ13"/>
    <mergeCell ref="AK13:AL13"/>
    <mergeCell ref="AM13:AN13"/>
    <mergeCell ref="AO13:AP13"/>
    <mergeCell ref="AQ13:AR13"/>
  </mergeCells>
  <dataValidations count="1">
    <dataValidation type="list" allowBlank="1" showInputMessage="1" showErrorMessage="1" sqref="B39:B42">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55118110236220474" right="0.55118110236220474" top="0.98425196850393704" bottom="0.98425196850393704" header="0.51181102362204722" footer="0.51181102362204722"/>
  <pageSetup paperSize="9" orientation="landscape" r:id="rId1"/>
  <headerFooter alignWithMargins="0">
    <oddHeader>&amp;LCDH&amp;C &amp;F&amp;R&amp;A</oddHeader>
    <oddFooter>Page &amp;P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sheetPr>
  <dimension ref="A1:AH72"/>
  <sheetViews>
    <sheetView showGridLines="0" topLeftCell="A7" workbookViewId="0">
      <selection activeCell="C58" sqref="C58"/>
    </sheetView>
  </sheetViews>
  <sheetFormatPr baseColWidth="10" defaultColWidth="9.140625" defaultRowHeight="12.75" x14ac:dyDescent="0.2"/>
  <cols>
    <col min="2" max="2" width="15.7109375" customWidth="1"/>
    <col min="3" max="3" width="17.7109375" customWidth="1"/>
    <col min="4" max="4" width="67.5703125" customWidth="1"/>
    <col min="5" max="5" width="10.7109375" customWidth="1"/>
    <col min="6" max="6" width="5.7109375" customWidth="1"/>
    <col min="7" max="7" width="10.7109375" customWidth="1"/>
    <col min="8" max="8" width="5.7109375" customWidth="1"/>
    <col min="9" max="10" width="10.7109375" customWidth="1"/>
    <col min="11" max="11" width="5.7109375" customWidth="1"/>
    <col min="12" max="12" width="10.7109375" customWidth="1"/>
    <col min="13" max="13" width="5.7109375" customWidth="1"/>
    <col min="14" max="14" width="10.7109375" customWidth="1"/>
    <col min="15" max="15" width="5.7109375" customWidth="1"/>
    <col min="16" max="17" width="10.7109375" customWidth="1"/>
    <col min="18" max="18" width="5.7109375" customWidth="1"/>
    <col min="19" max="19" width="10.7109375" customWidth="1"/>
    <col min="20" max="20" width="5.7109375" customWidth="1"/>
    <col min="21" max="21" width="10.7109375" customWidth="1"/>
    <col min="22" max="22" width="5.7109375" customWidth="1"/>
    <col min="23" max="24" width="10.7109375" customWidth="1"/>
    <col min="25" max="25" width="5.7109375" customWidth="1"/>
    <col min="26" max="26" width="10.7109375" customWidth="1"/>
    <col min="27" max="27" width="5.7109375" customWidth="1"/>
    <col min="28" max="28" width="10.7109375" customWidth="1"/>
    <col min="29" max="29" width="5.7109375" customWidth="1"/>
    <col min="30" max="31" width="10.7109375" customWidth="1"/>
    <col min="32" max="32" width="5.7109375" customWidth="1"/>
  </cols>
  <sheetData>
    <row r="1" spans="1:34" x14ac:dyDescent="0.2">
      <c r="A1" s="1486" t="s">
        <v>6</v>
      </c>
      <c r="C1" s="1487"/>
      <c r="D1" s="1487"/>
      <c r="E1" s="1487"/>
      <c r="F1" s="1487"/>
      <c r="G1" s="1487"/>
      <c r="H1" s="1487"/>
      <c r="I1" s="1487"/>
      <c r="J1" s="1487"/>
      <c r="K1" s="1487"/>
      <c r="L1" s="1487"/>
      <c r="M1" s="1487"/>
      <c r="N1" s="1487"/>
      <c r="O1" s="1487"/>
      <c r="P1" s="1487"/>
      <c r="Q1" s="1487"/>
      <c r="R1" s="1487"/>
      <c r="S1" s="1487"/>
      <c r="T1" s="1487"/>
      <c r="U1" s="1487"/>
      <c r="V1" s="1487"/>
      <c r="W1" s="1487"/>
      <c r="X1" s="1487"/>
      <c r="Y1" s="1487"/>
      <c r="Z1" s="1487"/>
      <c r="AA1" s="1487"/>
      <c r="AB1" s="1487"/>
      <c r="AC1" s="1487"/>
      <c r="AD1" s="1487"/>
      <c r="AE1" s="1487"/>
      <c r="AF1" s="1487"/>
      <c r="AG1" s="1487"/>
      <c r="AH1" s="1487"/>
    </row>
    <row r="2" spans="1:34" x14ac:dyDescent="0.2">
      <c r="A2" s="1488" t="s">
        <v>10</v>
      </c>
      <c r="C2" s="1487"/>
      <c r="D2" s="1487"/>
      <c r="E2" s="1487"/>
      <c r="F2" s="1487"/>
      <c r="G2" s="1487"/>
      <c r="H2" s="1487"/>
      <c r="I2" s="1487"/>
      <c r="J2" s="1487"/>
      <c r="K2" s="1487"/>
      <c r="L2" s="1487"/>
      <c r="M2" s="1487"/>
      <c r="N2" s="1487"/>
      <c r="O2" s="1487"/>
      <c r="P2" s="1487"/>
      <c r="Q2" s="1487"/>
      <c r="R2" s="1487"/>
      <c r="S2" s="1487"/>
      <c r="T2" s="1487"/>
      <c r="U2" s="1487"/>
      <c r="V2" s="1487"/>
      <c r="W2" s="1487"/>
      <c r="X2" s="1487"/>
      <c r="Y2" s="1487"/>
      <c r="Z2" s="1487"/>
      <c r="AA2" s="1487"/>
      <c r="AB2" s="1487"/>
      <c r="AC2" s="1487"/>
      <c r="AD2" s="1487"/>
      <c r="AE2" s="1487"/>
      <c r="AF2" s="1487"/>
      <c r="AG2" s="1487"/>
      <c r="AH2" s="1487"/>
    </row>
    <row r="3" spans="1:34" x14ac:dyDescent="0.2">
      <c r="A3" s="1488" t="s">
        <v>7</v>
      </c>
      <c r="C3" s="1487"/>
      <c r="D3" s="1487"/>
      <c r="E3" s="1487"/>
      <c r="F3" s="1487"/>
      <c r="G3" s="1487"/>
      <c r="H3" s="1487"/>
      <c r="I3" s="1487"/>
      <c r="J3" s="1487"/>
      <c r="K3" s="1487"/>
      <c r="L3" s="1487"/>
      <c r="M3" s="1487"/>
      <c r="N3" s="1487"/>
      <c r="O3" s="1487"/>
      <c r="P3" s="1487"/>
      <c r="Q3" s="1487"/>
      <c r="R3" s="1487"/>
      <c r="S3" s="1487"/>
      <c r="T3" s="1487"/>
      <c r="U3" s="1487"/>
      <c r="V3" s="1487"/>
      <c r="W3" s="1487"/>
      <c r="X3" s="1487"/>
      <c r="Y3" s="1487"/>
      <c r="Z3" s="1487"/>
      <c r="AA3" s="1487"/>
      <c r="AB3" s="1487"/>
      <c r="AC3" s="1487"/>
      <c r="AD3" s="1487"/>
      <c r="AE3" s="1487"/>
      <c r="AF3" s="1487"/>
      <c r="AG3" s="1487"/>
      <c r="AH3" s="1487"/>
    </row>
    <row r="4" spans="1:34" x14ac:dyDescent="0.2">
      <c r="A4" s="680" t="s">
        <v>248</v>
      </c>
      <c r="B4" s="680"/>
      <c r="C4" s="680"/>
      <c r="D4" s="680"/>
      <c r="E4" s="681"/>
      <c r="F4" s="681"/>
      <c r="G4" s="681"/>
      <c r="H4" s="681"/>
      <c r="I4" s="680"/>
      <c r="J4" s="680"/>
      <c r="K4" s="681"/>
      <c r="L4" s="681"/>
      <c r="M4" s="681"/>
      <c r="N4" s="681"/>
      <c r="O4" s="681"/>
      <c r="P4" s="680"/>
      <c r="Q4" s="680"/>
      <c r="R4" s="681"/>
      <c r="S4" s="681"/>
      <c r="T4" s="681"/>
      <c r="U4" s="681"/>
      <c r="V4" s="681"/>
      <c r="W4" s="680"/>
      <c r="X4" s="680"/>
      <c r="Y4" s="681"/>
      <c r="Z4" s="681"/>
      <c r="AA4" s="681"/>
      <c r="AB4" s="681"/>
      <c r="AC4" s="681"/>
      <c r="AD4" s="681"/>
      <c r="AE4" s="681"/>
      <c r="AF4" s="681"/>
      <c r="AG4" s="681"/>
      <c r="AH4" s="681"/>
    </row>
    <row r="5" spans="1:34" s="1479" customFormat="1" x14ac:dyDescent="0.2">
      <c r="A5" s="1489"/>
      <c r="B5" s="1489"/>
      <c r="C5" s="1489"/>
      <c r="D5" s="1489"/>
      <c r="E5" s="1489"/>
      <c r="F5" s="1489"/>
      <c r="G5" s="1489"/>
      <c r="H5" s="1489"/>
      <c r="I5" s="1489"/>
      <c r="J5" s="1489"/>
      <c r="K5" s="1489"/>
      <c r="L5" s="1489"/>
      <c r="M5" s="1489"/>
      <c r="N5" s="1489"/>
      <c r="O5" s="1489"/>
      <c r="P5" s="1489"/>
      <c r="Q5" s="1489"/>
      <c r="R5" s="1489"/>
      <c r="S5" s="1489"/>
      <c r="T5" s="1489"/>
      <c r="U5" s="1489"/>
      <c r="V5" s="1489"/>
      <c r="W5" s="1489"/>
      <c r="X5" s="1489"/>
      <c r="Y5" s="1489"/>
      <c r="Z5" s="1489"/>
      <c r="AA5" s="1489"/>
      <c r="AB5" s="1489"/>
      <c r="AC5" s="1489"/>
      <c r="AD5" s="1489"/>
      <c r="AE5" s="1489"/>
      <c r="AF5" s="1489"/>
      <c r="AG5" s="1489"/>
      <c r="AH5" s="1489"/>
    </row>
    <row r="6" spans="1:34" x14ac:dyDescent="0.2">
      <c r="A6" s="206"/>
      <c r="B6" s="206"/>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c r="AE6" s="206"/>
      <c r="AF6" s="206"/>
      <c r="AG6" s="206"/>
      <c r="AH6" s="206"/>
    </row>
    <row r="7" spans="1:34" ht="15.75" x14ac:dyDescent="0.25">
      <c r="A7" s="682" t="s">
        <v>894</v>
      </c>
      <c r="B7" s="206"/>
      <c r="C7" s="206"/>
      <c r="D7" s="206"/>
      <c r="E7" s="206"/>
      <c r="F7" s="206"/>
      <c r="G7" s="206"/>
      <c r="H7" s="206"/>
      <c r="I7" s="206"/>
      <c r="J7" s="206"/>
      <c r="K7" s="206"/>
      <c r="L7" s="206"/>
      <c r="M7" s="206"/>
      <c r="N7" s="206"/>
      <c r="O7" s="206"/>
      <c r="P7" s="206"/>
      <c r="Q7" s="206"/>
      <c r="R7" s="206"/>
      <c r="S7" s="206"/>
      <c r="T7" s="206"/>
      <c r="U7" s="206"/>
      <c r="V7" s="206"/>
      <c r="W7" s="206"/>
      <c r="X7" s="206"/>
      <c r="Y7" s="206"/>
      <c r="Z7" s="206"/>
      <c r="AA7" s="206"/>
      <c r="AB7" s="206"/>
      <c r="AC7" s="206"/>
      <c r="AD7" s="206"/>
      <c r="AE7" s="206"/>
      <c r="AF7" s="206"/>
      <c r="AG7" s="206"/>
      <c r="AH7" s="206"/>
    </row>
    <row r="8" spans="1:34" x14ac:dyDescent="0.2">
      <c r="A8" s="683" t="s">
        <v>21</v>
      </c>
      <c r="B8" s="206"/>
      <c r="C8" s="206"/>
      <c r="D8" s="206"/>
      <c r="E8" s="206"/>
      <c r="F8" s="206"/>
      <c r="G8" s="206"/>
      <c r="H8" s="206"/>
      <c r="I8" s="206"/>
      <c r="J8" s="206"/>
      <c r="K8" s="206"/>
      <c r="L8" s="206"/>
      <c r="M8" s="206"/>
      <c r="N8" s="206"/>
      <c r="O8" s="206"/>
      <c r="P8" s="206"/>
      <c r="Q8" s="206"/>
      <c r="R8" s="206"/>
      <c r="S8" s="206"/>
      <c r="T8" s="206"/>
      <c r="U8" s="206"/>
      <c r="V8" s="206"/>
      <c r="W8" s="206"/>
      <c r="X8" s="206"/>
      <c r="Y8" s="206"/>
      <c r="Z8" s="206"/>
      <c r="AA8" s="206"/>
      <c r="AB8" s="206"/>
      <c r="AC8" s="206"/>
      <c r="AD8" s="206"/>
      <c r="AE8" s="206"/>
      <c r="AF8" s="206"/>
      <c r="AG8" s="206"/>
      <c r="AH8" s="206"/>
    </row>
    <row r="9" spans="1:34" x14ac:dyDescent="0.2">
      <c r="A9" s="206"/>
      <c r="B9" s="847"/>
      <c r="C9" s="847"/>
      <c r="D9" s="847" t="s">
        <v>34</v>
      </c>
      <c r="E9" s="763">
        <v>2014</v>
      </c>
      <c r="F9" s="206"/>
      <c r="G9" s="206"/>
      <c r="H9" s="206"/>
      <c r="I9" s="206"/>
      <c r="J9" s="206"/>
      <c r="K9" s="847"/>
      <c r="L9" s="206"/>
      <c r="M9" s="206"/>
      <c r="N9" s="206"/>
      <c r="O9" s="206"/>
      <c r="P9" s="206"/>
      <c r="Q9" s="206"/>
      <c r="R9" s="206"/>
      <c r="S9" s="206"/>
      <c r="T9" s="206"/>
      <c r="U9" s="206"/>
      <c r="V9" s="206"/>
      <c r="W9" s="206"/>
      <c r="X9" s="206"/>
      <c r="Y9" s="847"/>
      <c r="Z9" s="206"/>
      <c r="AA9" s="206"/>
      <c r="AB9" s="206"/>
      <c r="AC9" s="206"/>
      <c r="AD9" s="206"/>
      <c r="AE9" s="206"/>
      <c r="AF9" s="206"/>
      <c r="AG9" s="206"/>
      <c r="AH9" s="206"/>
    </row>
    <row r="10" spans="1:34" x14ac:dyDescent="0.2">
      <c r="A10" s="206"/>
      <c r="B10" s="847"/>
      <c r="C10" s="847"/>
      <c r="D10" s="206"/>
      <c r="E10" s="206"/>
      <c r="F10" s="206"/>
      <c r="G10" s="206"/>
      <c r="H10" s="206"/>
      <c r="I10" s="206"/>
      <c r="J10" s="206"/>
      <c r="K10" s="847"/>
      <c r="L10" s="206"/>
      <c r="M10" s="206"/>
      <c r="N10" s="206"/>
      <c r="O10" s="206"/>
      <c r="P10" s="206"/>
      <c r="Q10" s="206"/>
      <c r="R10" s="206"/>
      <c r="S10" s="206"/>
      <c r="T10" s="206"/>
      <c r="U10" s="206"/>
      <c r="V10" s="206"/>
      <c r="W10" s="206"/>
      <c r="X10" s="206"/>
      <c r="Y10" s="847"/>
      <c r="Z10" s="206"/>
      <c r="AA10" s="206"/>
      <c r="AB10" s="206"/>
      <c r="AC10" s="206"/>
      <c r="AD10" s="206"/>
      <c r="AE10" s="206"/>
      <c r="AF10" s="206"/>
      <c r="AG10" s="206"/>
      <c r="AH10" s="206"/>
    </row>
    <row r="11" spans="1:34" x14ac:dyDescent="0.2">
      <c r="A11" s="580"/>
      <c r="B11" s="580"/>
      <c r="C11" s="580"/>
      <c r="D11" s="580"/>
      <c r="E11" s="580"/>
      <c r="F11" s="580"/>
      <c r="G11" s="580"/>
      <c r="H11" s="580"/>
      <c r="I11" s="580"/>
      <c r="J11" s="580"/>
      <c r="K11" s="580"/>
      <c r="L11" s="580"/>
      <c r="M11" s="580"/>
      <c r="N11" s="580"/>
      <c r="O11" s="580"/>
      <c r="P11" s="580"/>
      <c r="Q11" s="580"/>
      <c r="R11" s="580"/>
      <c r="S11" s="580"/>
      <c r="T11" s="580"/>
      <c r="U11" s="580"/>
      <c r="V11" s="580"/>
      <c r="W11" s="580"/>
      <c r="X11" s="580"/>
      <c r="Y11" s="580"/>
      <c r="Z11" s="580"/>
      <c r="AA11" s="580"/>
      <c r="AB11" s="580"/>
      <c r="AC11" s="580"/>
      <c r="AD11" s="580"/>
      <c r="AE11" s="580"/>
      <c r="AF11" s="580"/>
      <c r="AG11" s="580"/>
      <c r="AH11" s="580"/>
    </row>
    <row r="12" spans="1:34" ht="18" customHeight="1" x14ac:dyDescent="0.2">
      <c r="A12" s="1783" t="s">
        <v>942</v>
      </c>
      <c r="B12" s="1783"/>
      <c r="C12" s="1498"/>
      <c r="D12" s="1499"/>
      <c r="E12" s="1784" t="s">
        <v>289</v>
      </c>
      <c r="F12" s="1785"/>
      <c r="G12" s="1785"/>
      <c r="H12" s="1785"/>
      <c r="I12" s="1785"/>
      <c r="J12" s="1785"/>
      <c r="K12" s="1785"/>
      <c r="L12" s="1784" t="s">
        <v>290</v>
      </c>
      <c r="M12" s="1785"/>
      <c r="N12" s="1785"/>
      <c r="O12" s="1785"/>
      <c r="P12" s="1785"/>
      <c r="Q12" s="1785"/>
      <c r="R12" s="1785"/>
      <c r="S12" s="1786" t="s">
        <v>727</v>
      </c>
      <c r="T12" s="1787"/>
      <c r="U12" s="1787"/>
      <c r="V12" s="1787"/>
      <c r="W12" s="1787"/>
      <c r="X12" s="1787"/>
      <c r="Y12" s="1787"/>
      <c r="Z12" s="1784" t="s">
        <v>836</v>
      </c>
      <c r="AA12" s="1785"/>
      <c r="AB12" s="1785"/>
      <c r="AC12" s="1785"/>
      <c r="AD12" s="1785"/>
      <c r="AE12" s="1785"/>
      <c r="AF12" s="1788"/>
      <c r="AG12" s="580"/>
      <c r="AH12" s="580"/>
    </row>
    <row r="13" spans="1:34" ht="15.75" customHeight="1" thickBot="1" x14ac:dyDescent="0.25">
      <c r="A13" s="1789" t="s">
        <v>952</v>
      </c>
      <c r="B13" s="1789"/>
      <c r="C13" s="1471" t="s">
        <v>845</v>
      </c>
      <c r="D13" s="1471"/>
      <c r="E13" s="1782" t="s">
        <v>22</v>
      </c>
      <c r="F13" s="1775"/>
      <c r="G13" s="1775" t="s">
        <v>23</v>
      </c>
      <c r="H13" s="1775"/>
      <c r="I13" s="1480" t="s">
        <v>893</v>
      </c>
      <c r="J13" s="1776" t="s">
        <v>42</v>
      </c>
      <c r="K13" s="1777"/>
      <c r="L13" s="1782" t="s">
        <v>22</v>
      </c>
      <c r="M13" s="1775"/>
      <c r="N13" s="1775" t="s">
        <v>23</v>
      </c>
      <c r="O13" s="1775"/>
      <c r="P13" s="1480" t="s">
        <v>893</v>
      </c>
      <c r="Q13" s="1776" t="s">
        <v>42</v>
      </c>
      <c r="R13" s="1777"/>
      <c r="S13" s="1778" t="s">
        <v>22</v>
      </c>
      <c r="T13" s="1779"/>
      <c r="U13" s="1779" t="s">
        <v>23</v>
      </c>
      <c r="V13" s="1779"/>
      <c r="W13" s="1482" t="s">
        <v>893</v>
      </c>
      <c r="X13" s="1780" t="s">
        <v>42</v>
      </c>
      <c r="Y13" s="1781"/>
      <c r="Z13" s="1782" t="s">
        <v>22</v>
      </c>
      <c r="AA13" s="1775"/>
      <c r="AB13" s="1775" t="s">
        <v>23</v>
      </c>
      <c r="AC13" s="1775"/>
      <c r="AD13" s="1480" t="s">
        <v>893</v>
      </c>
      <c r="AE13" s="1776" t="s">
        <v>42</v>
      </c>
      <c r="AF13" s="1777"/>
      <c r="AG13" s="580"/>
      <c r="AH13" s="580"/>
    </row>
    <row r="14" spans="1:34" ht="13.5" thickTop="1" x14ac:dyDescent="0.2">
      <c r="A14" s="1500" t="s">
        <v>953</v>
      </c>
      <c r="B14" s="1501" t="s">
        <v>890</v>
      </c>
      <c r="C14" s="1474" t="s">
        <v>890</v>
      </c>
      <c r="D14" s="1475" t="s">
        <v>891</v>
      </c>
      <c r="E14" s="1552"/>
      <c r="F14" s="1553"/>
      <c r="G14" s="1553"/>
      <c r="H14" s="1553"/>
      <c r="I14" s="1554"/>
      <c r="J14" s="1555"/>
      <c r="K14" s="1556"/>
      <c r="L14" s="1552"/>
      <c r="M14" s="1553"/>
      <c r="N14" s="1553"/>
      <c r="O14" s="1553"/>
      <c r="P14" s="1554"/>
      <c r="Q14" s="1555"/>
      <c r="R14" s="1556"/>
      <c r="S14" s="1552"/>
      <c r="T14" s="1553"/>
      <c r="U14" s="1553"/>
      <c r="V14" s="1553"/>
      <c r="W14" s="1554"/>
      <c r="X14" s="1555"/>
      <c r="Y14" s="1556"/>
      <c r="Z14" s="1552"/>
      <c r="AA14" s="1553"/>
      <c r="AB14" s="1553"/>
      <c r="AC14" s="1553"/>
      <c r="AD14" s="1554"/>
      <c r="AE14" s="1555"/>
      <c r="AF14" s="1556"/>
      <c r="AG14" s="580"/>
      <c r="AH14" s="580"/>
    </row>
    <row r="15" spans="1:34" x14ac:dyDescent="0.2">
      <c r="A15" s="1502" t="s">
        <v>896</v>
      </c>
      <c r="B15" s="1485" t="s">
        <v>846</v>
      </c>
      <c r="C15" s="1472" t="s">
        <v>846</v>
      </c>
      <c r="D15" s="1476" t="s">
        <v>847</v>
      </c>
      <c r="E15" s="1557"/>
      <c r="F15" s="1558"/>
      <c r="G15" s="1558"/>
      <c r="H15" s="1558"/>
      <c r="I15" s="1559"/>
      <c r="J15" s="1560"/>
      <c r="K15" s="1561"/>
      <c r="L15" s="1557"/>
      <c r="M15" s="1558"/>
      <c r="N15" s="1558"/>
      <c r="O15" s="1558"/>
      <c r="P15" s="1559"/>
      <c r="Q15" s="1560"/>
      <c r="R15" s="1561"/>
      <c r="S15" s="1557"/>
      <c r="T15" s="1558"/>
      <c r="U15" s="1558"/>
      <c r="V15" s="1558"/>
      <c r="W15" s="1559"/>
      <c r="X15" s="1560"/>
      <c r="Y15" s="1561"/>
      <c r="Z15" s="1557"/>
      <c r="AA15" s="1558"/>
      <c r="AB15" s="1558"/>
      <c r="AC15" s="1558"/>
      <c r="AD15" s="1559"/>
      <c r="AE15" s="1560"/>
      <c r="AF15" s="1561"/>
      <c r="AG15" s="580"/>
      <c r="AH15" s="580"/>
    </row>
    <row r="16" spans="1:34" x14ac:dyDescent="0.2">
      <c r="A16" s="1502" t="s">
        <v>898</v>
      </c>
      <c r="B16" s="1485" t="s">
        <v>848</v>
      </c>
      <c r="C16" s="1472" t="s">
        <v>848</v>
      </c>
      <c r="D16" s="1476" t="s">
        <v>849</v>
      </c>
      <c r="E16" s="1562"/>
      <c r="F16" s="1563"/>
      <c r="G16" s="1563"/>
      <c r="H16" s="1563"/>
      <c r="I16" s="1564"/>
      <c r="J16" s="1565"/>
      <c r="K16" s="1566"/>
      <c r="L16" s="1562"/>
      <c r="M16" s="1563"/>
      <c r="N16" s="1563"/>
      <c r="O16" s="1563"/>
      <c r="P16" s="1564"/>
      <c r="Q16" s="1565"/>
      <c r="R16" s="1566"/>
      <c r="S16" s="1562"/>
      <c r="T16" s="1563"/>
      <c r="U16" s="1563"/>
      <c r="V16" s="1563"/>
      <c r="W16" s="1564"/>
      <c r="X16" s="1565"/>
      <c r="Y16" s="1566"/>
      <c r="Z16" s="1562"/>
      <c r="AA16" s="1563"/>
      <c r="AB16" s="1563"/>
      <c r="AC16" s="1563"/>
      <c r="AD16" s="1564"/>
      <c r="AE16" s="1565"/>
      <c r="AF16" s="1566"/>
      <c r="AG16" s="580"/>
      <c r="AH16" s="580"/>
    </row>
    <row r="17" spans="1:34" x14ac:dyDescent="0.2">
      <c r="A17" s="1502"/>
      <c r="B17" s="1485" t="s">
        <v>954</v>
      </c>
      <c r="C17" s="1485" t="s">
        <v>954</v>
      </c>
      <c r="D17" s="1503" t="s">
        <v>955</v>
      </c>
      <c r="E17" s="1567"/>
      <c r="F17" s="1568"/>
      <c r="G17" s="1568"/>
      <c r="H17" s="1568"/>
      <c r="I17" s="1569"/>
      <c r="J17" s="1570"/>
      <c r="K17" s="1571"/>
      <c r="L17" s="1567"/>
      <c r="M17" s="1568"/>
      <c r="N17" s="1568"/>
      <c r="O17" s="1568"/>
      <c r="P17" s="1569"/>
      <c r="Q17" s="1570"/>
      <c r="R17" s="1571"/>
      <c r="S17" s="1567"/>
      <c r="T17" s="1568"/>
      <c r="U17" s="1568"/>
      <c r="V17" s="1568"/>
      <c r="W17" s="1569"/>
      <c r="X17" s="1570"/>
      <c r="Y17" s="1571"/>
      <c r="Z17" s="1567"/>
      <c r="AA17" s="1568"/>
      <c r="AB17" s="1568"/>
      <c r="AC17" s="1568"/>
      <c r="AD17" s="1569"/>
      <c r="AE17" s="1570"/>
      <c r="AF17" s="1571"/>
      <c r="AG17" s="580"/>
      <c r="AH17" s="580"/>
    </row>
    <row r="18" spans="1:34" x14ac:dyDescent="0.2">
      <c r="A18" s="1502" t="s">
        <v>900</v>
      </c>
      <c r="B18" s="1485" t="s">
        <v>850</v>
      </c>
      <c r="C18" s="1485" t="s">
        <v>850</v>
      </c>
      <c r="D18" s="1476" t="s">
        <v>851</v>
      </c>
      <c r="E18" s="1572"/>
      <c r="F18" s="1573"/>
      <c r="G18" s="1573"/>
      <c r="H18" s="1573"/>
      <c r="I18" s="1574"/>
      <c r="J18" s="1575"/>
      <c r="K18" s="1576"/>
      <c r="L18" s="1572"/>
      <c r="M18" s="1573"/>
      <c r="N18" s="1573"/>
      <c r="O18" s="1573"/>
      <c r="P18" s="1574"/>
      <c r="Q18" s="1575"/>
      <c r="R18" s="1576"/>
      <c r="S18" s="1572"/>
      <c r="T18" s="1573"/>
      <c r="U18" s="1573"/>
      <c r="V18" s="1573"/>
      <c r="W18" s="1574"/>
      <c r="X18" s="1575"/>
      <c r="Y18" s="1576"/>
      <c r="Z18" s="1572"/>
      <c r="AA18" s="1573"/>
      <c r="AB18" s="1573"/>
      <c r="AC18" s="1573"/>
      <c r="AD18" s="1574"/>
      <c r="AE18" s="1575"/>
      <c r="AF18" s="1576"/>
      <c r="AG18" s="580"/>
      <c r="AH18" s="580"/>
    </row>
    <row r="19" spans="1:34" x14ac:dyDescent="0.2">
      <c r="A19" s="1502"/>
      <c r="B19" s="1485" t="s">
        <v>852</v>
      </c>
      <c r="C19" s="1485" t="s">
        <v>852</v>
      </c>
      <c r="D19" s="1503" t="s">
        <v>956</v>
      </c>
      <c r="E19" s="1567"/>
      <c r="F19" s="1568"/>
      <c r="G19" s="1568"/>
      <c r="H19" s="1568"/>
      <c r="I19" s="1569"/>
      <c r="J19" s="1570"/>
      <c r="K19" s="1571"/>
      <c r="L19" s="1567"/>
      <c r="M19" s="1568"/>
      <c r="N19" s="1568"/>
      <c r="O19" s="1568"/>
      <c r="P19" s="1569"/>
      <c r="Q19" s="1570"/>
      <c r="R19" s="1571"/>
      <c r="S19" s="1567"/>
      <c r="T19" s="1568"/>
      <c r="U19" s="1568"/>
      <c r="V19" s="1568"/>
      <c r="W19" s="1569"/>
      <c r="X19" s="1570"/>
      <c r="Y19" s="1571"/>
      <c r="Z19" s="1567"/>
      <c r="AA19" s="1568"/>
      <c r="AB19" s="1568"/>
      <c r="AC19" s="1568"/>
      <c r="AD19" s="1569"/>
      <c r="AE19" s="1570"/>
      <c r="AF19" s="1571"/>
      <c r="AG19" s="580"/>
      <c r="AH19" s="580"/>
    </row>
    <row r="20" spans="1:34" x14ac:dyDescent="0.2">
      <c r="A20" s="1502"/>
      <c r="B20" s="1485" t="s">
        <v>853</v>
      </c>
      <c r="C20" s="1485" t="s">
        <v>853</v>
      </c>
      <c r="D20" s="1503" t="s">
        <v>854</v>
      </c>
      <c r="E20" s="1567"/>
      <c r="F20" s="1568"/>
      <c r="G20" s="1568"/>
      <c r="H20" s="1568"/>
      <c r="I20" s="1569"/>
      <c r="J20" s="1570"/>
      <c r="K20" s="1571"/>
      <c r="L20" s="1567"/>
      <c r="M20" s="1568"/>
      <c r="N20" s="1568"/>
      <c r="O20" s="1568"/>
      <c r="P20" s="1569"/>
      <c r="Q20" s="1570"/>
      <c r="R20" s="1571"/>
      <c r="S20" s="1567"/>
      <c r="T20" s="1568"/>
      <c r="U20" s="1568"/>
      <c r="V20" s="1568"/>
      <c r="W20" s="1569"/>
      <c r="X20" s="1570"/>
      <c r="Y20" s="1571"/>
      <c r="Z20" s="1567"/>
      <c r="AA20" s="1568"/>
      <c r="AB20" s="1568"/>
      <c r="AC20" s="1568"/>
      <c r="AD20" s="1569"/>
      <c r="AE20" s="1570"/>
      <c r="AF20" s="1571"/>
      <c r="AG20" s="580"/>
      <c r="AH20" s="580"/>
    </row>
    <row r="21" spans="1:34" x14ac:dyDescent="0.2">
      <c r="A21" s="1502"/>
      <c r="B21" s="1485" t="s">
        <v>855</v>
      </c>
      <c r="C21" s="1485" t="s">
        <v>855</v>
      </c>
      <c r="D21" s="1476" t="s">
        <v>957</v>
      </c>
      <c r="E21" s="1567"/>
      <c r="F21" s="1568"/>
      <c r="G21" s="1568"/>
      <c r="H21" s="1568"/>
      <c r="I21" s="1569"/>
      <c r="J21" s="1570"/>
      <c r="K21" s="1571"/>
      <c r="L21" s="1567"/>
      <c r="M21" s="1568"/>
      <c r="N21" s="1568"/>
      <c r="O21" s="1568"/>
      <c r="P21" s="1569"/>
      <c r="Q21" s="1570"/>
      <c r="R21" s="1571"/>
      <c r="S21" s="1567"/>
      <c r="T21" s="1568"/>
      <c r="U21" s="1568"/>
      <c r="V21" s="1568"/>
      <c r="W21" s="1569"/>
      <c r="X21" s="1570"/>
      <c r="Y21" s="1571"/>
      <c r="Z21" s="1567"/>
      <c r="AA21" s="1568"/>
      <c r="AB21" s="1568"/>
      <c r="AC21" s="1568"/>
      <c r="AD21" s="1569"/>
      <c r="AE21" s="1570"/>
      <c r="AF21" s="1571"/>
      <c r="AG21" s="580"/>
      <c r="AH21" s="580"/>
    </row>
    <row r="22" spans="1:34" x14ac:dyDescent="0.2">
      <c r="A22" s="1502"/>
      <c r="B22" s="1485" t="s">
        <v>856</v>
      </c>
      <c r="C22" s="1485" t="s">
        <v>856</v>
      </c>
      <c r="D22" s="1503" t="s">
        <v>857</v>
      </c>
      <c r="E22" s="1567"/>
      <c r="F22" s="1568"/>
      <c r="G22" s="1568"/>
      <c r="H22" s="1568"/>
      <c r="I22" s="1569"/>
      <c r="J22" s="1570"/>
      <c r="K22" s="1571"/>
      <c r="L22" s="1567"/>
      <c r="M22" s="1568"/>
      <c r="N22" s="1568"/>
      <c r="O22" s="1568"/>
      <c r="P22" s="1569"/>
      <c r="Q22" s="1570"/>
      <c r="R22" s="1571"/>
      <c r="S22" s="1567"/>
      <c r="T22" s="1568"/>
      <c r="U22" s="1568"/>
      <c r="V22" s="1568"/>
      <c r="W22" s="1569"/>
      <c r="X22" s="1570"/>
      <c r="Y22" s="1571"/>
      <c r="Z22" s="1567"/>
      <c r="AA22" s="1568"/>
      <c r="AB22" s="1568"/>
      <c r="AC22" s="1568"/>
      <c r="AD22" s="1569"/>
      <c r="AE22" s="1570"/>
      <c r="AF22" s="1571"/>
      <c r="AG22" s="580"/>
      <c r="AH22" s="580"/>
    </row>
    <row r="23" spans="1:34" ht="25.5" x14ac:dyDescent="0.2">
      <c r="A23" s="1502"/>
      <c r="B23" s="1485" t="s">
        <v>958</v>
      </c>
      <c r="C23" s="1485" t="s">
        <v>958</v>
      </c>
      <c r="D23" s="1503" t="s">
        <v>959</v>
      </c>
      <c r="E23" s="1567"/>
      <c r="F23" s="1568"/>
      <c r="G23" s="1568"/>
      <c r="H23" s="1568"/>
      <c r="I23" s="1569"/>
      <c r="J23" s="1570"/>
      <c r="K23" s="1571"/>
      <c r="L23" s="1567"/>
      <c r="M23" s="1568"/>
      <c r="N23" s="1568"/>
      <c r="O23" s="1568"/>
      <c r="P23" s="1569"/>
      <c r="Q23" s="1570"/>
      <c r="R23" s="1571"/>
      <c r="S23" s="1567"/>
      <c r="T23" s="1568"/>
      <c r="U23" s="1568"/>
      <c r="V23" s="1568"/>
      <c r="W23" s="1569"/>
      <c r="X23" s="1570"/>
      <c r="Y23" s="1571"/>
      <c r="Z23" s="1567"/>
      <c r="AA23" s="1568"/>
      <c r="AB23" s="1568"/>
      <c r="AC23" s="1568"/>
      <c r="AD23" s="1569"/>
      <c r="AE23" s="1570"/>
      <c r="AF23" s="1571"/>
      <c r="AG23" s="580"/>
      <c r="AH23" s="580"/>
    </row>
    <row r="24" spans="1:34" x14ac:dyDescent="0.2">
      <c r="A24" s="1502" t="s">
        <v>902</v>
      </c>
      <c r="B24" s="1485" t="s">
        <v>960</v>
      </c>
      <c r="C24" s="1485" t="s">
        <v>960</v>
      </c>
      <c r="D24" s="1476" t="s">
        <v>961</v>
      </c>
      <c r="E24" s="1562"/>
      <c r="F24" s="1563"/>
      <c r="G24" s="1563"/>
      <c r="H24" s="1563"/>
      <c r="I24" s="1564"/>
      <c r="J24" s="1565"/>
      <c r="K24" s="1566"/>
      <c r="L24" s="1562"/>
      <c r="M24" s="1563"/>
      <c r="N24" s="1563"/>
      <c r="O24" s="1563"/>
      <c r="P24" s="1564"/>
      <c r="Q24" s="1565"/>
      <c r="R24" s="1566"/>
      <c r="S24" s="1562"/>
      <c r="T24" s="1563"/>
      <c r="U24" s="1563"/>
      <c r="V24" s="1563"/>
      <c r="W24" s="1564"/>
      <c r="X24" s="1565"/>
      <c r="Y24" s="1566"/>
      <c r="Z24" s="1562"/>
      <c r="AA24" s="1563"/>
      <c r="AB24" s="1563"/>
      <c r="AC24" s="1563"/>
      <c r="AD24" s="1564"/>
      <c r="AE24" s="1565"/>
      <c r="AF24" s="1566"/>
      <c r="AG24" s="580"/>
      <c r="AH24" s="580"/>
    </row>
    <row r="25" spans="1:34" ht="12.75" customHeight="1" x14ac:dyDescent="0.2">
      <c r="A25" s="1502" t="s">
        <v>904</v>
      </c>
      <c r="B25" s="1485" t="s">
        <v>962</v>
      </c>
      <c r="C25" s="1485" t="s">
        <v>962</v>
      </c>
      <c r="D25" s="1476" t="s">
        <v>963</v>
      </c>
      <c r="E25" s="1577"/>
      <c r="F25" s="1578"/>
      <c r="G25" s="1578"/>
      <c r="H25" s="1578"/>
      <c r="I25" s="1579"/>
      <c r="J25" s="1580"/>
      <c r="K25" s="1581"/>
      <c r="L25" s="1577"/>
      <c r="M25" s="1578"/>
      <c r="N25" s="1578"/>
      <c r="O25" s="1578"/>
      <c r="P25" s="1579"/>
      <c r="Q25" s="1580"/>
      <c r="R25" s="1581"/>
      <c r="S25" s="1577"/>
      <c r="T25" s="1578"/>
      <c r="U25" s="1578"/>
      <c r="V25" s="1578"/>
      <c r="W25" s="1579"/>
      <c r="X25" s="1580"/>
      <c r="Y25" s="1581"/>
      <c r="Z25" s="1577"/>
      <c r="AA25" s="1578"/>
      <c r="AB25" s="1578"/>
      <c r="AC25" s="1578"/>
      <c r="AD25" s="1579"/>
      <c r="AE25" s="1580"/>
      <c r="AF25" s="1581"/>
      <c r="AG25" s="580"/>
      <c r="AH25" s="580"/>
    </row>
    <row r="26" spans="1:34" x14ac:dyDescent="0.2">
      <c r="A26" s="1504" t="s">
        <v>906</v>
      </c>
      <c r="B26" s="1505" t="s">
        <v>858</v>
      </c>
      <c r="C26" s="1473" t="s">
        <v>858</v>
      </c>
      <c r="D26" s="1477" t="s">
        <v>859</v>
      </c>
      <c r="E26" s="1562"/>
      <c r="F26" s="1563"/>
      <c r="G26" s="1563"/>
      <c r="H26" s="1563"/>
      <c r="I26" s="1564"/>
      <c r="J26" s="1565"/>
      <c r="K26" s="1566"/>
      <c r="L26" s="1562"/>
      <c r="M26" s="1563"/>
      <c r="N26" s="1563"/>
      <c r="O26" s="1563"/>
      <c r="P26" s="1564"/>
      <c r="Q26" s="1565"/>
      <c r="R26" s="1566"/>
      <c r="S26" s="1562"/>
      <c r="T26" s="1563"/>
      <c r="U26" s="1563"/>
      <c r="V26" s="1563"/>
      <c r="W26" s="1564"/>
      <c r="X26" s="1565"/>
      <c r="Y26" s="1566"/>
      <c r="Z26" s="1562"/>
      <c r="AA26" s="1563"/>
      <c r="AB26" s="1563"/>
      <c r="AC26" s="1563"/>
      <c r="AD26" s="1564"/>
      <c r="AE26" s="1565"/>
      <c r="AF26" s="1566"/>
      <c r="AG26" s="580"/>
      <c r="AH26" s="580"/>
    </row>
    <row r="27" spans="1:34" ht="12.75" customHeight="1" x14ac:dyDescent="0.2">
      <c r="A27" s="1502" t="s">
        <v>964</v>
      </c>
      <c r="B27" s="1485" t="s">
        <v>860</v>
      </c>
      <c r="C27" s="1472" t="s">
        <v>860</v>
      </c>
      <c r="D27" s="1477" t="s">
        <v>965</v>
      </c>
      <c r="E27" s="1562"/>
      <c r="F27" s="1563"/>
      <c r="G27" s="1563"/>
      <c r="H27" s="1563"/>
      <c r="I27" s="1564"/>
      <c r="J27" s="1565"/>
      <c r="K27" s="1566"/>
      <c r="L27" s="1562"/>
      <c r="M27" s="1563"/>
      <c r="N27" s="1563"/>
      <c r="O27" s="1563"/>
      <c r="P27" s="1564"/>
      <c r="Q27" s="1565"/>
      <c r="R27" s="1566"/>
      <c r="S27" s="1562"/>
      <c r="T27" s="1563"/>
      <c r="U27" s="1563"/>
      <c r="V27" s="1563"/>
      <c r="W27" s="1564"/>
      <c r="X27" s="1565"/>
      <c r="Y27" s="1566"/>
      <c r="Z27" s="1562"/>
      <c r="AA27" s="1563"/>
      <c r="AB27" s="1563"/>
      <c r="AC27" s="1563"/>
      <c r="AD27" s="1564"/>
      <c r="AE27" s="1565"/>
      <c r="AF27" s="1566"/>
      <c r="AG27" s="580"/>
      <c r="AH27" s="580"/>
    </row>
    <row r="28" spans="1:34" x14ac:dyDescent="0.2">
      <c r="A28" s="1502" t="s">
        <v>908</v>
      </c>
      <c r="B28" s="1485" t="s">
        <v>861</v>
      </c>
      <c r="C28" s="1472" t="s">
        <v>861</v>
      </c>
      <c r="D28" s="1477" t="s">
        <v>966</v>
      </c>
      <c r="E28" s="1562"/>
      <c r="F28" s="1563"/>
      <c r="G28" s="1563"/>
      <c r="H28" s="1563"/>
      <c r="I28" s="1564"/>
      <c r="J28" s="1565"/>
      <c r="K28" s="1566"/>
      <c r="L28" s="1562"/>
      <c r="M28" s="1563"/>
      <c r="N28" s="1563"/>
      <c r="O28" s="1563"/>
      <c r="P28" s="1564"/>
      <c r="Q28" s="1565"/>
      <c r="R28" s="1566"/>
      <c r="S28" s="1562"/>
      <c r="T28" s="1563"/>
      <c r="U28" s="1563"/>
      <c r="V28" s="1563"/>
      <c r="W28" s="1564"/>
      <c r="X28" s="1565"/>
      <c r="Y28" s="1566"/>
      <c r="Z28" s="1562"/>
      <c r="AA28" s="1563"/>
      <c r="AB28" s="1563"/>
      <c r="AC28" s="1563"/>
      <c r="AD28" s="1564"/>
      <c r="AE28" s="1565"/>
      <c r="AF28" s="1566"/>
      <c r="AG28" s="580"/>
      <c r="AH28" s="580"/>
    </row>
    <row r="29" spans="1:34" x14ac:dyDescent="0.2">
      <c r="A29" s="1502"/>
      <c r="B29" s="1485" t="s">
        <v>862</v>
      </c>
      <c r="C29" s="1485" t="s">
        <v>862</v>
      </c>
      <c r="D29" s="1503" t="s">
        <v>863</v>
      </c>
      <c r="E29" s="1567"/>
      <c r="F29" s="1568"/>
      <c r="G29" s="1568"/>
      <c r="H29" s="1568"/>
      <c r="I29" s="1569"/>
      <c r="J29" s="1570"/>
      <c r="K29" s="1571"/>
      <c r="L29" s="1567"/>
      <c r="M29" s="1568"/>
      <c r="N29" s="1568"/>
      <c r="O29" s="1568"/>
      <c r="P29" s="1569"/>
      <c r="Q29" s="1570"/>
      <c r="R29" s="1571"/>
      <c r="S29" s="1567"/>
      <c r="T29" s="1568"/>
      <c r="U29" s="1568"/>
      <c r="V29" s="1568"/>
      <c r="W29" s="1569"/>
      <c r="X29" s="1570"/>
      <c r="Y29" s="1571"/>
      <c r="Z29" s="1567"/>
      <c r="AA29" s="1568"/>
      <c r="AB29" s="1568"/>
      <c r="AC29" s="1568"/>
      <c r="AD29" s="1569"/>
      <c r="AE29" s="1570"/>
      <c r="AF29" s="1571"/>
      <c r="AG29" s="580"/>
      <c r="AH29" s="580"/>
    </row>
    <row r="30" spans="1:34" x14ac:dyDescent="0.2">
      <c r="A30" s="1502"/>
      <c r="B30" s="1485" t="s">
        <v>864</v>
      </c>
      <c r="C30" s="1485" t="s">
        <v>864</v>
      </c>
      <c r="D30" s="1503" t="s">
        <v>865</v>
      </c>
      <c r="E30" s="1567"/>
      <c r="F30" s="1568"/>
      <c r="G30" s="1568"/>
      <c r="H30" s="1568"/>
      <c r="I30" s="1569"/>
      <c r="J30" s="1570"/>
      <c r="K30" s="1571"/>
      <c r="L30" s="1567"/>
      <c r="M30" s="1568"/>
      <c r="N30" s="1568"/>
      <c r="O30" s="1568"/>
      <c r="P30" s="1569"/>
      <c r="Q30" s="1570"/>
      <c r="R30" s="1571"/>
      <c r="S30" s="1567"/>
      <c r="T30" s="1568"/>
      <c r="U30" s="1568"/>
      <c r="V30" s="1568"/>
      <c r="W30" s="1569"/>
      <c r="X30" s="1570"/>
      <c r="Y30" s="1571"/>
      <c r="Z30" s="1567"/>
      <c r="AA30" s="1568"/>
      <c r="AB30" s="1568"/>
      <c r="AC30" s="1568"/>
      <c r="AD30" s="1569"/>
      <c r="AE30" s="1570"/>
      <c r="AF30" s="1571"/>
      <c r="AG30" s="580"/>
      <c r="AH30" s="580"/>
    </row>
    <row r="31" spans="1:34" x14ac:dyDescent="0.2">
      <c r="A31" s="1502" t="s">
        <v>967</v>
      </c>
      <c r="B31" s="1485" t="s">
        <v>968</v>
      </c>
      <c r="C31" s="1485" t="s">
        <v>968</v>
      </c>
      <c r="D31" s="1477" t="s">
        <v>969</v>
      </c>
      <c r="E31" s="1577"/>
      <c r="F31" s="1578"/>
      <c r="G31" s="1578"/>
      <c r="H31" s="1578"/>
      <c r="I31" s="1579"/>
      <c r="J31" s="1580"/>
      <c r="K31" s="1581"/>
      <c r="L31" s="1577"/>
      <c r="M31" s="1578"/>
      <c r="N31" s="1578"/>
      <c r="O31" s="1578"/>
      <c r="P31" s="1579"/>
      <c r="Q31" s="1580"/>
      <c r="R31" s="1581"/>
      <c r="S31" s="1577"/>
      <c r="T31" s="1578"/>
      <c r="U31" s="1578"/>
      <c r="V31" s="1578"/>
      <c r="W31" s="1579"/>
      <c r="X31" s="1580"/>
      <c r="Y31" s="1581"/>
      <c r="Z31" s="1577"/>
      <c r="AA31" s="1578"/>
      <c r="AB31" s="1578"/>
      <c r="AC31" s="1578"/>
      <c r="AD31" s="1579"/>
      <c r="AE31" s="1580"/>
      <c r="AF31" s="1581"/>
      <c r="AG31" s="580"/>
      <c r="AH31" s="580"/>
    </row>
    <row r="32" spans="1:34" x14ac:dyDescent="0.2">
      <c r="A32" s="1506" t="s">
        <v>970</v>
      </c>
      <c r="B32" s="1507" t="s">
        <v>866</v>
      </c>
      <c r="C32" s="1507" t="s">
        <v>866</v>
      </c>
      <c r="D32" s="1508" t="s">
        <v>971</v>
      </c>
      <c r="E32" s="1567"/>
      <c r="F32" s="1568"/>
      <c r="G32" s="1568"/>
      <c r="H32" s="1568"/>
      <c r="I32" s="473"/>
      <c r="J32" s="1570"/>
      <c r="K32" s="1571"/>
      <c r="L32" s="1567"/>
      <c r="M32" s="1568"/>
      <c r="N32" s="1568"/>
      <c r="O32" s="1568"/>
      <c r="P32" s="473"/>
      <c r="Q32" s="1570"/>
      <c r="R32" s="1571"/>
      <c r="S32" s="1567"/>
      <c r="T32" s="1568"/>
      <c r="U32" s="1568"/>
      <c r="V32" s="1568"/>
      <c r="W32" s="473"/>
      <c r="X32" s="1570"/>
      <c r="Y32" s="1571"/>
      <c r="Z32" s="1567"/>
      <c r="AA32" s="1568"/>
      <c r="AB32" s="1568"/>
      <c r="AC32" s="1568"/>
      <c r="AD32" s="473"/>
      <c r="AE32" s="1570"/>
      <c r="AF32" s="1571"/>
      <c r="AG32" s="580"/>
      <c r="AH32" s="580"/>
    </row>
    <row r="33" spans="1:34" x14ac:dyDescent="0.2">
      <c r="A33" s="1502"/>
      <c r="B33" s="1485" t="s">
        <v>867</v>
      </c>
      <c r="C33" s="1472" t="s">
        <v>867</v>
      </c>
      <c r="D33" s="1503" t="s">
        <v>868</v>
      </c>
      <c r="E33" s="1562"/>
      <c r="F33" s="1563"/>
      <c r="G33" s="1563"/>
      <c r="H33" s="1563"/>
      <c r="I33" s="1564"/>
      <c r="J33" s="1565"/>
      <c r="K33" s="1566"/>
      <c r="L33" s="1562"/>
      <c r="M33" s="1563"/>
      <c r="N33" s="1563"/>
      <c r="O33" s="1563"/>
      <c r="P33" s="1564"/>
      <c r="Q33" s="1565"/>
      <c r="R33" s="1566"/>
      <c r="S33" s="1562"/>
      <c r="T33" s="1563"/>
      <c r="U33" s="1563"/>
      <c r="V33" s="1563"/>
      <c r="W33" s="1564"/>
      <c r="X33" s="1565"/>
      <c r="Y33" s="1566"/>
      <c r="Z33" s="1562"/>
      <c r="AA33" s="1563"/>
      <c r="AB33" s="1563"/>
      <c r="AC33" s="1563"/>
      <c r="AD33" s="1564"/>
      <c r="AE33" s="1565"/>
      <c r="AF33" s="1566"/>
      <c r="AG33" s="580"/>
      <c r="AH33" s="580"/>
    </row>
    <row r="34" spans="1:34" x14ac:dyDescent="0.2">
      <c r="A34" s="1502"/>
      <c r="B34" s="1485" t="s">
        <v>869</v>
      </c>
      <c r="C34" s="1472" t="s">
        <v>869</v>
      </c>
      <c r="D34" s="1503" t="s">
        <v>870</v>
      </c>
      <c r="E34" s="1562"/>
      <c r="F34" s="1563"/>
      <c r="G34" s="1563"/>
      <c r="H34" s="1563"/>
      <c r="I34" s="1564"/>
      <c r="J34" s="1565"/>
      <c r="K34" s="1566"/>
      <c r="L34" s="1562"/>
      <c r="M34" s="1563"/>
      <c r="N34" s="1563"/>
      <c r="O34" s="1563"/>
      <c r="P34" s="1564"/>
      <c r="Q34" s="1565"/>
      <c r="R34" s="1566"/>
      <c r="S34" s="1562"/>
      <c r="T34" s="1563"/>
      <c r="U34" s="1563"/>
      <c r="V34" s="1563"/>
      <c r="W34" s="1564"/>
      <c r="X34" s="1565"/>
      <c r="Y34" s="1566"/>
      <c r="Z34" s="1562"/>
      <c r="AA34" s="1563"/>
      <c r="AB34" s="1563"/>
      <c r="AC34" s="1563"/>
      <c r="AD34" s="1564"/>
      <c r="AE34" s="1565"/>
      <c r="AF34" s="1566"/>
      <c r="AG34" s="580"/>
      <c r="AH34" s="580"/>
    </row>
    <row r="35" spans="1:34" x14ac:dyDescent="0.2">
      <c r="A35" s="1506" t="s">
        <v>910</v>
      </c>
      <c r="B35" s="1507" t="s">
        <v>871</v>
      </c>
      <c r="C35" s="1507" t="s">
        <v>871</v>
      </c>
      <c r="D35" s="1509" t="s">
        <v>972</v>
      </c>
      <c r="E35" s="1567"/>
      <c r="F35" s="1568"/>
      <c r="G35" s="1568"/>
      <c r="H35" s="1568"/>
      <c r="I35" s="473"/>
      <c r="J35" s="1570"/>
      <c r="K35" s="1571"/>
      <c r="L35" s="1567"/>
      <c r="M35" s="1568"/>
      <c r="N35" s="1568"/>
      <c r="O35" s="1568"/>
      <c r="P35" s="473"/>
      <c r="Q35" s="1570"/>
      <c r="R35" s="1571"/>
      <c r="S35" s="1567"/>
      <c r="T35" s="1568"/>
      <c r="U35" s="1568"/>
      <c r="V35" s="1568"/>
      <c r="W35" s="473"/>
      <c r="X35" s="1570"/>
      <c r="Y35" s="1571"/>
      <c r="Z35" s="1567"/>
      <c r="AA35" s="1568"/>
      <c r="AB35" s="1568"/>
      <c r="AC35" s="1568"/>
      <c r="AD35" s="473"/>
      <c r="AE35" s="1570"/>
      <c r="AF35" s="1571"/>
      <c r="AG35" s="580"/>
      <c r="AH35" s="580"/>
    </row>
    <row r="36" spans="1:34" x14ac:dyDescent="0.2">
      <c r="A36" s="1502" t="s">
        <v>973</v>
      </c>
      <c r="B36" s="1485" t="s">
        <v>872</v>
      </c>
      <c r="C36" s="1472" t="s">
        <v>872</v>
      </c>
      <c r="D36" s="1477" t="s">
        <v>974</v>
      </c>
      <c r="E36" s="1577"/>
      <c r="F36" s="1578"/>
      <c r="G36" s="1578"/>
      <c r="H36" s="1578"/>
      <c r="I36" s="1579"/>
      <c r="J36" s="1580"/>
      <c r="K36" s="1581"/>
      <c r="L36" s="1577"/>
      <c r="M36" s="1578"/>
      <c r="N36" s="1578"/>
      <c r="O36" s="1578"/>
      <c r="P36" s="1579"/>
      <c r="Q36" s="1580"/>
      <c r="R36" s="1581"/>
      <c r="S36" s="1577"/>
      <c r="T36" s="1578"/>
      <c r="U36" s="1578"/>
      <c r="V36" s="1578"/>
      <c r="W36" s="1579"/>
      <c r="X36" s="1580"/>
      <c r="Y36" s="1581"/>
      <c r="Z36" s="1577"/>
      <c r="AA36" s="1578"/>
      <c r="AB36" s="1578"/>
      <c r="AC36" s="1578"/>
      <c r="AD36" s="1579"/>
      <c r="AE36" s="1580"/>
      <c r="AF36" s="1581"/>
      <c r="AG36" s="580"/>
      <c r="AH36" s="580"/>
    </row>
    <row r="37" spans="1:34" x14ac:dyDescent="0.2">
      <c r="A37" s="1506" t="s">
        <v>912</v>
      </c>
      <c r="B37" s="1507" t="s">
        <v>873</v>
      </c>
      <c r="C37" s="1507" t="s">
        <v>873</v>
      </c>
      <c r="D37" s="1509" t="s">
        <v>975</v>
      </c>
      <c r="E37" s="1567"/>
      <c r="F37" s="1568"/>
      <c r="G37" s="1568"/>
      <c r="H37" s="1568"/>
      <c r="I37" s="473"/>
      <c r="J37" s="1570"/>
      <c r="K37" s="1571"/>
      <c r="L37" s="1567"/>
      <c r="M37" s="1568"/>
      <c r="N37" s="1568"/>
      <c r="O37" s="1568"/>
      <c r="P37" s="473"/>
      <c r="Q37" s="1570"/>
      <c r="R37" s="1571"/>
      <c r="S37" s="1567"/>
      <c r="T37" s="1568"/>
      <c r="U37" s="1568"/>
      <c r="V37" s="1568"/>
      <c r="W37" s="473"/>
      <c r="X37" s="1570"/>
      <c r="Y37" s="1571"/>
      <c r="Z37" s="1567"/>
      <c r="AA37" s="1568"/>
      <c r="AB37" s="1568"/>
      <c r="AC37" s="1568"/>
      <c r="AD37" s="473"/>
      <c r="AE37" s="1570"/>
      <c r="AF37" s="1571"/>
      <c r="AG37" s="580"/>
      <c r="AH37" s="580"/>
    </row>
    <row r="38" spans="1:34" x14ac:dyDescent="0.2">
      <c r="A38" s="1502"/>
      <c r="B38" s="1485" t="s">
        <v>874</v>
      </c>
      <c r="C38" s="1485" t="s">
        <v>874</v>
      </c>
      <c r="D38" s="1510" t="s">
        <v>875</v>
      </c>
      <c r="E38" s="1567"/>
      <c r="F38" s="1568"/>
      <c r="G38" s="1568"/>
      <c r="H38" s="1568"/>
      <c r="I38" s="473"/>
      <c r="J38" s="1570"/>
      <c r="K38" s="1571"/>
      <c r="L38" s="1567"/>
      <c r="M38" s="1568"/>
      <c r="N38" s="1568"/>
      <c r="O38" s="1568"/>
      <c r="P38" s="473"/>
      <c r="Q38" s="1570"/>
      <c r="R38" s="1571"/>
      <c r="S38" s="1567"/>
      <c r="T38" s="1568"/>
      <c r="U38" s="1568"/>
      <c r="V38" s="1568"/>
      <c r="W38" s="473"/>
      <c r="X38" s="1570"/>
      <c r="Y38" s="1571"/>
      <c r="Z38" s="1567"/>
      <c r="AA38" s="1568"/>
      <c r="AB38" s="1568"/>
      <c r="AC38" s="1568"/>
      <c r="AD38" s="473"/>
      <c r="AE38" s="1570"/>
      <c r="AF38" s="1571"/>
      <c r="AG38" s="580"/>
      <c r="AH38" s="580"/>
    </row>
    <row r="39" spans="1:34" x14ac:dyDescent="0.2">
      <c r="A39" s="1506" t="s">
        <v>976</v>
      </c>
      <c r="B39" s="1507" t="s">
        <v>876</v>
      </c>
      <c r="C39" s="1507" t="s">
        <v>876</v>
      </c>
      <c r="D39" s="1509" t="s">
        <v>977</v>
      </c>
      <c r="E39" s="1567"/>
      <c r="F39" s="1568"/>
      <c r="G39" s="1568"/>
      <c r="H39" s="1568"/>
      <c r="I39" s="473"/>
      <c r="J39" s="1570"/>
      <c r="K39" s="1571"/>
      <c r="L39" s="1567"/>
      <c r="M39" s="1568"/>
      <c r="N39" s="1568"/>
      <c r="O39" s="1568"/>
      <c r="P39" s="473"/>
      <c r="Q39" s="1570"/>
      <c r="R39" s="1571"/>
      <c r="S39" s="1567"/>
      <c r="T39" s="1568"/>
      <c r="U39" s="1568"/>
      <c r="V39" s="1568"/>
      <c r="W39" s="473"/>
      <c r="X39" s="1570"/>
      <c r="Y39" s="1571"/>
      <c r="Z39" s="1567"/>
      <c r="AA39" s="1568"/>
      <c r="AB39" s="1568"/>
      <c r="AC39" s="1568"/>
      <c r="AD39" s="473"/>
      <c r="AE39" s="1570"/>
      <c r="AF39" s="1571"/>
      <c r="AG39" s="580"/>
      <c r="AH39" s="580"/>
    </row>
    <row r="40" spans="1:34" x14ac:dyDescent="0.2">
      <c r="A40" s="1502"/>
      <c r="B40" s="1485" t="s">
        <v>877</v>
      </c>
      <c r="C40" s="1485" t="s">
        <v>978</v>
      </c>
      <c r="D40" s="1503" t="s">
        <v>878</v>
      </c>
      <c r="E40" s="1567"/>
      <c r="F40" s="1568"/>
      <c r="G40" s="1568"/>
      <c r="H40" s="1568"/>
      <c r="I40" s="473"/>
      <c r="J40" s="1570"/>
      <c r="K40" s="1571"/>
      <c r="L40" s="1567"/>
      <c r="M40" s="1568"/>
      <c r="N40" s="1568"/>
      <c r="O40" s="1568"/>
      <c r="P40" s="473"/>
      <c r="Q40" s="1570"/>
      <c r="R40" s="1571"/>
      <c r="S40" s="1567"/>
      <c r="T40" s="1568"/>
      <c r="U40" s="1568"/>
      <c r="V40" s="1568"/>
      <c r="W40" s="473"/>
      <c r="X40" s="1570"/>
      <c r="Y40" s="1571"/>
      <c r="Z40" s="1567"/>
      <c r="AA40" s="1568"/>
      <c r="AB40" s="1568"/>
      <c r="AC40" s="1568"/>
      <c r="AD40" s="473"/>
      <c r="AE40" s="1570"/>
      <c r="AF40" s="1571"/>
      <c r="AG40" s="580"/>
      <c r="AH40" s="580"/>
    </row>
    <row r="41" spans="1:34" x14ac:dyDescent="0.2">
      <c r="A41" s="1502"/>
      <c r="B41" s="1485" t="s">
        <v>879</v>
      </c>
      <c r="C41" s="1485"/>
      <c r="D41" s="1476" t="s">
        <v>979</v>
      </c>
      <c r="E41" s="1567"/>
      <c r="F41" s="1568"/>
      <c r="G41" s="1568"/>
      <c r="H41" s="1568"/>
      <c r="I41" s="473"/>
      <c r="J41" s="1570"/>
      <c r="K41" s="1571"/>
      <c r="L41" s="1567"/>
      <c r="M41" s="1568"/>
      <c r="N41" s="1568"/>
      <c r="O41" s="1568"/>
      <c r="P41" s="473"/>
      <c r="Q41" s="1570"/>
      <c r="R41" s="1571"/>
      <c r="S41" s="1567"/>
      <c r="T41" s="1568"/>
      <c r="U41" s="1568"/>
      <c r="V41" s="1568"/>
      <c r="W41" s="473"/>
      <c r="X41" s="1570"/>
      <c r="Y41" s="1571"/>
      <c r="Z41" s="1567"/>
      <c r="AA41" s="1568"/>
      <c r="AB41" s="1568"/>
      <c r="AC41" s="1568"/>
      <c r="AD41" s="473"/>
      <c r="AE41" s="1570"/>
      <c r="AF41" s="1571"/>
      <c r="AG41" s="580"/>
      <c r="AH41" s="580"/>
    </row>
    <row r="42" spans="1:34" x14ac:dyDescent="0.2">
      <c r="A42" s="1502"/>
      <c r="B42" s="1485" t="s">
        <v>880</v>
      </c>
      <c r="C42" s="1485" t="s">
        <v>880</v>
      </c>
      <c r="D42" s="1476" t="s">
        <v>980</v>
      </c>
      <c r="E42" s="1567"/>
      <c r="F42" s="1568"/>
      <c r="G42" s="1568"/>
      <c r="H42" s="1568"/>
      <c r="I42" s="473"/>
      <c r="J42" s="1570"/>
      <c r="K42" s="1571"/>
      <c r="L42" s="1567"/>
      <c r="M42" s="1568"/>
      <c r="N42" s="1568"/>
      <c r="O42" s="1568"/>
      <c r="P42" s="473"/>
      <c r="Q42" s="1570"/>
      <c r="R42" s="1571"/>
      <c r="S42" s="1567"/>
      <c r="T42" s="1568"/>
      <c r="U42" s="1568"/>
      <c r="V42" s="1568"/>
      <c r="W42" s="473"/>
      <c r="X42" s="1570"/>
      <c r="Y42" s="1571"/>
      <c r="Z42" s="1567"/>
      <c r="AA42" s="1568"/>
      <c r="AB42" s="1568"/>
      <c r="AC42" s="1568"/>
      <c r="AD42" s="473"/>
      <c r="AE42" s="1570"/>
      <c r="AF42" s="1571"/>
      <c r="AG42" s="580"/>
      <c r="AH42" s="580"/>
    </row>
    <row r="43" spans="1:34" x14ac:dyDescent="0.2">
      <c r="A43" s="1511" t="s">
        <v>914</v>
      </c>
      <c r="B43" s="1483" t="s">
        <v>881</v>
      </c>
      <c r="C43" s="1483" t="s">
        <v>881</v>
      </c>
      <c r="D43" s="1484" t="s">
        <v>981</v>
      </c>
      <c r="E43" s="1582"/>
      <c r="F43" s="1583"/>
      <c r="G43" s="1583"/>
      <c r="H43" s="1583"/>
      <c r="I43" s="1584"/>
      <c r="J43" s="1585"/>
      <c r="K43" s="1586"/>
      <c r="L43" s="1582"/>
      <c r="M43" s="1583"/>
      <c r="N43" s="1583"/>
      <c r="O43" s="1583"/>
      <c r="P43" s="1584"/>
      <c r="Q43" s="1585"/>
      <c r="R43" s="1586"/>
      <c r="S43" s="1582"/>
      <c r="T43" s="1583"/>
      <c r="U43" s="1583"/>
      <c r="V43" s="1583"/>
      <c r="W43" s="1584"/>
      <c r="X43" s="1585"/>
      <c r="Y43" s="1586"/>
      <c r="Z43" s="1582"/>
      <c r="AA43" s="1583"/>
      <c r="AB43" s="1583"/>
      <c r="AC43" s="1583"/>
      <c r="AD43" s="1584"/>
      <c r="AE43" s="1585"/>
      <c r="AF43" s="1586"/>
      <c r="AG43" s="580"/>
      <c r="AH43" s="580"/>
    </row>
    <row r="44" spans="1:34" x14ac:dyDescent="0.2">
      <c r="A44" s="1502" t="s">
        <v>916</v>
      </c>
      <c r="B44" s="1485" t="s">
        <v>882</v>
      </c>
      <c r="C44" s="1472" t="s">
        <v>882</v>
      </c>
      <c r="D44" s="1508" t="s">
        <v>982</v>
      </c>
      <c r="E44" s="1567"/>
      <c r="F44" s="1568"/>
      <c r="G44" s="1568"/>
      <c r="H44" s="1568"/>
      <c r="I44" s="473"/>
      <c r="J44" s="1570"/>
      <c r="K44" s="1571"/>
      <c r="L44" s="1567"/>
      <c r="M44" s="1568"/>
      <c r="N44" s="1568"/>
      <c r="O44" s="1568"/>
      <c r="P44" s="473"/>
      <c r="Q44" s="1570"/>
      <c r="R44" s="1571"/>
      <c r="S44" s="1567"/>
      <c r="T44" s="1568"/>
      <c r="U44" s="1568"/>
      <c r="V44" s="1568"/>
      <c r="W44" s="473"/>
      <c r="X44" s="1570"/>
      <c r="Y44" s="1571"/>
      <c r="Z44" s="1567"/>
      <c r="AA44" s="1568"/>
      <c r="AB44" s="1568"/>
      <c r="AC44" s="1568"/>
      <c r="AD44" s="473"/>
      <c r="AE44" s="1570"/>
      <c r="AF44" s="1571"/>
      <c r="AG44" s="580"/>
      <c r="AH44" s="580"/>
    </row>
    <row r="45" spans="1:34" x14ac:dyDescent="0.2">
      <c r="A45" s="1511"/>
      <c r="B45" s="1512" t="s">
        <v>983</v>
      </c>
      <c r="C45" s="1512" t="s">
        <v>984</v>
      </c>
      <c r="D45" s="1513" t="s">
        <v>985</v>
      </c>
      <c r="E45" s="1577"/>
      <c r="F45" s="1578"/>
      <c r="G45" s="1578"/>
      <c r="H45" s="1578"/>
      <c r="I45" s="1579"/>
      <c r="J45" s="1580"/>
      <c r="K45" s="1581"/>
      <c r="L45" s="1577"/>
      <c r="M45" s="1578"/>
      <c r="N45" s="1578"/>
      <c r="O45" s="1578"/>
      <c r="P45" s="1579"/>
      <c r="Q45" s="1580"/>
      <c r="R45" s="1581"/>
      <c r="S45" s="1577"/>
      <c r="T45" s="1578"/>
      <c r="U45" s="1578"/>
      <c r="V45" s="1578"/>
      <c r="W45" s="1579"/>
      <c r="X45" s="1580"/>
      <c r="Y45" s="1581"/>
      <c r="Z45" s="1577"/>
      <c r="AA45" s="1578"/>
      <c r="AB45" s="1578"/>
      <c r="AC45" s="1578"/>
      <c r="AD45" s="1579"/>
      <c r="AE45" s="1580"/>
      <c r="AF45" s="1581"/>
      <c r="AG45" s="580"/>
      <c r="AH45" s="580"/>
    </row>
    <row r="46" spans="1:34" x14ac:dyDescent="0.2">
      <c r="A46" s="1506" t="s">
        <v>918</v>
      </c>
      <c r="B46" s="1507" t="s">
        <v>883</v>
      </c>
      <c r="C46" s="1507" t="s">
        <v>883</v>
      </c>
      <c r="D46" s="1508" t="s">
        <v>884</v>
      </c>
      <c r="E46" s="525"/>
      <c r="F46" s="1587"/>
      <c r="G46" s="1587"/>
      <c r="H46" s="1587"/>
      <c r="I46" s="1588"/>
      <c r="J46" s="1375"/>
      <c r="K46" s="1589"/>
      <c r="L46" s="525"/>
      <c r="M46" s="1587"/>
      <c r="N46" s="1587"/>
      <c r="O46" s="1587"/>
      <c r="P46" s="1588"/>
      <c r="Q46" s="1375"/>
      <c r="R46" s="1589"/>
      <c r="S46" s="525"/>
      <c r="T46" s="1587"/>
      <c r="U46" s="1587"/>
      <c r="V46" s="1587"/>
      <c r="W46" s="1588"/>
      <c r="X46" s="1375"/>
      <c r="Y46" s="1589"/>
      <c r="Z46" s="525"/>
      <c r="AA46" s="1587"/>
      <c r="AB46" s="1587"/>
      <c r="AC46" s="1587"/>
      <c r="AD46" s="1588"/>
      <c r="AE46" s="1375"/>
      <c r="AF46" s="1589"/>
      <c r="AG46" s="580"/>
      <c r="AH46" s="580"/>
    </row>
    <row r="47" spans="1:34" x14ac:dyDescent="0.2">
      <c r="A47" s="1502"/>
      <c r="B47" s="1485" t="s">
        <v>885</v>
      </c>
      <c r="C47" s="1472" t="s">
        <v>885</v>
      </c>
      <c r="D47" s="1503" t="s">
        <v>886</v>
      </c>
      <c r="E47" s="1567"/>
      <c r="F47" s="1568"/>
      <c r="G47" s="1568"/>
      <c r="H47" s="1568"/>
      <c r="I47" s="473"/>
      <c r="J47" s="1570"/>
      <c r="K47" s="1571"/>
      <c r="L47" s="1567"/>
      <c r="M47" s="1568"/>
      <c r="N47" s="1568"/>
      <c r="O47" s="1568"/>
      <c r="P47" s="473"/>
      <c r="Q47" s="1570"/>
      <c r="R47" s="1571"/>
      <c r="S47" s="1567"/>
      <c r="T47" s="1568"/>
      <c r="U47" s="1568"/>
      <c r="V47" s="1568"/>
      <c r="W47" s="473"/>
      <c r="X47" s="1570"/>
      <c r="Y47" s="1571"/>
      <c r="Z47" s="1567"/>
      <c r="AA47" s="1568"/>
      <c r="AB47" s="1568"/>
      <c r="AC47" s="1568"/>
      <c r="AD47" s="473"/>
      <c r="AE47" s="1570"/>
      <c r="AF47" s="1571"/>
      <c r="AG47" s="580"/>
      <c r="AH47" s="580"/>
    </row>
    <row r="48" spans="1:34" x14ac:dyDescent="0.2">
      <c r="A48" s="1506" t="s">
        <v>920</v>
      </c>
      <c r="B48" s="1507" t="s">
        <v>887</v>
      </c>
      <c r="C48" s="1507" t="s">
        <v>887</v>
      </c>
      <c r="D48" s="1508" t="s">
        <v>888</v>
      </c>
      <c r="E48" s="525"/>
      <c r="F48" s="1587"/>
      <c r="G48" s="1587"/>
      <c r="H48" s="1587"/>
      <c r="I48" s="1588"/>
      <c r="J48" s="1375"/>
      <c r="K48" s="1589"/>
      <c r="L48" s="525"/>
      <c r="M48" s="1587"/>
      <c r="N48" s="1587"/>
      <c r="O48" s="1587"/>
      <c r="P48" s="1588"/>
      <c r="Q48" s="1375"/>
      <c r="R48" s="1589"/>
      <c r="S48" s="525"/>
      <c r="T48" s="1587"/>
      <c r="U48" s="1587"/>
      <c r="V48" s="1587"/>
      <c r="W48" s="1588"/>
      <c r="X48" s="1375"/>
      <c r="Y48" s="1589"/>
      <c r="Z48" s="525"/>
      <c r="AA48" s="1587"/>
      <c r="AB48" s="1587"/>
      <c r="AC48" s="1587"/>
      <c r="AD48" s="1588"/>
      <c r="AE48" s="1375"/>
      <c r="AF48" s="1589"/>
      <c r="AG48" s="580"/>
      <c r="AH48" s="580"/>
    </row>
    <row r="49" spans="1:34" ht="25.5" x14ac:dyDescent="0.2">
      <c r="A49" s="1502"/>
      <c r="B49" s="1485" t="s">
        <v>986</v>
      </c>
      <c r="C49" s="1485" t="s">
        <v>986</v>
      </c>
      <c r="D49" s="1503" t="s">
        <v>987</v>
      </c>
      <c r="E49" s="1567"/>
      <c r="F49" s="1568"/>
      <c r="G49" s="1568"/>
      <c r="H49" s="1568"/>
      <c r="I49" s="1569"/>
      <c r="J49" s="1570"/>
      <c r="K49" s="1571"/>
      <c r="L49" s="1567"/>
      <c r="M49" s="1568"/>
      <c r="N49" s="1568"/>
      <c r="O49" s="1568"/>
      <c r="P49" s="1569"/>
      <c r="Q49" s="1570"/>
      <c r="R49" s="1571"/>
      <c r="S49" s="1567"/>
      <c r="T49" s="1568"/>
      <c r="U49" s="1568"/>
      <c r="V49" s="1568"/>
      <c r="W49" s="1569"/>
      <c r="X49" s="1570"/>
      <c r="Y49" s="1571"/>
      <c r="Z49" s="1567"/>
      <c r="AA49" s="1568"/>
      <c r="AB49" s="1568"/>
      <c r="AC49" s="1568"/>
      <c r="AD49" s="1569"/>
      <c r="AE49" s="1570"/>
      <c r="AF49" s="1571"/>
      <c r="AG49" s="580"/>
      <c r="AH49" s="580"/>
    </row>
    <row r="50" spans="1:34" x14ac:dyDescent="0.2">
      <c r="A50" s="1502" t="s">
        <v>922</v>
      </c>
      <c r="B50" s="1485" t="s">
        <v>988</v>
      </c>
      <c r="C50" s="1485" t="s">
        <v>889</v>
      </c>
      <c r="D50" s="1476" t="s">
        <v>989</v>
      </c>
      <c r="E50" s="1577"/>
      <c r="F50" s="1578"/>
      <c r="G50" s="1578"/>
      <c r="H50" s="1578"/>
      <c r="I50" s="1579"/>
      <c r="J50" s="1580"/>
      <c r="K50" s="1581"/>
      <c r="L50" s="1577"/>
      <c r="M50" s="1578"/>
      <c r="N50" s="1578"/>
      <c r="O50" s="1578"/>
      <c r="P50" s="1579"/>
      <c r="Q50" s="1580"/>
      <c r="R50" s="1581"/>
      <c r="S50" s="1577"/>
      <c r="T50" s="1578"/>
      <c r="U50" s="1578"/>
      <c r="V50" s="1578"/>
      <c r="W50" s="1579"/>
      <c r="X50" s="1580"/>
      <c r="Y50" s="1581"/>
      <c r="Z50" s="1577"/>
      <c r="AA50" s="1578"/>
      <c r="AB50" s="1578"/>
      <c r="AC50" s="1578"/>
      <c r="AD50" s="1579"/>
      <c r="AE50" s="1580"/>
      <c r="AF50" s="1581"/>
      <c r="AG50" s="580"/>
      <c r="AH50" s="580"/>
    </row>
    <row r="51" spans="1:34" x14ac:dyDescent="0.2">
      <c r="A51" s="1502"/>
      <c r="B51" s="1485" t="s">
        <v>990</v>
      </c>
      <c r="C51" s="1485" t="s">
        <v>990</v>
      </c>
      <c r="D51" s="1503" t="s">
        <v>991</v>
      </c>
      <c r="E51" s="1590"/>
      <c r="F51" s="1591"/>
      <c r="G51" s="1591"/>
      <c r="H51" s="1591"/>
      <c r="I51" s="1592"/>
      <c r="J51" s="1593"/>
      <c r="K51" s="1594"/>
      <c r="L51" s="1590"/>
      <c r="M51" s="1591"/>
      <c r="N51" s="1591"/>
      <c r="O51" s="1591"/>
      <c r="P51" s="1592"/>
      <c r="Q51" s="1593"/>
      <c r="R51" s="1594"/>
      <c r="S51" s="1590"/>
      <c r="T51" s="1591"/>
      <c r="U51" s="1591"/>
      <c r="V51" s="1591"/>
      <c r="W51" s="1592"/>
      <c r="X51" s="1593"/>
      <c r="Y51" s="1594"/>
      <c r="Z51" s="1590"/>
      <c r="AA51" s="1591"/>
      <c r="AB51" s="1591"/>
      <c r="AC51" s="1591"/>
      <c r="AD51" s="1592"/>
      <c r="AE51" s="1593"/>
      <c r="AF51" s="1594"/>
      <c r="AG51" s="580"/>
      <c r="AH51" s="580"/>
    </row>
    <row r="52" spans="1:34" x14ac:dyDescent="0.2">
      <c r="A52" s="1502" t="s">
        <v>924</v>
      </c>
      <c r="B52" s="1485" t="s">
        <v>992</v>
      </c>
      <c r="C52" s="1485" t="s">
        <v>992</v>
      </c>
      <c r="D52" s="1476" t="s">
        <v>993</v>
      </c>
      <c r="E52" s="1590"/>
      <c r="F52" s="1591"/>
      <c r="G52" s="1591"/>
      <c r="H52" s="1591"/>
      <c r="I52" s="1592"/>
      <c r="J52" s="1593"/>
      <c r="K52" s="1594"/>
      <c r="L52" s="1590"/>
      <c r="M52" s="1591"/>
      <c r="N52" s="1591"/>
      <c r="O52" s="1591"/>
      <c r="P52" s="1592"/>
      <c r="Q52" s="1593"/>
      <c r="R52" s="1594"/>
      <c r="S52" s="1590"/>
      <c r="T52" s="1591"/>
      <c r="U52" s="1591"/>
      <c r="V52" s="1591"/>
      <c r="W52" s="1592"/>
      <c r="X52" s="1593"/>
      <c r="Y52" s="1594"/>
      <c r="Z52" s="1590"/>
      <c r="AA52" s="1591"/>
      <c r="AB52" s="1591"/>
      <c r="AC52" s="1591"/>
      <c r="AD52" s="1592"/>
      <c r="AE52" s="1593"/>
      <c r="AF52" s="1594"/>
      <c r="AG52" s="580"/>
      <c r="AH52" s="580"/>
    </row>
    <row r="53" spans="1:34" x14ac:dyDescent="0.2">
      <c r="A53" s="1502" t="s">
        <v>926</v>
      </c>
      <c r="B53" s="1485" t="s">
        <v>994</v>
      </c>
      <c r="C53" s="1485" t="s">
        <v>994</v>
      </c>
      <c r="D53" s="1476" t="s">
        <v>995</v>
      </c>
      <c r="E53" s="1590"/>
      <c r="F53" s="1591"/>
      <c r="G53" s="1591"/>
      <c r="H53" s="1591"/>
      <c r="I53" s="1592"/>
      <c r="J53" s="1593"/>
      <c r="K53" s="1594"/>
      <c r="L53" s="1590"/>
      <c r="M53" s="1591"/>
      <c r="N53" s="1591"/>
      <c r="O53" s="1591"/>
      <c r="P53" s="1592"/>
      <c r="Q53" s="1593"/>
      <c r="R53" s="1594"/>
      <c r="S53" s="1590"/>
      <c r="T53" s="1591"/>
      <c r="U53" s="1591"/>
      <c r="V53" s="1591"/>
      <c r="W53" s="1592"/>
      <c r="X53" s="1593"/>
      <c r="Y53" s="1594"/>
      <c r="Z53" s="1590"/>
      <c r="AA53" s="1591"/>
      <c r="AB53" s="1591"/>
      <c r="AC53" s="1591"/>
      <c r="AD53" s="1592"/>
      <c r="AE53" s="1593"/>
      <c r="AF53" s="1594"/>
      <c r="AG53" s="580"/>
      <c r="AH53" s="580"/>
    </row>
    <row r="54" spans="1:34" x14ac:dyDescent="0.2">
      <c r="A54" s="1514"/>
      <c r="B54" s="1478"/>
      <c r="C54" s="1478"/>
      <c r="D54" s="1481" t="s">
        <v>892</v>
      </c>
      <c r="E54" s="1595"/>
      <c r="F54" s="1596"/>
      <c r="G54" s="1596"/>
      <c r="H54" s="1596"/>
      <c r="I54" s="1597"/>
      <c r="J54" s="1598"/>
      <c r="K54" s="1599"/>
      <c r="L54" s="1595"/>
      <c r="M54" s="1596"/>
      <c r="N54" s="1596"/>
      <c r="O54" s="1596"/>
      <c r="P54" s="1597"/>
      <c r="Q54" s="1598"/>
      <c r="R54" s="1599"/>
      <c r="S54" s="1595"/>
      <c r="T54" s="1596"/>
      <c r="U54" s="1596"/>
      <c r="V54" s="1596"/>
      <c r="W54" s="1597"/>
      <c r="X54" s="1598"/>
      <c r="Y54" s="1599"/>
      <c r="Z54" s="1595"/>
      <c r="AA54" s="1596"/>
      <c r="AB54" s="1596"/>
      <c r="AC54" s="1596"/>
      <c r="AD54" s="1597"/>
      <c r="AE54" s="1598"/>
      <c r="AF54" s="1599"/>
      <c r="AG54" s="580"/>
      <c r="AH54" s="580"/>
    </row>
    <row r="55" spans="1:34" x14ac:dyDescent="0.2">
      <c r="A55" s="750"/>
      <c r="B55" s="206"/>
      <c r="C55" s="206"/>
      <c r="D55" s="206"/>
      <c r="E55" s="206"/>
      <c r="F55" s="206"/>
      <c r="G55" s="206"/>
      <c r="H55" s="206"/>
      <c r="I55" s="206"/>
      <c r="J55" s="206"/>
      <c r="K55" s="206"/>
      <c r="L55" s="206"/>
      <c r="M55" s="206"/>
      <c r="N55" s="206"/>
      <c r="O55" s="206"/>
      <c r="P55" s="206"/>
      <c r="Q55" s="206"/>
      <c r="R55" s="206"/>
      <c r="S55" s="206"/>
      <c r="T55" s="206"/>
      <c r="U55" s="206"/>
      <c r="V55" s="206"/>
      <c r="W55" s="206"/>
      <c r="X55" s="206"/>
      <c r="Y55" s="206"/>
      <c r="Z55" s="206"/>
      <c r="AA55" s="206"/>
      <c r="AB55" s="206"/>
      <c r="AC55" s="206"/>
      <c r="AD55" s="206"/>
      <c r="AE55" s="206"/>
      <c r="AF55" s="206"/>
      <c r="AG55" s="206"/>
      <c r="AH55" s="206"/>
    </row>
    <row r="56" spans="1:34" x14ac:dyDescent="0.2">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row>
    <row r="57" spans="1:34" x14ac:dyDescent="0.2">
      <c r="A57" s="750" t="s">
        <v>32</v>
      </c>
      <c r="B57" s="750"/>
      <c r="C57" s="752" t="s">
        <v>1064</v>
      </c>
      <c r="D57" s="752"/>
      <c r="E57" s="752"/>
      <c r="F57" s="752"/>
      <c r="G57" s="752"/>
      <c r="H57" s="752"/>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206"/>
      <c r="AH57" s="206"/>
    </row>
    <row r="58" spans="1:34" x14ac:dyDescent="0.2">
      <c r="A58" s="206"/>
      <c r="B58" s="206"/>
      <c r="C58" s="754"/>
      <c r="D58" s="754"/>
      <c r="E58" s="754"/>
      <c r="F58" s="754"/>
      <c r="G58" s="754"/>
      <c r="H58" s="754"/>
      <c r="I58" s="754"/>
      <c r="J58" s="754"/>
      <c r="K58" s="754"/>
      <c r="L58" s="754"/>
      <c r="M58" s="754"/>
      <c r="N58" s="754"/>
      <c r="O58" s="754"/>
      <c r="P58" s="754"/>
      <c r="Q58" s="754"/>
      <c r="R58" s="754"/>
      <c r="S58" s="754"/>
      <c r="T58" s="754"/>
      <c r="U58" s="754"/>
      <c r="V58" s="754"/>
      <c r="W58" s="754"/>
      <c r="X58" s="754"/>
      <c r="Y58" s="754"/>
      <c r="Z58" s="754"/>
      <c r="AA58" s="754"/>
      <c r="AB58" s="754"/>
      <c r="AC58" s="754"/>
      <c r="AD58" s="754"/>
      <c r="AE58" s="754"/>
      <c r="AF58" s="754"/>
      <c r="AG58" s="206"/>
      <c r="AH58" s="206"/>
    </row>
    <row r="59" spans="1:34" x14ac:dyDescent="0.2">
      <c r="A59" s="206"/>
      <c r="B59" s="206"/>
      <c r="C59" s="754"/>
      <c r="D59" s="754"/>
      <c r="E59" s="754"/>
      <c r="F59" s="754"/>
      <c r="G59" s="754"/>
      <c r="H59" s="754"/>
      <c r="I59" s="754"/>
      <c r="J59" s="754"/>
      <c r="K59" s="754"/>
      <c r="L59" s="754"/>
      <c r="M59" s="754"/>
      <c r="N59" s="754"/>
      <c r="O59" s="754"/>
      <c r="P59" s="754"/>
      <c r="Q59" s="754"/>
      <c r="R59" s="754"/>
      <c r="S59" s="754"/>
      <c r="T59" s="754"/>
      <c r="U59" s="754"/>
      <c r="V59" s="754"/>
      <c r="W59" s="754"/>
      <c r="X59" s="754"/>
      <c r="Y59" s="754"/>
      <c r="Z59" s="754"/>
      <c r="AA59" s="754"/>
      <c r="AB59" s="754"/>
      <c r="AC59" s="754"/>
      <c r="AD59" s="754"/>
      <c r="AE59" s="754"/>
      <c r="AF59" s="754"/>
      <c r="AG59" s="206"/>
      <c r="AH59" s="206"/>
    </row>
    <row r="60" spans="1:34" x14ac:dyDescent="0.2">
      <c r="A60" s="206"/>
      <c r="B60" s="206"/>
      <c r="C60" s="754"/>
      <c r="D60" s="754"/>
      <c r="E60" s="754"/>
      <c r="F60" s="754"/>
      <c r="G60" s="754"/>
      <c r="H60" s="754"/>
      <c r="I60" s="754"/>
      <c r="J60" s="754"/>
      <c r="K60" s="754"/>
      <c r="L60" s="754"/>
      <c r="M60" s="754"/>
      <c r="N60" s="754"/>
      <c r="O60" s="754"/>
      <c r="P60" s="754"/>
      <c r="Q60" s="754"/>
      <c r="R60" s="754"/>
      <c r="S60" s="754"/>
      <c r="T60" s="754"/>
      <c r="U60" s="754"/>
      <c r="V60" s="754"/>
      <c r="W60" s="754"/>
      <c r="X60" s="754"/>
      <c r="Y60" s="754"/>
      <c r="Z60" s="754"/>
      <c r="AA60" s="754"/>
      <c r="AB60" s="754"/>
      <c r="AC60" s="754"/>
      <c r="AD60" s="754"/>
      <c r="AE60" s="754"/>
      <c r="AF60" s="754"/>
      <c r="AG60" s="206"/>
      <c r="AH60" s="206"/>
    </row>
    <row r="61" spans="1:34" x14ac:dyDescent="0.2">
      <c r="A61" s="206"/>
      <c r="B61" s="206"/>
      <c r="C61" s="206"/>
      <c r="D61" s="206"/>
      <c r="E61" s="206"/>
      <c r="F61" s="206"/>
      <c r="G61" s="206"/>
      <c r="H61" s="206"/>
      <c r="I61" s="206"/>
      <c r="J61" s="206"/>
      <c r="K61" s="206"/>
      <c r="L61" s="206"/>
      <c r="M61" s="206"/>
      <c r="N61" s="206"/>
      <c r="O61" s="206"/>
      <c r="P61" s="206"/>
      <c r="Q61" s="206"/>
      <c r="R61" s="206"/>
      <c r="S61" s="206"/>
      <c r="T61" s="206"/>
      <c r="U61" s="206"/>
      <c r="V61" s="206"/>
      <c r="W61" s="206"/>
      <c r="X61" s="206"/>
      <c r="Y61" s="206"/>
      <c r="Z61" s="206"/>
      <c r="AA61" s="206"/>
      <c r="AB61" s="206"/>
      <c r="AC61" s="206"/>
      <c r="AD61" s="206"/>
      <c r="AE61" s="206"/>
      <c r="AF61" s="206"/>
      <c r="AG61" s="206"/>
      <c r="AH61" s="206"/>
    </row>
    <row r="62" spans="1:34" x14ac:dyDescent="0.2">
      <c r="A62" s="750" t="s">
        <v>33</v>
      </c>
      <c r="B62" s="750"/>
      <c r="C62" s="752"/>
      <c r="D62" s="752"/>
      <c r="E62" s="752"/>
      <c r="F62" s="752"/>
      <c r="G62" s="752"/>
      <c r="H62" s="752"/>
      <c r="I62" s="752"/>
      <c r="J62" s="752"/>
      <c r="K62" s="752"/>
      <c r="L62" s="752"/>
      <c r="M62" s="752"/>
      <c r="N62" s="752"/>
      <c r="O62" s="752"/>
      <c r="P62" s="752"/>
      <c r="Q62" s="752"/>
      <c r="R62" s="752"/>
      <c r="S62" s="752"/>
      <c r="T62" s="752"/>
      <c r="U62" s="752"/>
      <c r="V62" s="752"/>
      <c r="W62" s="752"/>
      <c r="X62" s="752"/>
      <c r="Y62" s="752"/>
      <c r="Z62" s="752"/>
      <c r="AA62" s="752"/>
      <c r="AB62" s="752"/>
      <c r="AC62" s="752"/>
      <c r="AD62" s="752"/>
      <c r="AE62" s="752"/>
      <c r="AF62" s="752"/>
      <c r="AG62" s="206"/>
      <c r="AH62" s="206"/>
    </row>
    <row r="63" spans="1:34" x14ac:dyDescent="0.2">
      <c r="A63" s="750"/>
      <c r="B63" s="750"/>
      <c r="C63" s="754"/>
      <c r="D63" s="754"/>
      <c r="E63" s="754"/>
      <c r="F63" s="754"/>
      <c r="G63" s="754"/>
      <c r="H63" s="754"/>
      <c r="I63" s="754"/>
      <c r="J63" s="754"/>
      <c r="K63" s="754"/>
      <c r="L63" s="754"/>
      <c r="M63" s="754"/>
      <c r="N63" s="754"/>
      <c r="O63" s="754"/>
      <c r="P63" s="754"/>
      <c r="Q63" s="754"/>
      <c r="R63" s="754"/>
      <c r="S63" s="754"/>
      <c r="T63" s="754"/>
      <c r="U63" s="754"/>
      <c r="V63" s="754"/>
      <c r="W63" s="754"/>
      <c r="X63" s="754"/>
      <c r="Y63" s="754"/>
      <c r="Z63" s="754"/>
      <c r="AA63" s="754"/>
      <c r="AB63" s="754"/>
      <c r="AC63" s="754"/>
      <c r="AD63" s="754"/>
      <c r="AE63" s="754"/>
      <c r="AF63" s="754"/>
      <c r="AG63" s="206"/>
      <c r="AH63" s="206"/>
    </row>
    <row r="64" spans="1:34" x14ac:dyDescent="0.2">
      <c r="A64" s="206"/>
      <c r="B64" s="206"/>
      <c r="C64" s="754"/>
      <c r="D64" s="754"/>
      <c r="E64" s="754"/>
      <c r="F64" s="754"/>
      <c r="G64" s="754"/>
      <c r="H64" s="754"/>
      <c r="I64" s="754"/>
      <c r="J64" s="754"/>
      <c r="K64" s="754"/>
      <c r="L64" s="754"/>
      <c r="M64" s="754"/>
      <c r="N64" s="754"/>
      <c r="O64" s="754"/>
      <c r="P64" s="754"/>
      <c r="Q64" s="754"/>
      <c r="R64" s="754"/>
      <c r="S64" s="754"/>
      <c r="T64" s="754"/>
      <c r="U64" s="754"/>
      <c r="V64" s="754"/>
      <c r="W64" s="754"/>
      <c r="X64" s="754"/>
      <c r="Y64" s="754"/>
      <c r="Z64" s="754"/>
      <c r="AA64" s="754"/>
      <c r="AB64" s="754"/>
      <c r="AC64" s="754"/>
      <c r="AD64" s="754"/>
      <c r="AE64" s="754"/>
      <c r="AF64" s="754"/>
      <c r="AG64" s="206"/>
      <c r="AH64" s="206"/>
    </row>
    <row r="65" spans="1:34" x14ac:dyDescent="0.2">
      <c r="A65" s="206"/>
      <c r="B65" s="206"/>
      <c r="C65" s="754"/>
      <c r="D65" s="754"/>
      <c r="E65" s="754"/>
      <c r="F65" s="754"/>
      <c r="G65" s="754"/>
      <c r="H65" s="754"/>
      <c r="I65" s="754"/>
      <c r="J65" s="754"/>
      <c r="K65" s="754"/>
      <c r="L65" s="754"/>
      <c r="M65" s="754"/>
      <c r="N65" s="754"/>
      <c r="O65" s="754"/>
      <c r="P65" s="754"/>
      <c r="Q65" s="754"/>
      <c r="R65" s="754"/>
      <c r="S65" s="754"/>
      <c r="T65" s="754"/>
      <c r="U65" s="754"/>
      <c r="V65" s="754"/>
      <c r="W65" s="754"/>
      <c r="X65" s="754"/>
      <c r="Y65" s="754"/>
      <c r="Z65" s="754"/>
      <c r="AA65" s="754"/>
      <c r="AB65" s="754"/>
      <c r="AC65" s="754"/>
      <c r="AD65" s="754"/>
      <c r="AE65" s="754"/>
      <c r="AF65" s="754"/>
      <c r="AG65" s="206"/>
      <c r="AH65" s="206"/>
    </row>
    <row r="66" spans="1:34" x14ac:dyDescent="0.2">
      <c r="A66" s="206"/>
      <c r="B66" s="206"/>
      <c r="C66" s="206"/>
      <c r="D66" s="206"/>
      <c r="E66" s="206"/>
      <c r="F66" s="206"/>
      <c r="G66" s="206"/>
      <c r="H66" s="206"/>
      <c r="I66" s="206"/>
      <c r="J66" s="206"/>
      <c r="K66" s="206"/>
      <c r="L66" s="206"/>
      <c r="M66" s="206"/>
      <c r="N66" s="206"/>
      <c r="O66" s="206"/>
      <c r="P66" s="206"/>
      <c r="Q66" s="206"/>
      <c r="R66" s="206"/>
      <c r="S66" s="206"/>
      <c r="T66" s="206"/>
      <c r="U66" s="206"/>
      <c r="V66" s="206"/>
      <c r="W66" s="206"/>
      <c r="X66" s="206"/>
      <c r="Y66" s="206"/>
      <c r="Z66" s="206"/>
      <c r="AA66" s="206"/>
      <c r="AB66" s="206"/>
      <c r="AC66" s="206"/>
      <c r="AD66" s="206"/>
      <c r="AE66" s="206"/>
      <c r="AF66" s="206"/>
      <c r="AG66" s="206"/>
      <c r="AH66" s="206"/>
    </row>
    <row r="67" spans="1:34" x14ac:dyDescent="0.2">
      <c r="A67" s="750" t="s">
        <v>670</v>
      </c>
      <c r="B67" s="750"/>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row>
    <row r="68" spans="1:34" x14ac:dyDescent="0.2">
      <c r="A68" s="755"/>
      <c r="B68" s="755"/>
      <c r="C68" s="752"/>
      <c r="D68" s="206"/>
      <c r="E68" s="206"/>
      <c r="F68" s="206"/>
      <c r="G68" s="206"/>
      <c r="H68" s="206"/>
      <c r="I68" s="206"/>
      <c r="J68" s="206"/>
      <c r="K68" s="206"/>
      <c r="L68" s="206"/>
      <c r="M68" s="206"/>
      <c r="N68" s="206"/>
      <c r="O68" s="206"/>
      <c r="P68" s="206"/>
      <c r="Q68" s="206"/>
      <c r="R68" s="206"/>
      <c r="S68" s="206"/>
      <c r="T68" s="206"/>
      <c r="U68" s="206"/>
      <c r="V68" s="206"/>
      <c r="W68" s="206"/>
      <c r="X68" s="206"/>
      <c r="Y68" s="206"/>
      <c r="Z68" s="206"/>
      <c r="AA68" s="206"/>
      <c r="AB68" s="206"/>
      <c r="AC68" s="206"/>
      <c r="AD68" s="206"/>
      <c r="AE68" s="206"/>
      <c r="AF68" s="206"/>
      <c r="AG68" s="206"/>
      <c r="AH68" s="206"/>
    </row>
    <row r="69" spans="1:34" x14ac:dyDescent="0.2">
      <c r="A69" s="206"/>
      <c r="B69" s="206"/>
      <c r="C69" s="754"/>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row>
    <row r="70" spans="1:34" x14ac:dyDescent="0.2">
      <c r="A70" s="206"/>
      <c r="B70" s="206"/>
      <c r="C70" s="754"/>
      <c r="D70" s="206"/>
      <c r="E70" s="206"/>
      <c r="F70" s="206"/>
      <c r="G70" s="206"/>
      <c r="H70" s="206"/>
      <c r="I70" s="206"/>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row>
    <row r="71" spans="1:34" x14ac:dyDescent="0.2">
      <c r="A71" s="206"/>
      <c r="B71" s="206"/>
      <c r="C71" s="754"/>
      <c r="D71" s="206"/>
      <c r="E71" s="206"/>
      <c r="F71" s="206"/>
      <c r="G71" s="206"/>
      <c r="H71" s="206"/>
      <c r="I71" s="206"/>
      <c r="J71" s="206"/>
      <c r="K71" s="206"/>
      <c r="L71" s="206"/>
      <c r="M71" s="206"/>
      <c r="N71" s="206"/>
      <c r="O71" s="206"/>
      <c r="P71" s="206"/>
      <c r="Q71" s="206"/>
      <c r="R71" s="206"/>
      <c r="S71" s="206"/>
      <c r="T71" s="206"/>
      <c r="U71" s="206"/>
      <c r="V71" s="206"/>
      <c r="W71" s="206"/>
      <c r="X71" s="206"/>
      <c r="Y71" s="206"/>
      <c r="Z71" s="206"/>
      <c r="AA71" s="206"/>
      <c r="AB71" s="206"/>
      <c r="AC71" s="206"/>
      <c r="AD71" s="206"/>
      <c r="AE71" s="206"/>
      <c r="AF71" s="206"/>
      <c r="AG71" s="206"/>
      <c r="AH71" s="206"/>
    </row>
    <row r="72" spans="1:34" x14ac:dyDescent="0.2">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c r="AD72" s="206"/>
      <c r="AE72" s="206"/>
      <c r="AF72" s="206"/>
      <c r="AG72" s="206"/>
      <c r="AH72" s="206"/>
    </row>
  </sheetData>
  <sheetProtection password="CD9E" sheet="1" objects="1" scenarios="1" selectLockedCells="1"/>
  <mergeCells count="18">
    <mergeCell ref="A13:B13"/>
    <mergeCell ref="E13:F13"/>
    <mergeCell ref="G13:H13"/>
    <mergeCell ref="J13:K13"/>
    <mergeCell ref="L13:M13"/>
    <mergeCell ref="A12:B12"/>
    <mergeCell ref="E12:K12"/>
    <mergeCell ref="L12:R12"/>
    <mergeCell ref="S12:Y12"/>
    <mergeCell ref="Z12:AF12"/>
    <mergeCell ref="AB13:AC13"/>
    <mergeCell ref="AE13:AF13"/>
    <mergeCell ref="N13:O13"/>
    <mergeCell ref="Q13:R13"/>
    <mergeCell ref="S13:T13"/>
    <mergeCell ref="U13:V13"/>
    <mergeCell ref="X13:Y13"/>
    <mergeCell ref="Z13:AA13"/>
  </mergeCells>
  <dataValidations count="1">
    <dataValidation type="list" allowBlank="1" showInputMessage="1" showErrorMessage="1" sqref="B68:B71">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sheetPr>
  <dimension ref="A1:BK48"/>
  <sheetViews>
    <sheetView showGridLines="0" topLeftCell="A2" workbookViewId="0">
      <selection activeCell="G23" sqref="G23"/>
    </sheetView>
  </sheetViews>
  <sheetFormatPr baseColWidth="10" defaultColWidth="9.140625" defaultRowHeight="12.75" x14ac:dyDescent="0.2"/>
  <cols>
    <col min="1" max="1" width="25.85546875" customWidth="1"/>
    <col min="2" max="2" width="12.7109375" customWidth="1"/>
    <col min="3" max="3" width="6.7109375" customWidth="1"/>
    <col min="4" max="4" width="12.7109375" customWidth="1"/>
    <col min="5" max="5" width="6.7109375" customWidth="1"/>
    <col min="6" max="6" width="12.7109375" customWidth="1"/>
    <col min="7" max="7" width="6.7109375" customWidth="1"/>
    <col min="8" max="8" width="12.7109375" customWidth="1"/>
    <col min="9" max="9" width="6.7109375" customWidth="1"/>
    <col min="10" max="10" width="12.7109375" customWidth="1"/>
    <col min="11" max="11" width="6.7109375" customWidth="1"/>
  </cols>
  <sheetData>
    <row r="1" spans="1:63" x14ac:dyDescent="0.2">
      <c r="A1" s="26" t="s">
        <v>6</v>
      </c>
      <c r="B1" s="66"/>
      <c r="C1" s="66"/>
      <c r="D1" s="66"/>
      <c r="E1" s="66"/>
      <c r="F1" s="66"/>
      <c r="G1" s="66"/>
      <c r="H1" s="66"/>
      <c r="I1" s="66"/>
      <c r="J1" s="66"/>
      <c r="K1" s="66"/>
      <c r="L1" s="66"/>
    </row>
    <row r="2" spans="1:63" x14ac:dyDescent="0.2">
      <c r="A2" s="28" t="s">
        <v>10</v>
      </c>
      <c r="B2" s="66"/>
      <c r="C2" s="66"/>
      <c r="D2" s="66"/>
      <c r="E2" s="66"/>
      <c r="F2" s="66"/>
      <c r="G2" s="66"/>
      <c r="H2" s="66"/>
      <c r="I2" s="66"/>
      <c r="J2" s="66"/>
      <c r="K2" s="66"/>
      <c r="L2" s="66"/>
    </row>
    <row r="3" spans="1:63" x14ac:dyDescent="0.2">
      <c r="A3" s="28" t="s">
        <v>7</v>
      </c>
      <c r="B3" s="66"/>
      <c r="C3" s="66"/>
      <c r="D3" s="66"/>
      <c r="E3" s="66"/>
      <c r="F3" s="66"/>
      <c r="G3" s="66"/>
      <c r="H3" s="66"/>
      <c r="I3" s="66"/>
      <c r="J3" s="66"/>
      <c r="K3" s="66"/>
      <c r="L3" s="66"/>
    </row>
    <row r="4" spans="1:63" x14ac:dyDescent="0.2">
      <c r="A4" s="73" t="s">
        <v>222</v>
      </c>
      <c r="B4" s="73"/>
      <c r="C4" s="73"/>
      <c r="D4" s="73"/>
      <c r="E4" s="73"/>
      <c r="F4" s="73"/>
      <c r="G4" s="73"/>
      <c r="H4" s="73"/>
      <c r="I4" s="73"/>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c r="BE4" s="74"/>
      <c r="BF4" s="74"/>
      <c r="BG4" s="74"/>
      <c r="BH4" s="74"/>
      <c r="BI4" s="74"/>
      <c r="BJ4" s="74"/>
      <c r="BK4" s="74"/>
    </row>
    <row r="5" spans="1:63" x14ac:dyDescent="0.2">
      <c r="A5" s="131"/>
      <c r="B5" s="131"/>
      <c r="C5" s="131"/>
      <c r="D5" s="131"/>
      <c r="E5" s="131"/>
      <c r="F5" s="131"/>
      <c r="G5" s="131"/>
      <c r="H5" s="131"/>
      <c r="I5" s="131"/>
      <c r="J5" s="131"/>
      <c r="K5" s="131"/>
      <c r="L5" s="131"/>
      <c r="BJ5" s="74"/>
      <c r="BK5" s="74"/>
    </row>
    <row r="6" spans="1:63" x14ac:dyDescent="0.2">
      <c r="A6" s="206"/>
      <c r="B6" s="206"/>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206"/>
      <c r="BF6" s="206"/>
      <c r="BG6" s="206"/>
      <c r="BH6" s="206"/>
      <c r="BI6" s="206"/>
      <c r="BJ6" s="206"/>
      <c r="BK6" s="206"/>
    </row>
    <row r="7" spans="1:63" ht="15.75" x14ac:dyDescent="0.25">
      <c r="A7" s="76" t="s">
        <v>1037</v>
      </c>
      <c r="B7" s="75"/>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206"/>
      <c r="BK7" s="206"/>
    </row>
    <row r="8" spans="1:63" x14ac:dyDescent="0.2">
      <c r="A8" s="77" t="s">
        <v>21</v>
      </c>
      <c r="B8" s="75"/>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206"/>
      <c r="BK8" s="206"/>
    </row>
    <row r="9" spans="1:63" x14ac:dyDescent="0.2">
      <c r="A9" s="81"/>
      <c r="B9" s="207" t="s">
        <v>34</v>
      </c>
      <c r="C9" s="207"/>
      <c r="D9" s="510">
        <v>2014</v>
      </c>
      <c r="E9" s="75"/>
      <c r="F9" s="75"/>
      <c r="G9" s="75"/>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206"/>
      <c r="BK9" s="206"/>
    </row>
    <row r="10" spans="1:63" x14ac:dyDescent="0.2">
      <c r="A10" s="81"/>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75"/>
      <c r="BC10" s="75"/>
      <c r="BD10" s="75"/>
      <c r="BE10" s="75"/>
      <c r="BF10" s="75"/>
      <c r="BG10" s="75"/>
      <c r="BH10" s="75"/>
      <c r="BI10" s="75"/>
      <c r="BJ10" s="206"/>
      <c r="BK10" s="206"/>
    </row>
    <row r="11" spans="1:63" x14ac:dyDescent="0.2">
      <c r="A11" s="81"/>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5"/>
      <c r="BC11" s="75"/>
      <c r="BD11" s="75"/>
      <c r="BE11" s="75"/>
      <c r="BF11" s="75"/>
      <c r="BG11" s="75"/>
      <c r="BH11" s="75"/>
      <c r="BI11" s="75"/>
      <c r="BJ11" s="206"/>
      <c r="BK11" s="206"/>
    </row>
    <row r="12" spans="1:63" x14ac:dyDescent="0.2">
      <c r="A12" s="1790" t="s">
        <v>941</v>
      </c>
      <c r="B12" s="1784" t="s">
        <v>292</v>
      </c>
      <c r="C12" s="1785"/>
      <c r="D12" s="1785"/>
      <c r="E12" s="1785"/>
      <c r="F12" s="1785"/>
      <c r="G12" s="1785"/>
      <c r="H12" s="1785"/>
      <c r="I12" s="1785"/>
      <c r="J12" s="1785"/>
      <c r="K12" s="1788"/>
      <c r="L12" s="1784" t="s">
        <v>293</v>
      </c>
      <c r="M12" s="1785"/>
      <c r="N12" s="1785"/>
      <c r="O12" s="1785"/>
      <c r="P12" s="1785"/>
      <c r="Q12" s="1785"/>
      <c r="R12" s="1785"/>
      <c r="S12" s="1785"/>
      <c r="T12" s="1785"/>
      <c r="U12" s="1788"/>
      <c r="V12" s="1784" t="s">
        <v>1029</v>
      </c>
      <c r="W12" s="1785"/>
      <c r="X12" s="1785"/>
      <c r="Y12" s="1785"/>
      <c r="Z12" s="1785"/>
      <c r="AA12" s="1785"/>
      <c r="AB12" s="1785"/>
      <c r="AC12" s="1785"/>
      <c r="AD12" s="1785"/>
      <c r="AE12" s="1788"/>
      <c r="AF12" s="1784" t="s">
        <v>681</v>
      </c>
      <c r="AG12" s="1785"/>
      <c r="AH12" s="1785"/>
      <c r="AI12" s="1785"/>
      <c r="AJ12" s="1785"/>
      <c r="AK12" s="1785"/>
      <c r="AL12" s="1785"/>
      <c r="AM12" s="1785"/>
      <c r="AN12" s="1785"/>
      <c r="AO12" s="1788"/>
      <c r="AP12" s="1784" t="s">
        <v>295</v>
      </c>
      <c r="AQ12" s="1785"/>
      <c r="AR12" s="1785"/>
      <c r="AS12" s="1785"/>
      <c r="AT12" s="1785"/>
      <c r="AU12" s="1785"/>
      <c r="AV12" s="1785"/>
      <c r="AW12" s="1785"/>
      <c r="AX12" s="1785"/>
      <c r="AY12" s="1788"/>
      <c r="AZ12" s="1794" t="s">
        <v>1030</v>
      </c>
      <c r="BA12" s="1795"/>
      <c r="BB12" s="1795"/>
      <c r="BC12" s="1795"/>
      <c r="BD12" s="1795"/>
      <c r="BE12" s="1795"/>
      <c r="BF12" s="1795"/>
      <c r="BG12" s="1795"/>
      <c r="BH12" s="1795"/>
      <c r="BI12" s="1796"/>
      <c r="BJ12" s="206"/>
      <c r="BK12" s="206"/>
    </row>
    <row r="13" spans="1:63" ht="16.5" customHeight="1" x14ac:dyDescent="0.2">
      <c r="A13" s="1791"/>
      <c r="B13" s="1792" t="s">
        <v>1034</v>
      </c>
      <c r="C13" s="1792"/>
      <c r="D13" s="1792" t="s">
        <v>1031</v>
      </c>
      <c r="E13" s="1792"/>
      <c r="F13" s="1792" t="s">
        <v>1032</v>
      </c>
      <c r="G13" s="1792"/>
      <c r="H13" s="1792" t="s">
        <v>1035</v>
      </c>
      <c r="I13" s="1792"/>
      <c r="J13" s="1792" t="s">
        <v>1033</v>
      </c>
      <c r="K13" s="1793"/>
      <c r="L13" s="1792" t="s">
        <v>1034</v>
      </c>
      <c r="M13" s="1792"/>
      <c r="N13" s="1792" t="s">
        <v>1031</v>
      </c>
      <c r="O13" s="1792"/>
      <c r="P13" s="1792" t="s">
        <v>1032</v>
      </c>
      <c r="Q13" s="1792"/>
      <c r="R13" s="1792" t="s">
        <v>1035</v>
      </c>
      <c r="S13" s="1792"/>
      <c r="T13" s="1792" t="s">
        <v>1033</v>
      </c>
      <c r="U13" s="1793"/>
      <c r="V13" s="1792" t="s">
        <v>1034</v>
      </c>
      <c r="W13" s="1792"/>
      <c r="X13" s="1792" t="s">
        <v>1031</v>
      </c>
      <c r="Y13" s="1792"/>
      <c r="Z13" s="1792" t="s">
        <v>1032</v>
      </c>
      <c r="AA13" s="1792"/>
      <c r="AB13" s="1792" t="s">
        <v>1035</v>
      </c>
      <c r="AC13" s="1792"/>
      <c r="AD13" s="1792" t="s">
        <v>1033</v>
      </c>
      <c r="AE13" s="1793"/>
      <c r="AF13" s="1792" t="s">
        <v>1034</v>
      </c>
      <c r="AG13" s="1792"/>
      <c r="AH13" s="1792" t="s">
        <v>1031</v>
      </c>
      <c r="AI13" s="1792"/>
      <c r="AJ13" s="1792" t="s">
        <v>1032</v>
      </c>
      <c r="AK13" s="1792"/>
      <c r="AL13" s="1792" t="s">
        <v>1035</v>
      </c>
      <c r="AM13" s="1792"/>
      <c r="AN13" s="1792" t="s">
        <v>1033</v>
      </c>
      <c r="AO13" s="1793"/>
      <c r="AP13" s="1792" t="s">
        <v>1034</v>
      </c>
      <c r="AQ13" s="1792"/>
      <c r="AR13" s="1792" t="s">
        <v>1031</v>
      </c>
      <c r="AS13" s="1792"/>
      <c r="AT13" s="1792" t="s">
        <v>1032</v>
      </c>
      <c r="AU13" s="1792"/>
      <c r="AV13" s="1792" t="s">
        <v>1035</v>
      </c>
      <c r="AW13" s="1792"/>
      <c r="AX13" s="1792" t="s">
        <v>1033</v>
      </c>
      <c r="AY13" s="1793"/>
      <c r="AZ13" s="1797" t="s">
        <v>1034</v>
      </c>
      <c r="BA13" s="1797"/>
      <c r="BB13" s="1797" t="s">
        <v>1031</v>
      </c>
      <c r="BC13" s="1797"/>
      <c r="BD13" s="1797" t="s">
        <v>1032</v>
      </c>
      <c r="BE13" s="1797"/>
      <c r="BF13" s="1797" t="s">
        <v>1035</v>
      </c>
      <c r="BG13" s="1797"/>
      <c r="BH13" s="1797" t="s">
        <v>1033</v>
      </c>
      <c r="BI13" s="1798"/>
      <c r="BJ13" s="206"/>
      <c r="BK13" s="206"/>
    </row>
    <row r="14" spans="1:63" x14ac:dyDescent="0.2">
      <c r="A14" s="1531" t="s">
        <v>1008</v>
      </c>
      <c r="B14" s="1540">
        <v>28.51268</v>
      </c>
      <c r="C14" s="1541"/>
      <c r="D14" s="1541">
        <v>21.384509999999999</v>
      </c>
      <c r="E14" s="1541"/>
      <c r="F14" s="1541">
        <v>71.281710000000004</v>
      </c>
      <c r="G14" s="1541"/>
      <c r="H14" s="1541">
        <v>163.9479</v>
      </c>
      <c r="I14" s="1541"/>
      <c r="J14" s="1541">
        <v>327.89589999999998</v>
      </c>
      <c r="K14" s="1542"/>
      <c r="L14" s="1540">
        <v>7.128171</v>
      </c>
      <c r="M14" s="1541"/>
      <c r="N14" s="1541">
        <v>21.384509999999999</v>
      </c>
      <c r="O14" s="1541"/>
      <c r="P14" s="1541">
        <v>49.897199999999998</v>
      </c>
      <c r="Q14" s="1541"/>
      <c r="R14" s="1541">
        <v>228.10149999999999</v>
      </c>
      <c r="S14" s="1541"/>
      <c r="T14" s="1541">
        <v>192.4606</v>
      </c>
      <c r="U14" s="1542"/>
      <c r="V14" s="1540">
        <v>71.281710000000004</v>
      </c>
      <c r="W14" s="1541"/>
      <c r="X14" s="1541">
        <v>249.48599999999999</v>
      </c>
      <c r="Y14" s="1541"/>
      <c r="Z14" s="1541">
        <v>570.25369999999998</v>
      </c>
      <c r="AA14" s="1541"/>
      <c r="AB14" s="1541">
        <v>1817.68</v>
      </c>
      <c r="AC14" s="1541"/>
      <c r="AD14" s="1541">
        <v>5353.26</v>
      </c>
      <c r="AE14" s="1542"/>
      <c r="AF14" s="1540">
        <v>7.128171</v>
      </c>
      <c r="AG14" s="1541"/>
      <c r="AH14" s="1541">
        <v>0</v>
      </c>
      <c r="AI14" s="1541"/>
      <c r="AJ14" s="1541">
        <v>7.128171</v>
      </c>
      <c r="AK14" s="1541"/>
      <c r="AL14" s="1541">
        <v>49.897199999999998</v>
      </c>
      <c r="AM14" s="1541"/>
      <c r="AN14" s="1541">
        <v>106.9226</v>
      </c>
      <c r="AO14" s="1542"/>
      <c r="AP14" s="1540">
        <v>7.128171</v>
      </c>
      <c r="AQ14" s="1541"/>
      <c r="AR14" s="1541">
        <v>7.128171</v>
      </c>
      <c r="AS14" s="1541"/>
      <c r="AT14" s="1541">
        <v>21.384509999999999</v>
      </c>
      <c r="AU14" s="1541"/>
      <c r="AV14" s="1541">
        <v>206.71700000000001</v>
      </c>
      <c r="AW14" s="1541"/>
      <c r="AX14" s="1621">
        <v>406.3057</v>
      </c>
      <c r="AY14" s="1542"/>
      <c r="AZ14" s="1540"/>
      <c r="BA14" s="1541"/>
      <c r="BB14" s="1541"/>
      <c r="BC14" s="1541"/>
      <c r="BD14" s="1541"/>
      <c r="BE14" s="1541"/>
      <c r="BF14" s="1541"/>
      <c r="BG14" s="1541"/>
      <c r="BH14" s="1541"/>
      <c r="BI14" s="1542"/>
      <c r="BJ14" s="206"/>
      <c r="BK14" s="206"/>
    </row>
    <row r="15" spans="1:63" x14ac:dyDescent="0.2">
      <c r="A15" s="1531" t="s">
        <v>1009</v>
      </c>
      <c r="B15" s="1618">
        <v>28.51268</v>
      </c>
      <c r="C15" s="1544"/>
      <c r="D15" s="1544">
        <v>35.64085</v>
      </c>
      <c r="E15" s="1544"/>
      <c r="F15" s="1544">
        <v>85.538049999999998</v>
      </c>
      <c r="G15" s="1544"/>
      <c r="H15" s="1544">
        <v>149.69159999999999</v>
      </c>
      <c r="I15" s="1544"/>
      <c r="J15" s="1544">
        <v>313.6395</v>
      </c>
      <c r="K15" s="1545"/>
      <c r="L15" s="1618">
        <v>21.384509999999999</v>
      </c>
      <c r="M15" s="1544"/>
      <c r="N15" s="1544">
        <v>49.897199999999998</v>
      </c>
      <c r="O15" s="1544"/>
      <c r="P15" s="1544">
        <v>71.281710000000004</v>
      </c>
      <c r="Q15" s="1544"/>
      <c r="R15" s="1544">
        <v>220.97329999999999</v>
      </c>
      <c r="S15" s="1544"/>
      <c r="T15" s="1544">
        <v>135.43520000000001</v>
      </c>
      <c r="U15" s="1545"/>
      <c r="V15" s="1543">
        <v>228.10149999999999</v>
      </c>
      <c r="W15" s="1544"/>
      <c r="X15" s="1544">
        <v>449.07479999999998</v>
      </c>
      <c r="Y15" s="1544"/>
      <c r="Z15" s="1544">
        <v>1161.8900000000001</v>
      </c>
      <c r="AA15" s="1544"/>
      <c r="AB15" s="1544">
        <v>2273.89</v>
      </c>
      <c r="AC15" s="1544"/>
      <c r="AD15" s="1544">
        <v>3949.01</v>
      </c>
      <c r="AE15" s="1545"/>
      <c r="AF15" s="1543">
        <v>7.128171</v>
      </c>
      <c r="AG15" s="1544"/>
      <c r="AH15" s="1544">
        <v>7.128171</v>
      </c>
      <c r="AI15" s="1544"/>
      <c r="AJ15" s="1544">
        <v>21.384509999999999</v>
      </c>
      <c r="AK15" s="1544"/>
      <c r="AL15" s="1544">
        <v>42.769030000000001</v>
      </c>
      <c r="AM15" s="1544"/>
      <c r="AN15" s="1544">
        <v>92.666219999999996</v>
      </c>
      <c r="AO15" s="1545"/>
      <c r="AP15" s="1543">
        <v>0</v>
      </c>
      <c r="AQ15" s="1544"/>
      <c r="AR15" s="1544">
        <v>28.51268</v>
      </c>
      <c r="AS15" s="1544"/>
      <c r="AT15" s="1544">
        <v>35.64085</v>
      </c>
      <c r="AU15" s="1544"/>
      <c r="AV15" s="1544">
        <v>206.71700000000001</v>
      </c>
      <c r="AW15" s="1544"/>
      <c r="AX15" s="1544">
        <v>377.79309999999998</v>
      </c>
      <c r="AY15" s="1545"/>
      <c r="AZ15" s="1543"/>
      <c r="BA15" s="1544"/>
      <c r="BB15" s="1544"/>
      <c r="BC15" s="1544"/>
      <c r="BD15" s="1544"/>
      <c r="BE15" s="1544"/>
      <c r="BF15" s="1544"/>
      <c r="BG15" s="1544"/>
      <c r="BH15" s="1544"/>
      <c r="BI15" s="1545"/>
      <c r="BJ15" s="206"/>
      <c r="BK15" s="206"/>
    </row>
    <row r="16" spans="1:63" x14ac:dyDescent="0.2">
      <c r="A16" s="1531" t="s">
        <v>1010</v>
      </c>
      <c r="B16" s="1543">
        <v>28.51268</v>
      </c>
      <c r="C16" s="1544"/>
      <c r="D16" s="1544">
        <v>14.25634</v>
      </c>
      <c r="E16" s="1544"/>
      <c r="F16" s="1544">
        <v>49.897199999999998</v>
      </c>
      <c r="G16" s="1544"/>
      <c r="H16" s="1617">
        <v>106.9226</v>
      </c>
      <c r="I16" s="1544"/>
      <c r="J16" s="1544">
        <v>413.43389999999999</v>
      </c>
      <c r="K16" s="1545"/>
      <c r="L16" s="1543">
        <v>28.51268</v>
      </c>
      <c r="M16" s="1544"/>
      <c r="N16" s="1544">
        <v>21.384509999999999</v>
      </c>
      <c r="O16" s="1544"/>
      <c r="P16" s="1544">
        <v>49.897199999999998</v>
      </c>
      <c r="Q16" s="1544"/>
      <c r="R16" s="1544">
        <v>149.69159999999999</v>
      </c>
      <c r="S16" s="1544"/>
      <c r="T16" s="1544">
        <v>249.48599999999999</v>
      </c>
      <c r="U16" s="1545"/>
      <c r="V16" s="1543">
        <v>192.4606</v>
      </c>
      <c r="W16" s="1544"/>
      <c r="X16" s="1544">
        <v>178.20429999999999</v>
      </c>
      <c r="Y16" s="1544"/>
      <c r="Z16" s="1544">
        <v>399.17759999999998</v>
      </c>
      <c r="AA16" s="1544"/>
      <c r="AB16" s="1544">
        <v>1646.61</v>
      </c>
      <c r="AC16" s="1544"/>
      <c r="AD16" s="1544">
        <v>5645.51</v>
      </c>
      <c r="AE16" s="1545"/>
      <c r="AF16" s="1543">
        <v>7.128171</v>
      </c>
      <c r="AG16" s="1544"/>
      <c r="AH16" s="1544">
        <v>0</v>
      </c>
      <c r="AI16" s="1544"/>
      <c r="AJ16" s="1544">
        <v>42.769030000000001</v>
      </c>
      <c r="AK16" s="1544"/>
      <c r="AL16" s="1544">
        <v>7.128171</v>
      </c>
      <c r="AM16" s="1544"/>
      <c r="AN16" s="1544">
        <v>114.05070000000001</v>
      </c>
      <c r="AO16" s="1545"/>
      <c r="AP16" s="1543">
        <v>7.128171</v>
      </c>
      <c r="AQ16" s="1544"/>
      <c r="AR16" s="1544">
        <v>0</v>
      </c>
      <c r="AS16" s="1544"/>
      <c r="AT16" s="1544">
        <v>42.769030000000001</v>
      </c>
      <c r="AU16" s="1544"/>
      <c r="AV16" s="1544">
        <v>142.5634</v>
      </c>
      <c r="AW16" s="1544"/>
      <c r="AX16" s="1544">
        <v>456.2029</v>
      </c>
      <c r="AY16" s="1545"/>
      <c r="AZ16" s="1543"/>
      <c r="BA16" s="1544"/>
      <c r="BB16" s="1544"/>
      <c r="BC16" s="1544"/>
      <c r="BD16" s="1544"/>
      <c r="BE16" s="1544"/>
      <c r="BF16" s="1544"/>
      <c r="BG16" s="1544"/>
      <c r="BH16" s="1544"/>
      <c r="BI16" s="1545"/>
      <c r="BJ16" s="206"/>
      <c r="BK16" s="206"/>
    </row>
    <row r="17" spans="1:63" x14ac:dyDescent="0.2">
      <c r="A17" s="1531" t="s">
        <v>1040</v>
      </c>
      <c r="B17" s="1543">
        <v>14.25634</v>
      </c>
      <c r="C17" s="1544"/>
      <c r="D17" s="1544">
        <v>7.128171</v>
      </c>
      <c r="E17" s="1544"/>
      <c r="F17" s="1544">
        <v>28.51268</v>
      </c>
      <c r="G17" s="1544"/>
      <c r="H17" s="1544">
        <v>220.97329999999999</v>
      </c>
      <c r="I17" s="1544"/>
      <c r="J17" s="1544">
        <v>342.15219999999999</v>
      </c>
      <c r="K17" s="1545"/>
      <c r="L17" s="1543">
        <v>7.128171</v>
      </c>
      <c r="M17" s="1544"/>
      <c r="N17" s="1544">
        <v>28.51268</v>
      </c>
      <c r="O17" s="1544"/>
      <c r="P17" s="1544">
        <v>42.769030000000001</v>
      </c>
      <c r="Q17" s="1544"/>
      <c r="R17" s="1544">
        <v>156.81979999999999</v>
      </c>
      <c r="S17" s="1544"/>
      <c r="T17" s="1544">
        <v>263.7423</v>
      </c>
      <c r="U17" s="1545"/>
      <c r="V17" s="1543">
        <v>121.1789</v>
      </c>
      <c r="W17" s="1544"/>
      <c r="X17" s="1544">
        <v>156.81979999999999</v>
      </c>
      <c r="Y17" s="1544"/>
      <c r="Z17" s="1544">
        <v>577.3818</v>
      </c>
      <c r="AA17" s="1544"/>
      <c r="AB17" s="1544">
        <v>2223.9899999999998</v>
      </c>
      <c r="AC17" s="1544"/>
      <c r="AD17" s="1544">
        <v>4982.59</v>
      </c>
      <c r="AE17" s="1545"/>
      <c r="AF17" s="1543">
        <v>7.128171</v>
      </c>
      <c r="AG17" s="1544"/>
      <c r="AH17" s="1544">
        <v>7.128171</v>
      </c>
      <c r="AI17" s="1544"/>
      <c r="AJ17" s="1544">
        <v>0</v>
      </c>
      <c r="AK17" s="1544"/>
      <c r="AL17" s="1544">
        <v>42.769030000000001</v>
      </c>
      <c r="AM17" s="1544"/>
      <c r="AN17" s="1544">
        <v>114.05070000000001</v>
      </c>
      <c r="AO17" s="1545"/>
      <c r="AP17" s="1543">
        <v>0</v>
      </c>
      <c r="AQ17" s="1544"/>
      <c r="AR17" s="1544">
        <v>14.25634</v>
      </c>
      <c r="AS17" s="1544"/>
      <c r="AT17" s="1544">
        <v>57.025370000000002</v>
      </c>
      <c r="AU17" s="1544"/>
      <c r="AV17" s="1544">
        <v>156.81979999999999</v>
      </c>
      <c r="AW17" s="1544"/>
      <c r="AX17" s="1544">
        <v>420.56209999999999</v>
      </c>
      <c r="AY17" s="1545"/>
      <c r="AZ17" s="1543"/>
      <c r="BA17" s="1544"/>
      <c r="BB17" s="1544"/>
      <c r="BC17" s="1544"/>
      <c r="BD17" s="1544"/>
      <c r="BE17" s="1544"/>
      <c r="BF17" s="1544"/>
      <c r="BG17" s="1544"/>
      <c r="BH17" s="1544"/>
      <c r="BI17" s="1545"/>
      <c r="BJ17" s="206"/>
      <c r="BK17" s="206"/>
    </row>
    <row r="18" spans="1:63" x14ac:dyDescent="0.2">
      <c r="A18" s="1531" t="s">
        <v>1011</v>
      </c>
      <c r="B18" s="1543">
        <v>28.51268</v>
      </c>
      <c r="C18" s="1544"/>
      <c r="D18" s="1544">
        <v>42.769030000000001</v>
      </c>
      <c r="E18" s="1544"/>
      <c r="F18" s="1544">
        <v>71.281710000000004</v>
      </c>
      <c r="G18" s="1544"/>
      <c r="H18" s="1544">
        <v>235.2296</v>
      </c>
      <c r="I18" s="1544"/>
      <c r="J18" s="1544">
        <v>235.2296</v>
      </c>
      <c r="K18" s="1545"/>
      <c r="L18" s="1543">
        <v>0</v>
      </c>
      <c r="M18" s="1544"/>
      <c r="N18" s="1544">
        <v>64.153540000000007</v>
      </c>
      <c r="O18" s="1544"/>
      <c r="P18" s="1544">
        <v>85.538049999999998</v>
      </c>
      <c r="Q18" s="1544"/>
      <c r="R18" s="1544">
        <v>171.0761</v>
      </c>
      <c r="S18" s="1544"/>
      <c r="T18" s="1544">
        <v>178.20429999999999</v>
      </c>
      <c r="U18" s="1545"/>
      <c r="V18" s="1543">
        <v>149.69159999999999</v>
      </c>
      <c r="W18" s="1544"/>
      <c r="X18" s="1544">
        <v>270.87049999999999</v>
      </c>
      <c r="Y18" s="1544"/>
      <c r="Z18" s="1544">
        <v>833.99599999999998</v>
      </c>
      <c r="AA18" s="1544"/>
      <c r="AB18" s="1544">
        <v>2402.19</v>
      </c>
      <c r="AC18" s="1544"/>
      <c r="AD18" s="1544">
        <v>4405.21</v>
      </c>
      <c r="AE18" s="1545"/>
      <c r="AF18" s="1543">
        <v>7.128171</v>
      </c>
      <c r="AG18" s="1544"/>
      <c r="AH18" s="1544">
        <v>0</v>
      </c>
      <c r="AI18" s="1544"/>
      <c r="AJ18" s="1544">
        <v>7.128171</v>
      </c>
      <c r="AK18" s="1544"/>
      <c r="AL18" s="1544">
        <v>64.153540000000007</v>
      </c>
      <c r="AM18" s="1544"/>
      <c r="AN18" s="1544">
        <v>92.666219999999996</v>
      </c>
      <c r="AO18" s="1545"/>
      <c r="AP18" s="1543">
        <v>14.25634</v>
      </c>
      <c r="AQ18" s="1544"/>
      <c r="AR18" s="1544">
        <v>42.769030000000001</v>
      </c>
      <c r="AS18" s="1544"/>
      <c r="AT18" s="1544">
        <v>78.409880000000001</v>
      </c>
      <c r="AU18" s="1544"/>
      <c r="AV18" s="1544">
        <v>228.10149999999999</v>
      </c>
      <c r="AW18" s="1544"/>
      <c r="AX18" s="1544">
        <v>285.1268</v>
      </c>
      <c r="AY18" s="1545"/>
      <c r="AZ18" s="1543"/>
      <c r="BA18" s="1544"/>
      <c r="BB18" s="1544"/>
      <c r="BC18" s="1544"/>
      <c r="BD18" s="1544"/>
      <c r="BE18" s="1544"/>
      <c r="BF18" s="1544"/>
      <c r="BG18" s="1544"/>
      <c r="BH18" s="1544"/>
      <c r="BI18" s="1545"/>
      <c r="BJ18" s="206"/>
      <c r="BK18" s="206"/>
    </row>
    <row r="19" spans="1:63" x14ac:dyDescent="0.2">
      <c r="A19" s="1531" t="s">
        <v>1012</v>
      </c>
      <c r="B19" s="1543">
        <v>35.64085</v>
      </c>
      <c r="C19" s="1544"/>
      <c r="D19" s="1544">
        <v>21.384509999999999</v>
      </c>
      <c r="E19" s="1544"/>
      <c r="F19" s="1544">
        <v>106.9226</v>
      </c>
      <c r="G19" s="1544"/>
      <c r="H19" s="1544">
        <v>178.20429999999999</v>
      </c>
      <c r="I19" s="1544"/>
      <c r="J19" s="1544">
        <v>270.87049999999999</v>
      </c>
      <c r="K19" s="1545"/>
      <c r="L19" s="1543">
        <v>7.128171</v>
      </c>
      <c r="M19" s="1544"/>
      <c r="N19" s="1544">
        <v>14.25634</v>
      </c>
      <c r="O19" s="1544"/>
      <c r="P19" s="1544">
        <v>64.153540000000007</v>
      </c>
      <c r="Q19" s="1544"/>
      <c r="R19" s="1544">
        <v>156.81979999999999</v>
      </c>
      <c r="S19" s="1544"/>
      <c r="T19" s="1544">
        <v>256.61419999999998</v>
      </c>
      <c r="U19" s="1545"/>
      <c r="V19" s="1543">
        <v>163.9479</v>
      </c>
      <c r="W19" s="1544"/>
      <c r="X19" s="1544">
        <v>434.8184</v>
      </c>
      <c r="Y19" s="1544"/>
      <c r="Z19" s="1544">
        <v>1461.28</v>
      </c>
      <c r="AA19" s="1544"/>
      <c r="AB19" s="1544">
        <v>2844.14</v>
      </c>
      <c r="AC19" s="1544"/>
      <c r="AD19" s="1544">
        <v>3157.78</v>
      </c>
      <c r="AE19" s="1545"/>
      <c r="AF19" s="1543">
        <v>7.128171</v>
      </c>
      <c r="AG19" s="1544"/>
      <c r="AH19" s="1544">
        <v>14.25634</v>
      </c>
      <c r="AI19" s="1544"/>
      <c r="AJ19" s="1544">
        <v>35.64085</v>
      </c>
      <c r="AK19" s="1544"/>
      <c r="AL19" s="1544">
        <v>35.64085</v>
      </c>
      <c r="AM19" s="1544"/>
      <c r="AN19" s="1544">
        <v>78.409880000000001</v>
      </c>
      <c r="AO19" s="1545"/>
      <c r="AP19" s="1543">
        <v>7.128171</v>
      </c>
      <c r="AQ19" s="1544"/>
      <c r="AR19" s="1544">
        <v>21.384509999999999</v>
      </c>
      <c r="AS19" s="1544"/>
      <c r="AT19" s="1544">
        <v>114.05070000000001</v>
      </c>
      <c r="AU19" s="1544"/>
      <c r="AV19" s="1544">
        <v>249.48599999999999</v>
      </c>
      <c r="AW19" s="1544"/>
      <c r="AX19" s="1544">
        <v>256.61419999999998</v>
      </c>
      <c r="AY19" s="1545"/>
      <c r="AZ19" s="1543"/>
      <c r="BA19" s="1544"/>
      <c r="BB19" s="1544"/>
      <c r="BC19" s="1544"/>
      <c r="BD19" s="1544"/>
      <c r="BE19" s="1544"/>
      <c r="BF19" s="1544"/>
      <c r="BG19" s="1544"/>
      <c r="BH19" s="1544"/>
      <c r="BI19" s="1545"/>
      <c r="BJ19" s="206"/>
      <c r="BK19" s="206"/>
    </row>
    <row r="20" spans="1:63" x14ac:dyDescent="0.2">
      <c r="A20" s="1531" t="s">
        <v>1013</v>
      </c>
      <c r="B20" s="1543">
        <v>14.25634</v>
      </c>
      <c r="C20" s="1544"/>
      <c r="D20" s="1544">
        <v>7.128171</v>
      </c>
      <c r="E20" s="1544"/>
      <c r="F20" s="1544">
        <v>21.384509999999999</v>
      </c>
      <c r="G20" s="1544"/>
      <c r="H20" s="1544">
        <v>156.81979999999999</v>
      </c>
      <c r="I20" s="1544"/>
      <c r="J20" s="1544">
        <v>413.43389999999999</v>
      </c>
      <c r="K20" s="1545"/>
      <c r="L20" s="1543">
        <v>7.128171</v>
      </c>
      <c r="M20" s="1544"/>
      <c r="N20" s="1544">
        <v>7.128171</v>
      </c>
      <c r="O20" s="1544"/>
      <c r="P20" s="1544">
        <v>28.51268</v>
      </c>
      <c r="Q20" s="1544"/>
      <c r="R20" s="1544">
        <v>171.0761</v>
      </c>
      <c r="S20" s="1544"/>
      <c r="T20" s="1544">
        <v>285.1268</v>
      </c>
      <c r="U20" s="1545"/>
      <c r="V20" s="1543">
        <v>149.69159999999999</v>
      </c>
      <c r="W20" s="1544"/>
      <c r="X20" s="1544">
        <v>156.81979999999999</v>
      </c>
      <c r="Y20" s="1544"/>
      <c r="Z20" s="1544">
        <v>513.22829999999999</v>
      </c>
      <c r="AA20" s="1544"/>
      <c r="AB20" s="1544">
        <v>1896.09</v>
      </c>
      <c r="AC20" s="1544"/>
      <c r="AD20" s="1544">
        <v>5346.13</v>
      </c>
      <c r="AE20" s="1545"/>
      <c r="AF20" s="1543">
        <v>7.128171</v>
      </c>
      <c r="AG20" s="1544"/>
      <c r="AH20" s="1544">
        <v>0</v>
      </c>
      <c r="AI20" s="1544"/>
      <c r="AJ20" s="1544">
        <v>0</v>
      </c>
      <c r="AK20" s="1544"/>
      <c r="AL20" s="1544">
        <v>35.64085</v>
      </c>
      <c r="AM20" s="1544"/>
      <c r="AN20" s="1544">
        <v>128.30709999999999</v>
      </c>
      <c r="AO20" s="1545"/>
      <c r="AP20" s="1543">
        <v>0</v>
      </c>
      <c r="AQ20" s="1544"/>
      <c r="AR20" s="1544">
        <v>14.25634</v>
      </c>
      <c r="AS20" s="1544"/>
      <c r="AT20" s="1544">
        <v>28.51268</v>
      </c>
      <c r="AU20" s="1544"/>
      <c r="AV20" s="1544">
        <v>163.9479</v>
      </c>
      <c r="AW20" s="1544"/>
      <c r="AX20" s="1544">
        <v>441.94659999999999</v>
      </c>
      <c r="AY20" s="1545"/>
      <c r="AZ20" s="1543"/>
      <c r="BA20" s="1544"/>
      <c r="BB20" s="1544"/>
      <c r="BC20" s="1544"/>
      <c r="BD20" s="1544"/>
      <c r="BE20" s="1544"/>
      <c r="BF20" s="1544"/>
      <c r="BG20" s="1544"/>
      <c r="BH20" s="1544"/>
      <c r="BI20" s="1545"/>
      <c r="BJ20" s="206"/>
      <c r="BK20" s="206"/>
    </row>
    <row r="21" spans="1:63" x14ac:dyDescent="0.2">
      <c r="A21" s="1531" t="s">
        <v>1014</v>
      </c>
      <c r="B21" s="1543">
        <v>21.384509999999999</v>
      </c>
      <c r="C21" s="1544"/>
      <c r="D21" s="1544">
        <v>0</v>
      </c>
      <c r="E21" s="1544"/>
      <c r="F21" s="1544">
        <v>42.769030000000001</v>
      </c>
      <c r="G21" s="1544"/>
      <c r="H21" s="1544">
        <v>135.43520000000001</v>
      </c>
      <c r="I21" s="1544"/>
      <c r="J21" s="1544">
        <v>413.43389999999999</v>
      </c>
      <c r="K21" s="1545"/>
      <c r="L21" s="1543">
        <v>0</v>
      </c>
      <c r="M21" s="1544"/>
      <c r="N21" s="1544">
        <v>14.25634</v>
      </c>
      <c r="O21" s="1544"/>
      <c r="P21" s="1544">
        <v>21.384509999999999</v>
      </c>
      <c r="Q21" s="1544"/>
      <c r="R21" s="1544">
        <v>128.30709999999999</v>
      </c>
      <c r="S21" s="1544"/>
      <c r="T21" s="1544">
        <v>335.024</v>
      </c>
      <c r="U21" s="1545"/>
      <c r="V21" s="1543">
        <v>106.9226</v>
      </c>
      <c r="W21" s="1544"/>
      <c r="X21" s="1544">
        <v>106.9226</v>
      </c>
      <c r="Y21" s="1544"/>
      <c r="Z21" s="1544">
        <v>470.45929999999998</v>
      </c>
      <c r="AA21" s="1544"/>
      <c r="AB21" s="1544">
        <v>2010.14</v>
      </c>
      <c r="AC21" s="1544"/>
      <c r="AD21" s="1544">
        <v>5367.51</v>
      </c>
      <c r="AE21" s="1545"/>
      <c r="AF21" s="1543">
        <v>7.128171</v>
      </c>
      <c r="AG21" s="1544"/>
      <c r="AH21" s="1544">
        <v>0</v>
      </c>
      <c r="AI21" s="1544"/>
      <c r="AJ21" s="1544">
        <v>7.128171</v>
      </c>
      <c r="AK21" s="1544"/>
      <c r="AL21" s="1544">
        <v>42.769030000000001</v>
      </c>
      <c r="AM21" s="1544"/>
      <c r="AN21" s="1544">
        <v>114.05070000000001</v>
      </c>
      <c r="AO21" s="1545"/>
      <c r="AP21" s="1543">
        <v>0</v>
      </c>
      <c r="AQ21" s="1544"/>
      <c r="AR21" s="1544">
        <v>14.25634</v>
      </c>
      <c r="AS21" s="1544"/>
      <c r="AT21" s="1544">
        <v>71.281710000000004</v>
      </c>
      <c r="AU21" s="1544"/>
      <c r="AV21" s="1544">
        <v>135.43520000000001</v>
      </c>
      <c r="AW21" s="1544"/>
      <c r="AX21" s="1544">
        <v>427.69029999999998</v>
      </c>
      <c r="AY21" s="1545"/>
      <c r="AZ21" s="1543"/>
      <c r="BA21" s="1544"/>
      <c r="BB21" s="1544"/>
      <c r="BC21" s="1544"/>
      <c r="BD21" s="1544"/>
      <c r="BE21" s="1544"/>
      <c r="BF21" s="1544"/>
      <c r="BG21" s="1544"/>
      <c r="BH21" s="1544"/>
      <c r="BI21" s="1545"/>
      <c r="BJ21" s="206"/>
      <c r="BK21" s="206"/>
    </row>
    <row r="22" spans="1:63" x14ac:dyDescent="0.2">
      <c r="A22" s="1531" t="s">
        <v>1015</v>
      </c>
      <c r="B22" s="1543">
        <v>28.51268</v>
      </c>
      <c r="C22" s="1544"/>
      <c r="D22" s="1544">
        <v>28.51268</v>
      </c>
      <c r="E22" s="1544"/>
      <c r="F22" s="1544">
        <v>14.25634</v>
      </c>
      <c r="G22" s="1544"/>
      <c r="H22" s="1544">
        <v>142.5634</v>
      </c>
      <c r="I22" s="1544"/>
      <c r="J22" s="1544">
        <v>399.17759999999998</v>
      </c>
      <c r="K22" s="1545"/>
      <c r="L22" s="1543">
        <v>7.128171</v>
      </c>
      <c r="M22" s="1544"/>
      <c r="N22" s="1544">
        <v>49.897199999999998</v>
      </c>
      <c r="O22" s="1544"/>
      <c r="P22" s="1544">
        <v>35.64085</v>
      </c>
      <c r="Q22" s="1544"/>
      <c r="R22" s="1544">
        <v>149.69159999999999</v>
      </c>
      <c r="S22" s="1544"/>
      <c r="T22" s="1544">
        <v>256.61419999999998</v>
      </c>
      <c r="U22" s="1545"/>
      <c r="V22" s="1618">
        <v>156.81979999999999</v>
      </c>
      <c r="W22" s="1544"/>
      <c r="X22" s="1544">
        <v>156.81979999999999</v>
      </c>
      <c r="Y22" s="1544"/>
      <c r="Z22" s="1544">
        <v>613.02269999999999</v>
      </c>
      <c r="AA22" s="1544"/>
      <c r="AB22" s="1544">
        <v>2024.4</v>
      </c>
      <c r="AC22" s="1544"/>
      <c r="AD22" s="1544">
        <v>5110.8999999999996</v>
      </c>
      <c r="AE22" s="1545"/>
      <c r="AF22" s="1543">
        <v>7.128171</v>
      </c>
      <c r="AG22" s="1544"/>
      <c r="AH22" s="1544">
        <v>0</v>
      </c>
      <c r="AI22" s="1544"/>
      <c r="AJ22" s="1544">
        <v>14.25634</v>
      </c>
      <c r="AK22" s="1544"/>
      <c r="AL22" s="1544">
        <v>49.897199999999998</v>
      </c>
      <c r="AM22" s="1544"/>
      <c r="AN22" s="1544">
        <v>99.794390000000007</v>
      </c>
      <c r="AO22" s="1545"/>
      <c r="AP22" s="1543">
        <v>0</v>
      </c>
      <c r="AQ22" s="1544"/>
      <c r="AR22" s="1544">
        <v>14.25634</v>
      </c>
      <c r="AS22" s="1544"/>
      <c r="AT22" s="1544">
        <v>71.281710000000004</v>
      </c>
      <c r="AU22" s="1544"/>
      <c r="AV22" s="1544">
        <v>178.20429999999999</v>
      </c>
      <c r="AW22" s="1544"/>
      <c r="AX22" s="1544">
        <v>384.9212</v>
      </c>
      <c r="AY22" s="1545"/>
      <c r="AZ22" s="1543"/>
      <c r="BA22" s="1544"/>
      <c r="BB22" s="1544"/>
      <c r="BC22" s="1544"/>
      <c r="BD22" s="1544"/>
      <c r="BE22" s="1544"/>
      <c r="BF22" s="1544"/>
      <c r="BG22" s="1544"/>
      <c r="BH22" s="1544"/>
      <c r="BI22" s="1545"/>
      <c r="BJ22" s="206"/>
      <c r="BK22" s="206"/>
    </row>
    <row r="23" spans="1:63" x14ac:dyDescent="0.2">
      <c r="A23" s="1531" t="s">
        <v>1016</v>
      </c>
      <c r="B23" s="1543">
        <v>21.384509999999999</v>
      </c>
      <c r="C23" s="1544"/>
      <c r="D23" s="1544">
        <v>7.128171</v>
      </c>
      <c r="E23" s="1544"/>
      <c r="F23" s="1544">
        <v>49.897199999999998</v>
      </c>
      <c r="G23" s="1544"/>
      <c r="H23" s="1544">
        <v>156.81979999999999</v>
      </c>
      <c r="I23" s="1544"/>
      <c r="J23" s="1544">
        <v>377.79309999999998</v>
      </c>
      <c r="K23" s="1545"/>
      <c r="L23" s="1543">
        <v>14.25634</v>
      </c>
      <c r="M23" s="1544"/>
      <c r="N23" s="1544">
        <v>21.384509999999999</v>
      </c>
      <c r="O23" s="1544"/>
      <c r="P23" s="1544">
        <v>28.51268</v>
      </c>
      <c r="Q23" s="1544"/>
      <c r="R23" s="1544">
        <v>114.05070000000001</v>
      </c>
      <c r="S23" s="1544"/>
      <c r="T23" s="1544">
        <v>320.76769999999999</v>
      </c>
      <c r="U23" s="1545"/>
      <c r="V23" s="1543">
        <v>106.9226</v>
      </c>
      <c r="W23" s="1544"/>
      <c r="X23" s="1544">
        <v>171.0761</v>
      </c>
      <c r="Y23" s="1544"/>
      <c r="Z23" s="1544">
        <v>712.81709999999998</v>
      </c>
      <c r="AA23" s="1544"/>
      <c r="AB23" s="1544">
        <v>2608.91</v>
      </c>
      <c r="AC23" s="1544"/>
      <c r="AD23" s="1544">
        <v>4462.2299999999996</v>
      </c>
      <c r="AE23" s="1545"/>
      <c r="AF23" s="1543">
        <v>14.25634</v>
      </c>
      <c r="AG23" s="1544"/>
      <c r="AH23" s="1544">
        <v>7.128171</v>
      </c>
      <c r="AI23" s="1544"/>
      <c r="AJ23" s="1544">
        <v>14.25634</v>
      </c>
      <c r="AK23" s="1544"/>
      <c r="AL23" s="1544">
        <v>49.897199999999998</v>
      </c>
      <c r="AM23" s="1544"/>
      <c r="AN23" s="1544">
        <v>85.538049999999998</v>
      </c>
      <c r="AO23" s="1545"/>
      <c r="AP23" s="1543">
        <v>0</v>
      </c>
      <c r="AQ23" s="1544"/>
      <c r="AR23" s="1544">
        <v>14.25634</v>
      </c>
      <c r="AS23" s="1544"/>
      <c r="AT23" s="1544">
        <v>35.64085</v>
      </c>
      <c r="AU23" s="1544"/>
      <c r="AV23" s="1544">
        <v>228.10149999999999</v>
      </c>
      <c r="AW23" s="1544"/>
      <c r="AX23" s="1544">
        <v>370.66489999999999</v>
      </c>
      <c r="AY23" s="1545"/>
      <c r="AZ23" s="1543"/>
      <c r="BA23" s="1544"/>
      <c r="BB23" s="1544"/>
      <c r="BC23" s="1544"/>
      <c r="BD23" s="1544"/>
      <c r="BE23" s="1544"/>
      <c r="BF23" s="1544"/>
      <c r="BG23" s="1544"/>
      <c r="BH23" s="1544"/>
      <c r="BI23" s="1545"/>
      <c r="BJ23" s="206"/>
      <c r="BK23" s="206"/>
    </row>
    <row r="24" spans="1:63" x14ac:dyDescent="0.2">
      <c r="A24" s="1531" t="s">
        <v>1017</v>
      </c>
      <c r="B24" s="1543">
        <v>14.25634</v>
      </c>
      <c r="C24" s="1544"/>
      <c r="D24" s="1544">
        <v>7.128171</v>
      </c>
      <c r="E24" s="1544"/>
      <c r="F24" s="1544">
        <v>21.384509999999999</v>
      </c>
      <c r="G24" s="1544"/>
      <c r="H24" s="1544">
        <v>121.1789</v>
      </c>
      <c r="I24" s="1544"/>
      <c r="J24" s="1544">
        <v>449.07479999999998</v>
      </c>
      <c r="K24" s="1545"/>
      <c r="L24" s="1543">
        <v>7.128171</v>
      </c>
      <c r="M24" s="1544"/>
      <c r="N24" s="1544">
        <v>42.769030000000001</v>
      </c>
      <c r="O24" s="1544"/>
      <c r="P24" s="1544">
        <v>35.64085</v>
      </c>
      <c r="Q24" s="1544"/>
      <c r="R24" s="1544">
        <v>135.43520000000001</v>
      </c>
      <c r="S24" s="1544"/>
      <c r="T24" s="1544">
        <v>277.99869999999999</v>
      </c>
      <c r="U24" s="1545"/>
      <c r="V24" s="1543">
        <v>121.1789</v>
      </c>
      <c r="W24" s="1544"/>
      <c r="X24" s="1544">
        <v>106.9226</v>
      </c>
      <c r="Y24" s="1544"/>
      <c r="Z24" s="473">
        <v>306.51130000000001</v>
      </c>
      <c r="AA24" s="1544"/>
      <c r="AB24" s="1617">
        <v>1746.4</v>
      </c>
      <c r="AC24" s="1544"/>
      <c r="AD24" s="1544">
        <v>5780.95</v>
      </c>
      <c r="AE24" s="1545"/>
      <c r="AF24" s="1543">
        <v>7.128171</v>
      </c>
      <c r="AG24" s="1544"/>
      <c r="AH24" s="1544">
        <v>7.128171</v>
      </c>
      <c r="AI24" s="1544"/>
      <c r="AJ24" s="1544">
        <v>7.128171</v>
      </c>
      <c r="AK24" s="1544"/>
      <c r="AL24" s="1544">
        <v>28.51268</v>
      </c>
      <c r="AM24" s="1544"/>
      <c r="AN24" s="1544">
        <v>121.1789</v>
      </c>
      <c r="AO24" s="1545"/>
      <c r="AP24" s="1543">
        <v>7.128171</v>
      </c>
      <c r="AQ24" s="1544"/>
      <c r="AR24" s="1544">
        <v>0</v>
      </c>
      <c r="AS24" s="1544"/>
      <c r="AT24" s="1544">
        <v>21.384509999999999</v>
      </c>
      <c r="AU24" s="1544"/>
      <c r="AV24" s="1544">
        <v>163.9479</v>
      </c>
      <c r="AW24" s="1544"/>
      <c r="AX24" s="1544">
        <v>456.2029</v>
      </c>
      <c r="AY24" s="1545"/>
      <c r="AZ24" s="1543"/>
      <c r="BA24" s="1544"/>
      <c r="BB24" s="1544"/>
      <c r="BC24" s="1544"/>
      <c r="BD24" s="1544"/>
      <c r="BE24" s="1544"/>
      <c r="BF24" s="1544"/>
      <c r="BG24" s="1544"/>
      <c r="BH24" s="1544"/>
      <c r="BI24" s="1545"/>
      <c r="BJ24" s="206"/>
      <c r="BK24" s="206"/>
    </row>
    <row r="25" spans="1:63" x14ac:dyDescent="0.2">
      <c r="A25" s="1531" t="s">
        <v>1018</v>
      </c>
      <c r="B25" s="1543">
        <v>7.128171</v>
      </c>
      <c r="C25" s="1544"/>
      <c r="D25" s="1544">
        <v>42.769030000000001</v>
      </c>
      <c r="E25" s="1544"/>
      <c r="F25" s="1544">
        <v>71.281710000000004</v>
      </c>
      <c r="G25" s="1544"/>
      <c r="H25" s="1544">
        <v>192.4606</v>
      </c>
      <c r="I25" s="1544"/>
      <c r="J25" s="1544">
        <v>299.38319999999999</v>
      </c>
      <c r="K25" s="1545"/>
      <c r="L25" s="1543">
        <v>28.51268</v>
      </c>
      <c r="M25" s="1544"/>
      <c r="N25" s="1544">
        <v>14.25634</v>
      </c>
      <c r="O25" s="1544"/>
      <c r="P25" s="1544">
        <v>64.153540000000007</v>
      </c>
      <c r="Q25" s="1544"/>
      <c r="R25" s="1544">
        <v>121.1789</v>
      </c>
      <c r="S25" s="1544"/>
      <c r="T25" s="1544">
        <v>270.87049999999999</v>
      </c>
      <c r="U25" s="1545"/>
      <c r="V25" s="1543">
        <v>135.43520000000001</v>
      </c>
      <c r="W25" s="1544"/>
      <c r="X25" s="1544">
        <v>242.3578</v>
      </c>
      <c r="Y25" s="1544"/>
      <c r="Z25" s="1617">
        <v>727.07339999999999</v>
      </c>
      <c r="AA25" s="1544"/>
      <c r="AB25" s="1544">
        <v>2544.7600000000002</v>
      </c>
      <c r="AC25" s="1544"/>
      <c r="AD25" s="1544">
        <v>4412.34</v>
      </c>
      <c r="AE25" s="1545"/>
      <c r="AF25" s="1543">
        <v>7.128171</v>
      </c>
      <c r="AG25" s="1544"/>
      <c r="AH25" s="1544">
        <v>7.128171</v>
      </c>
      <c r="AI25" s="1544"/>
      <c r="AJ25" s="1544">
        <v>21.384509999999999</v>
      </c>
      <c r="AK25" s="1544"/>
      <c r="AL25" s="1617">
        <v>49.897199999999998</v>
      </c>
      <c r="AM25" s="1544"/>
      <c r="AN25" s="1544">
        <v>85.538049999999998</v>
      </c>
      <c r="AO25" s="1545"/>
      <c r="AP25" s="1543">
        <v>0</v>
      </c>
      <c r="AQ25" s="1544"/>
      <c r="AR25" s="1544">
        <v>7.128171</v>
      </c>
      <c r="AS25" s="1544"/>
      <c r="AT25" s="1544">
        <v>57.025370000000002</v>
      </c>
      <c r="AU25" s="1544"/>
      <c r="AV25" s="1544">
        <v>220.97329999999999</v>
      </c>
      <c r="AW25" s="1544"/>
      <c r="AX25" s="1544">
        <v>363.5367</v>
      </c>
      <c r="AY25" s="1545"/>
      <c r="AZ25" s="1543"/>
      <c r="BA25" s="1544"/>
      <c r="BB25" s="1544"/>
      <c r="BC25" s="1544"/>
      <c r="BD25" s="1544"/>
      <c r="BE25" s="1544"/>
      <c r="BF25" s="1544"/>
      <c r="BG25" s="1544"/>
      <c r="BH25" s="1544"/>
      <c r="BI25" s="1545"/>
      <c r="BJ25" s="206"/>
      <c r="BK25" s="206"/>
    </row>
    <row r="26" spans="1:63" x14ac:dyDescent="0.2">
      <c r="A26" s="1531" t="s">
        <v>1019</v>
      </c>
      <c r="B26" s="1543">
        <v>14.25634</v>
      </c>
      <c r="C26" s="1544"/>
      <c r="D26" s="1544">
        <v>21.384509999999999</v>
      </c>
      <c r="E26" s="1544"/>
      <c r="F26" s="1544">
        <v>35.64085</v>
      </c>
      <c r="G26" s="1544"/>
      <c r="H26" s="1544">
        <v>163.9479</v>
      </c>
      <c r="I26" s="1544"/>
      <c r="J26" s="1544">
        <v>377.79309999999998</v>
      </c>
      <c r="K26" s="1545"/>
      <c r="L26" s="1543">
        <v>7.128171</v>
      </c>
      <c r="M26" s="1544"/>
      <c r="N26" s="1544">
        <v>7.128171</v>
      </c>
      <c r="O26" s="1544"/>
      <c r="P26" s="1544">
        <v>57.025370000000002</v>
      </c>
      <c r="Q26" s="1544"/>
      <c r="R26" s="1544">
        <v>178.20429999999999</v>
      </c>
      <c r="S26" s="1544"/>
      <c r="T26" s="1544">
        <v>249.48599999999999</v>
      </c>
      <c r="U26" s="1545"/>
      <c r="V26" s="1543">
        <v>106.9226</v>
      </c>
      <c r="W26" s="1544"/>
      <c r="X26" s="1544">
        <v>142.5634</v>
      </c>
      <c r="Y26" s="1544"/>
      <c r="Z26" s="1544">
        <v>277.99869999999999</v>
      </c>
      <c r="AA26" s="1544"/>
      <c r="AB26" s="1544">
        <v>1332.97</v>
      </c>
      <c r="AC26" s="1544"/>
      <c r="AD26" s="1544">
        <v>6201.51</v>
      </c>
      <c r="AE26" s="1545"/>
      <c r="AF26" s="1543">
        <v>7.128171</v>
      </c>
      <c r="AG26" s="1544"/>
      <c r="AH26" s="1544">
        <v>7.128171</v>
      </c>
      <c r="AI26" s="1544"/>
      <c r="AJ26" s="1544">
        <v>7.128171</v>
      </c>
      <c r="AK26" s="1544"/>
      <c r="AL26" s="1544">
        <v>14.25634</v>
      </c>
      <c r="AM26" s="1544"/>
      <c r="AN26" s="1544">
        <v>135.43520000000001</v>
      </c>
      <c r="AO26" s="1545"/>
      <c r="AP26" s="1543">
        <v>7.128171</v>
      </c>
      <c r="AQ26" s="1544"/>
      <c r="AR26" s="1544">
        <v>7.128171</v>
      </c>
      <c r="AS26" s="1544"/>
      <c r="AT26" s="1544">
        <v>14.25634</v>
      </c>
      <c r="AU26" s="1544"/>
      <c r="AV26" s="1544">
        <v>121.1789</v>
      </c>
      <c r="AW26" s="1544"/>
      <c r="AX26" s="1544">
        <v>498.97199999999998</v>
      </c>
      <c r="AY26" s="1545"/>
      <c r="AZ26" s="1543"/>
      <c r="BA26" s="1544"/>
      <c r="BB26" s="1544"/>
      <c r="BC26" s="1544"/>
      <c r="BD26" s="1544"/>
      <c r="BE26" s="1544"/>
      <c r="BF26" s="1544"/>
      <c r="BG26" s="1544"/>
      <c r="BH26" s="1544"/>
      <c r="BI26" s="1545"/>
      <c r="BJ26" s="206"/>
      <c r="BK26" s="206"/>
    </row>
    <row r="27" spans="1:63" x14ac:dyDescent="0.2">
      <c r="A27" s="1531" t="s">
        <v>1020</v>
      </c>
      <c r="B27" s="1543">
        <v>21.384509999999999</v>
      </c>
      <c r="C27" s="1544"/>
      <c r="D27" s="1544">
        <v>14.25634</v>
      </c>
      <c r="E27" s="1544"/>
      <c r="F27" s="1544">
        <v>57.025370000000002</v>
      </c>
      <c r="G27" s="1544"/>
      <c r="H27" s="1544">
        <v>142.5634</v>
      </c>
      <c r="I27" s="1544"/>
      <c r="J27" s="1544">
        <v>377.79309999999998</v>
      </c>
      <c r="K27" s="1545"/>
      <c r="L27" s="1543">
        <v>14.25634</v>
      </c>
      <c r="M27" s="1544"/>
      <c r="N27" s="1544">
        <v>7.128171</v>
      </c>
      <c r="O27" s="1544"/>
      <c r="P27" s="1544">
        <v>28.51268</v>
      </c>
      <c r="Q27" s="1544"/>
      <c r="R27" s="1544">
        <v>171.0761</v>
      </c>
      <c r="S27" s="1544"/>
      <c r="T27" s="1544">
        <v>277.99869999999999</v>
      </c>
      <c r="U27" s="1545"/>
      <c r="V27" s="1543">
        <v>142.5634</v>
      </c>
      <c r="W27" s="1544"/>
      <c r="X27" s="1544">
        <v>235.2296</v>
      </c>
      <c r="Y27" s="1544"/>
      <c r="Z27" s="1544">
        <v>662.91989999999998</v>
      </c>
      <c r="AA27" s="1544"/>
      <c r="AB27" s="1544">
        <v>2516.2399999999998</v>
      </c>
      <c r="AC27" s="1544"/>
      <c r="AD27" s="1544">
        <v>4505</v>
      </c>
      <c r="AE27" s="1545"/>
      <c r="AF27" s="1543">
        <v>7.128171</v>
      </c>
      <c r="AG27" s="1544"/>
      <c r="AH27" s="1544">
        <v>14.25634</v>
      </c>
      <c r="AI27" s="1544"/>
      <c r="AJ27" s="1544">
        <v>14.25634</v>
      </c>
      <c r="AK27" s="1544"/>
      <c r="AL27" s="1544">
        <v>42.769030000000001</v>
      </c>
      <c r="AM27" s="1544"/>
      <c r="AN27" s="1544">
        <v>92.666219999999996</v>
      </c>
      <c r="AO27" s="1545"/>
      <c r="AP27" s="1543">
        <v>0</v>
      </c>
      <c r="AQ27" s="1544"/>
      <c r="AR27" s="1544">
        <v>7.128171</v>
      </c>
      <c r="AS27" s="1544"/>
      <c r="AT27" s="1544">
        <v>57.025370000000002</v>
      </c>
      <c r="AU27" s="1544"/>
      <c r="AV27" s="1544">
        <v>192.4606</v>
      </c>
      <c r="AW27" s="1544"/>
      <c r="AX27" s="1544">
        <v>392.04939999999999</v>
      </c>
      <c r="AY27" s="1545"/>
      <c r="AZ27" s="1543"/>
      <c r="BA27" s="1544"/>
      <c r="BB27" s="1544"/>
      <c r="BC27" s="1544"/>
      <c r="BD27" s="1544"/>
      <c r="BE27" s="1544"/>
      <c r="BF27" s="1544"/>
      <c r="BG27" s="1544"/>
      <c r="BH27" s="1544"/>
      <c r="BI27" s="1545"/>
      <c r="BJ27" s="206"/>
      <c r="BK27" s="206"/>
    </row>
    <row r="28" spans="1:63" x14ac:dyDescent="0.2">
      <c r="A28" s="1531" t="s">
        <v>1022</v>
      </c>
      <c r="B28" s="1543">
        <v>28.51268</v>
      </c>
      <c r="C28" s="1544"/>
      <c r="D28" s="1544">
        <v>42.769030000000001</v>
      </c>
      <c r="E28" s="1544"/>
      <c r="F28" s="1544">
        <v>42.769030000000001</v>
      </c>
      <c r="G28" s="1544"/>
      <c r="H28" s="1544">
        <v>142.5634</v>
      </c>
      <c r="I28" s="1544"/>
      <c r="J28" s="1544">
        <v>356.4085</v>
      </c>
      <c r="K28" s="1545"/>
      <c r="L28" s="1543">
        <v>28.51268</v>
      </c>
      <c r="M28" s="1544"/>
      <c r="N28" s="1544">
        <v>14.25634</v>
      </c>
      <c r="O28" s="1544"/>
      <c r="P28" s="1544">
        <v>35.64085</v>
      </c>
      <c r="Q28" s="1544"/>
      <c r="R28" s="1544">
        <v>142.5634</v>
      </c>
      <c r="S28" s="1544"/>
      <c r="T28" s="1544">
        <v>277.99869999999999</v>
      </c>
      <c r="U28" s="1545"/>
      <c r="V28" s="1543">
        <v>142.5634</v>
      </c>
      <c r="W28" s="1544"/>
      <c r="X28" s="1544">
        <v>349.28039999999999</v>
      </c>
      <c r="Y28" s="1544"/>
      <c r="Z28" s="1544">
        <v>898.14949999999999</v>
      </c>
      <c r="AA28" s="1544"/>
      <c r="AB28" s="1544">
        <v>2559.0100000000002</v>
      </c>
      <c r="AC28" s="1544"/>
      <c r="AD28" s="1544">
        <v>4112.95</v>
      </c>
      <c r="AE28" s="1545"/>
      <c r="AF28" s="1543">
        <v>7.128171</v>
      </c>
      <c r="AG28" s="1544"/>
      <c r="AH28" s="1544">
        <v>7.128171</v>
      </c>
      <c r="AI28" s="1544"/>
      <c r="AJ28" s="1544">
        <v>7.128171</v>
      </c>
      <c r="AK28" s="1544"/>
      <c r="AL28" s="1544">
        <v>71.281710000000004</v>
      </c>
      <c r="AM28" s="1544"/>
      <c r="AN28" s="1617">
        <v>78.409880000000001</v>
      </c>
      <c r="AO28" s="1545"/>
      <c r="AP28" s="1543">
        <v>7.128171</v>
      </c>
      <c r="AQ28" s="1544"/>
      <c r="AR28" s="1544">
        <v>28.51268</v>
      </c>
      <c r="AS28" s="1544"/>
      <c r="AT28" s="1544">
        <v>64.153540000000007</v>
      </c>
      <c r="AU28" s="1544"/>
      <c r="AV28" s="1544">
        <v>142.5634</v>
      </c>
      <c r="AW28" s="1544"/>
      <c r="AX28" s="1544">
        <v>406.3057</v>
      </c>
      <c r="AY28" s="1545"/>
      <c r="AZ28" s="1543"/>
      <c r="BA28" s="1544"/>
      <c r="BB28" s="1544"/>
      <c r="BC28" s="1544"/>
      <c r="BD28" s="1544"/>
      <c r="BE28" s="1544"/>
      <c r="BF28" s="1544"/>
      <c r="BG28" s="1544"/>
      <c r="BH28" s="1544"/>
      <c r="BI28" s="1545"/>
      <c r="BJ28" s="206"/>
      <c r="BK28" s="206"/>
    </row>
    <row r="29" spans="1:63" x14ac:dyDescent="0.2">
      <c r="A29" s="1531" t="s">
        <v>1021</v>
      </c>
      <c r="B29" s="1546">
        <v>21.384509999999999</v>
      </c>
      <c r="C29" s="1547"/>
      <c r="D29" s="1619">
        <v>21.384509999999999</v>
      </c>
      <c r="E29" s="1547"/>
      <c r="F29" s="1547">
        <v>57.025370000000002</v>
      </c>
      <c r="G29" s="1547"/>
      <c r="H29" s="1547">
        <v>192.4606</v>
      </c>
      <c r="I29" s="1547"/>
      <c r="J29" s="1547">
        <v>320.76769999999999</v>
      </c>
      <c r="K29" s="1548"/>
      <c r="L29" s="1546">
        <v>28.51268</v>
      </c>
      <c r="M29" s="1547"/>
      <c r="N29" s="1547">
        <v>7.128171</v>
      </c>
      <c r="O29" s="1547"/>
      <c r="P29" s="1547">
        <v>57.025370000000002</v>
      </c>
      <c r="Q29" s="1547"/>
      <c r="R29" s="1547">
        <v>106.9226</v>
      </c>
      <c r="S29" s="1547"/>
      <c r="T29" s="1547">
        <v>299.38319999999999</v>
      </c>
      <c r="U29" s="1548"/>
      <c r="V29" s="1546">
        <v>135.43520000000001</v>
      </c>
      <c r="W29" s="1547"/>
      <c r="X29" s="1619">
        <v>249.48599999999999</v>
      </c>
      <c r="Y29" s="1547"/>
      <c r="Z29" s="1547">
        <v>826.86779999999999</v>
      </c>
      <c r="AA29" s="1547"/>
      <c r="AB29" s="1547">
        <v>2387.94</v>
      </c>
      <c r="AC29" s="1547"/>
      <c r="AD29" s="1547">
        <v>4462.2299999999996</v>
      </c>
      <c r="AE29" s="1548"/>
      <c r="AF29" s="1546">
        <v>7.128171</v>
      </c>
      <c r="AG29" s="1547"/>
      <c r="AH29" s="1547">
        <v>0</v>
      </c>
      <c r="AI29" s="1547"/>
      <c r="AJ29" s="1547">
        <v>14.25634</v>
      </c>
      <c r="AK29" s="1547"/>
      <c r="AL29" s="1547">
        <v>71.281710000000004</v>
      </c>
      <c r="AM29" s="1547"/>
      <c r="AN29" s="1547">
        <v>78.409880000000001</v>
      </c>
      <c r="AO29" s="1548"/>
      <c r="AP29" s="1546">
        <v>0</v>
      </c>
      <c r="AQ29" s="1547"/>
      <c r="AR29" s="1547">
        <v>28.51268</v>
      </c>
      <c r="AS29" s="1547"/>
      <c r="AT29" s="1547">
        <v>49.897199999999998</v>
      </c>
      <c r="AU29" s="1547"/>
      <c r="AV29" s="1547">
        <v>242.3578</v>
      </c>
      <c r="AW29" s="1547"/>
      <c r="AX29" s="1547">
        <v>327.89589999999998</v>
      </c>
      <c r="AY29" s="1548"/>
      <c r="AZ29" s="1546"/>
      <c r="BA29" s="1547"/>
      <c r="BB29" s="1547"/>
      <c r="BC29" s="1547"/>
      <c r="BD29" s="1547"/>
      <c r="BE29" s="1547"/>
      <c r="BF29" s="1547"/>
      <c r="BG29" s="1547"/>
      <c r="BH29" s="1547"/>
      <c r="BI29" s="1548"/>
      <c r="BJ29" s="206"/>
      <c r="BK29" s="206"/>
    </row>
    <row r="30" spans="1:63" x14ac:dyDescent="0.2">
      <c r="A30" s="1532" t="s">
        <v>1039</v>
      </c>
      <c r="B30" s="1549">
        <v>28.51268</v>
      </c>
      <c r="C30" s="1550"/>
      <c r="D30" s="1620">
        <v>57.025370000000002</v>
      </c>
      <c r="E30" s="1550"/>
      <c r="F30" s="1550">
        <v>92.666219999999996</v>
      </c>
      <c r="G30" s="1550"/>
      <c r="H30" s="1550">
        <v>128.30709999999999</v>
      </c>
      <c r="I30" s="1550"/>
      <c r="J30" s="1550">
        <v>306.51130000000001</v>
      </c>
      <c r="K30" s="1551"/>
      <c r="L30" s="1624">
        <v>78.409880000000001</v>
      </c>
      <c r="M30" s="1550"/>
      <c r="N30" s="1550">
        <v>28.51268</v>
      </c>
      <c r="O30" s="1550"/>
      <c r="P30" s="1550">
        <v>99.794390000000007</v>
      </c>
      <c r="Q30" s="1550"/>
      <c r="R30" s="1550">
        <v>121.1789</v>
      </c>
      <c r="S30" s="1550"/>
      <c r="T30" s="1550">
        <v>171.0761</v>
      </c>
      <c r="U30" s="1551"/>
      <c r="V30" s="1549">
        <v>335.024</v>
      </c>
      <c r="W30" s="1550"/>
      <c r="X30" s="1550">
        <v>377.79309999999998</v>
      </c>
      <c r="Y30" s="1550"/>
      <c r="Z30" s="1550">
        <v>1047.8399999999999</v>
      </c>
      <c r="AA30" s="1550"/>
      <c r="AB30" s="1550">
        <v>2067.17</v>
      </c>
      <c r="AC30" s="1550"/>
      <c r="AD30" s="1550">
        <v>4234.13</v>
      </c>
      <c r="AE30" s="1551"/>
      <c r="AF30" s="1549">
        <v>21.384509999999999</v>
      </c>
      <c r="AG30" s="1550"/>
      <c r="AH30" s="1550">
        <v>14.25634</v>
      </c>
      <c r="AI30" s="1550"/>
      <c r="AJ30" s="1550">
        <v>28.51268</v>
      </c>
      <c r="AK30" s="1550"/>
      <c r="AL30" s="1550">
        <v>42.769030000000001</v>
      </c>
      <c r="AM30" s="1550"/>
      <c r="AN30" s="1550">
        <v>64.153540000000007</v>
      </c>
      <c r="AO30" s="1551"/>
      <c r="AP30" s="1549">
        <v>7.128171</v>
      </c>
      <c r="AQ30" s="1550"/>
      <c r="AR30" s="1550">
        <v>42.769030000000001</v>
      </c>
      <c r="AS30" s="1550"/>
      <c r="AT30" s="1550">
        <v>121.1789</v>
      </c>
      <c r="AU30" s="1550"/>
      <c r="AV30" s="1550">
        <v>213.8451</v>
      </c>
      <c r="AW30" s="1550"/>
      <c r="AX30" s="1550">
        <v>263.7423</v>
      </c>
      <c r="AY30" s="1551"/>
      <c r="AZ30" s="1549"/>
      <c r="BA30" s="1550"/>
      <c r="BB30" s="1550"/>
      <c r="BC30" s="1550"/>
      <c r="BD30" s="1550"/>
      <c r="BE30" s="1550"/>
      <c r="BF30" s="1550"/>
      <c r="BG30" s="1550"/>
      <c r="BH30" s="1550"/>
      <c r="BI30" s="1551"/>
      <c r="BJ30" s="206"/>
      <c r="BK30" s="206"/>
    </row>
    <row r="31" spans="1:63" x14ac:dyDescent="0.2">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206"/>
      <c r="BK31" s="206"/>
    </row>
    <row r="32" spans="1:63" x14ac:dyDescent="0.2">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206"/>
      <c r="BK32" s="206"/>
    </row>
    <row r="33" spans="1:63" x14ac:dyDescent="0.2">
      <c r="A33" s="79" t="s">
        <v>32</v>
      </c>
      <c r="B33" s="56"/>
      <c r="C33" s="56"/>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206"/>
      <c r="BK33" s="206"/>
    </row>
    <row r="34" spans="1:63" x14ac:dyDescent="0.2">
      <c r="A34" s="75"/>
      <c r="B34" s="58"/>
      <c r="C34" s="58"/>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206"/>
      <c r="BK34" s="206"/>
    </row>
    <row r="35" spans="1:63" x14ac:dyDescent="0.2">
      <c r="A35" s="75"/>
      <c r="B35" s="58"/>
      <c r="C35" s="58"/>
      <c r="D35" s="5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206"/>
      <c r="BK35" s="206"/>
    </row>
    <row r="36" spans="1:63" x14ac:dyDescent="0.2">
      <c r="A36" s="75"/>
      <c r="B36" s="58"/>
      <c r="C36" s="58"/>
      <c r="D36" s="59"/>
      <c r="E36" s="59"/>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206"/>
      <c r="BK36" s="206"/>
    </row>
    <row r="37" spans="1:63" x14ac:dyDescent="0.2">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206"/>
      <c r="BK37" s="206"/>
    </row>
    <row r="38" spans="1:63" x14ac:dyDescent="0.2">
      <c r="A38" s="79" t="s">
        <v>33</v>
      </c>
      <c r="B38" s="56"/>
      <c r="C38" s="56"/>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206"/>
      <c r="BK38" s="206"/>
    </row>
    <row r="39" spans="1:63" x14ac:dyDescent="0.2">
      <c r="A39" s="75"/>
      <c r="B39" s="58"/>
      <c r="C39" s="58"/>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206"/>
      <c r="BK39" s="206"/>
    </row>
    <row r="40" spans="1:63" x14ac:dyDescent="0.2">
      <c r="A40" s="75"/>
      <c r="B40" s="58"/>
      <c r="C40" s="58"/>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206"/>
      <c r="BK40" s="206"/>
    </row>
    <row r="41" spans="1:63" x14ac:dyDescent="0.2">
      <c r="A41" s="75"/>
      <c r="B41" s="58"/>
      <c r="C41" s="58"/>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206"/>
      <c r="BK41" s="206"/>
    </row>
    <row r="42" spans="1:63" x14ac:dyDescent="0.2">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206"/>
      <c r="BK42" s="206"/>
    </row>
    <row r="43" spans="1:63" x14ac:dyDescent="0.2">
      <c r="A43" s="79" t="s">
        <v>670</v>
      </c>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206"/>
      <c r="BK43" s="206"/>
    </row>
    <row r="44" spans="1:63" x14ac:dyDescent="0.2">
      <c r="A44" s="75"/>
      <c r="B44" s="548"/>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75"/>
      <c r="AP44" s="75"/>
      <c r="AQ44" s="75"/>
      <c r="AR44" s="75"/>
      <c r="AS44" s="75"/>
      <c r="AT44" s="75"/>
      <c r="AU44" s="75"/>
      <c r="AV44" s="75"/>
      <c r="AW44" s="75"/>
      <c r="AX44" s="75"/>
      <c r="AY44" s="75"/>
      <c r="AZ44" s="75"/>
      <c r="BA44" s="75"/>
      <c r="BB44" s="75"/>
      <c r="BC44" s="75"/>
      <c r="BD44" s="75"/>
      <c r="BE44" s="75"/>
      <c r="BF44" s="75"/>
      <c r="BG44" s="75"/>
      <c r="BH44" s="75"/>
      <c r="BI44" s="75"/>
      <c r="BJ44" s="206"/>
      <c r="BK44" s="206"/>
    </row>
    <row r="45" spans="1:63" x14ac:dyDescent="0.2">
      <c r="A45" s="579"/>
      <c r="B45" s="549"/>
      <c r="C45" s="75"/>
      <c r="D45" s="75"/>
      <c r="E45" s="75"/>
      <c r="F45" s="75"/>
      <c r="G45" s="75"/>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206"/>
      <c r="BK45" s="206"/>
    </row>
    <row r="46" spans="1:63" x14ac:dyDescent="0.2">
      <c r="A46" s="75"/>
      <c r="B46" s="549"/>
      <c r="C46" s="75"/>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5"/>
      <c r="AH46" s="75"/>
      <c r="AI46" s="75"/>
      <c r="AJ46" s="75"/>
      <c r="AK46" s="75"/>
      <c r="AL46" s="75"/>
      <c r="AM46" s="75"/>
      <c r="AN46" s="75"/>
      <c r="AO46" s="75"/>
      <c r="AP46" s="75"/>
      <c r="AQ46" s="75"/>
      <c r="AR46" s="75"/>
      <c r="AS46" s="75"/>
      <c r="AT46" s="75"/>
      <c r="AU46" s="75"/>
      <c r="AV46" s="75"/>
      <c r="AW46" s="75"/>
      <c r="AX46" s="75"/>
      <c r="AY46" s="75"/>
      <c r="AZ46" s="75"/>
      <c r="BA46" s="75"/>
      <c r="BB46" s="75"/>
      <c r="BC46" s="75"/>
      <c r="BD46" s="75"/>
      <c r="BE46" s="75"/>
      <c r="BF46" s="75"/>
      <c r="BG46" s="75"/>
      <c r="BH46" s="75"/>
      <c r="BI46" s="75"/>
      <c r="BJ46" s="206"/>
      <c r="BK46" s="206"/>
    </row>
    <row r="47" spans="1:63" x14ac:dyDescent="0.2">
      <c r="A47" s="75"/>
      <c r="B47" s="549"/>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5"/>
      <c r="AH47" s="75"/>
      <c r="AI47" s="75"/>
      <c r="AJ47" s="75"/>
      <c r="AK47" s="75"/>
      <c r="AL47" s="75"/>
      <c r="AM47" s="75"/>
      <c r="AN47" s="75"/>
      <c r="AO47" s="75"/>
      <c r="AP47" s="75"/>
      <c r="AQ47" s="75"/>
      <c r="AR47" s="75"/>
      <c r="AS47" s="75"/>
      <c r="AT47" s="75"/>
      <c r="AU47" s="75"/>
      <c r="AV47" s="75"/>
      <c r="AW47" s="75"/>
      <c r="AX47" s="75"/>
      <c r="AY47" s="75"/>
      <c r="AZ47" s="75"/>
      <c r="BA47" s="75"/>
      <c r="BB47" s="75"/>
      <c r="BC47" s="75"/>
      <c r="BD47" s="75"/>
      <c r="BE47" s="75"/>
      <c r="BF47" s="75"/>
      <c r="BG47" s="75"/>
      <c r="BH47" s="75"/>
      <c r="BI47" s="75"/>
      <c r="BJ47" s="206"/>
      <c r="BK47" s="206"/>
    </row>
    <row r="48" spans="1:63" x14ac:dyDescent="0.2">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I48" s="75"/>
      <c r="AJ48" s="75"/>
      <c r="AK48" s="75"/>
      <c r="AL48" s="75"/>
      <c r="AM48" s="75"/>
      <c r="AN48" s="75"/>
      <c r="AO48" s="75"/>
      <c r="AP48" s="75"/>
      <c r="AQ48" s="75"/>
      <c r="AR48" s="75"/>
      <c r="AS48" s="75"/>
      <c r="AT48" s="75"/>
      <c r="AU48" s="75"/>
      <c r="AV48" s="75"/>
      <c r="AW48" s="75"/>
      <c r="AX48" s="75"/>
      <c r="AY48" s="75"/>
      <c r="AZ48" s="75"/>
      <c r="BA48" s="75"/>
      <c r="BB48" s="75"/>
      <c r="BC48" s="75"/>
      <c r="BD48" s="75"/>
      <c r="BE48" s="75"/>
      <c r="BF48" s="75"/>
      <c r="BG48" s="75"/>
      <c r="BH48" s="75"/>
      <c r="BI48" s="75"/>
      <c r="BJ48" s="206"/>
      <c r="BK48" s="206"/>
    </row>
  </sheetData>
  <sheetProtection password="CD9E" sheet="1" objects="1" scenarios="1" selectLockedCells="1"/>
  <mergeCells count="37">
    <mergeCell ref="AZ13:BA13"/>
    <mergeCell ref="BB13:BC13"/>
    <mergeCell ref="BD13:BE13"/>
    <mergeCell ref="BF13:BG13"/>
    <mergeCell ref="BH13:BI13"/>
    <mergeCell ref="AP13:AQ13"/>
    <mergeCell ref="AR13:AS13"/>
    <mergeCell ref="AT13:AU13"/>
    <mergeCell ref="AV13:AW13"/>
    <mergeCell ref="AX13:AY13"/>
    <mergeCell ref="AF13:AG13"/>
    <mergeCell ref="AH13:AI13"/>
    <mergeCell ref="AJ13:AK13"/>
    <mergeCell ref="AL13:AM13"/>
    <mergeCell ref="AN13:AO13"/>
    <mergeCell ref="V13:W13"/>
    <mergeCell ref="X13:Y13"/>
    <mergeCell ref="Z13:AA13"/>
    <mergeCell ref="AB13:AC13"/>
    <mergeCell ref="AD13:AE13"/>
    <mergeCell ref="L13:M13"/>
    <mergeCell ref="N13:O13"/>
    <mergeCell ref="P13:Q13"/>
    <mergeCell ref="R13:S13"/>
    <mergeCell ref="T13:U13"/>
    <mergeCell ref="L12:U12"/>
    <mergeCell ref="V12:AE12"/>
    <mergeCell ref="AF12:AO12"/>
    <mergeCell ref="AP12:AY12"/>
    <mergeCell ref="AZ12:BI12"/>
    <mergeCell ref="A12:A13"/>
    <mergeCell ref="B12:K12"/>
    <mergeCell ref="B13:C13"/>
    <mergeCell ref="D13:E13"/>
    <mergeCell ref="F13:G13"/>
    <mergeCell ref="H13:I13"/>
    <mergeCell ref="J13:K13"/>
  </mergeCells>
  <dataValidations count="1">
    <dataValidation type="list" allowBlank="1" showInputMessage="1" showErrorMessage="1" sqref="B44:B47">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9" tint="0.39997558519241921"/>
    <pageSetUpPr fitToPage="1"/>
  </sheetPr>
  <dimension ref="A1:AF58"/>
  <sheetViews>
    <sheetView showGridLines="0" topLeftCell="N4" zoomScale="90" zoomScaleNormal="90" workbookViewId="0">
      <selection activeCell="AB14" sqref="AB14"/>
    </sheetView>
  </sheetViews>
  <sheetFormatPr baseColWidth="10" defaultColWidth="9.140625" defaultRowHeight="15" customHeight="1" x14ac:dyDescent="0.2"/>
  <cols>
    <col min="1" max="1" width="27.42578125" style="31" customWidth="1"/>
    <col min="2" max="2" width="12.7109375" style="31" customWidth="1"/>
    <col min="3" max="3" width="6.7109375" style="31" customWidth="1"/>
    <col min="4" max="4" width="12.7109375" style="31" customWidth="1"/>
    <col min="5" max="5" width="6.7109375" style="31" customWidth="1"/>
    <col min="6" max="7" width="12.7109375" style="31" customWidth="1"/>
    <col min="8" max="8" width="6.7109375" style="31" customWidth="1"/>
    <col min="9" max="9" width="12.7109375" style="31" customWidth="1"/>
    <col min="10" max="10" width="6.7109375" style="31" customWidth="1"/>
    <col min="11" max="11" width="12.7109375" style="31" customWidth="1"/>
    <col min="12" max="12" width="6.7109375" style="31" customWidth="1"/>
    <col min="13" max="14" width="12.7109375" style="31" customWidth="1"/>
    <col min="15" max="15" width="6.7109375" style="31" customWidth="1"/>
    <col min="16" max="16" width="12.7109375" style="31" customWidth="1"/>
    <col min="17" max="17" width="6.7109375" style="31" customWidth="1"/>
    <col min="18" max="18" width="12.7109375" style="31" customWidth="1"/>
    <col min="19" max="19" width="6.7109375" style="31" customWidth="1"/>
    <col min="20" max="21" width="12.7109375" style="31" customWidth="1"/>
    <col min="22" max="22" width="6.7109375" style="31" customWidth="1"/>
    <col min="23" max="23" width="12.7109375" style="31" customWidth="1"/>
    <col min="24" max="24" width="6.7109375" style="31" customWidth="1"/>
    <col min="25" max="25" width="12.7109375" style="31" customWidth="1"/>
    <col min="26" max="26" width="6.7109375" style="31" customWidth="1"/>
    <col min="27" max="28" width="12.7109375" style="31" customWidth="1"/>
    <col min="29" max="29" width="6.7109375" style="31" customWidth="1"/>
    <col min="30" max="16384" width="9.140625" style="31"/>
  </cols>
  <sheetData>
    <row r="1" spans="1:32" s="66" customFormat="1" ht="12" customHeight="1" x14ac:dyDescent="0.2">
      <c r="A1" s="26" t="s">
        <v>6</v>
      </c>
    </row>
    <row r="2" spans="1:32" s="66" customFormat="1" ht="12" customHeight="1" x14ac:dyDescent="0.2">
      <c r="A2" s="28" t="s">
        <v>10</v>
      </c>
    </row>
    <row r="3" spans="1:32" s="66" customFormat="1" ht="12" customHeight="1" x14ac:dyDescent="0.2">
      <c r="A3" s="28" t="s">
        <v>7</v>
      </c>
    </row>
    <row r="4" spans="1:32" ht="15" customHeight="1" x14ac:dyDescent="0.2">
      <c r="A4" s="82" t="s">
        <v>248</v>
      </c>
      <c r="B4" s="82"/>
      <c r="C4" s="82"/>
      <c r="D4" s="82"/>
      <c r="E4" s="82"/>
      <c r="F4" s="82"/>
      <c r="G4" s="82"/>
      <c r="H4" s="82"/>
      <c r="I4" s="82"/>
      <c r="J4" s="82"/>
      <c r="K4" s="82"/>
      <c r="L4" s="82"/>
      <c r="M4" s="82"/>
      <c r="N4" s="82"/>
      <c r="O4" s="82"/>
      <c r="P4" s="82"/>
      <c r="Q4" s="82"/>
      <c r="R4" s="82"/>
      <c r="S4" s="82"/>
      <c r="T4" s="82"/>
      <c r="U4" s="83"/>
      <c r="V4" s="83"/>
      <c r="W4" s="82"/>
      <c r="X4" s="82"/>
      <c r="Y4" s="82"/>
      <c r="Z4" s="82"/>
      <c r="AA4" s="82"/>
      <c r="AB4" s="83"/>
      <c r="AC4" s="83"/>
      <c r="AD4" s="83"/>
      <c r="AE4" s="84"/>
      <c r="AF4" s="84"/>
    </row>
    <row r="5" spans="1:32" s="131" customFormat="1" ht="15" customHeight="1" x14ac:dyDescent="0.2"/>
    <row r="6" spans="1:32" s="131" customFormat="1" ht="15" customHeight="1" x14ac:dyDescent="0.2">
      <c r="A6" s="185"/>
      <c r="B6" s="185"/>
      <c r="C6" s="185"/>
      <c r="D6" s="185"/>
      <c r="E6" s="185"/>
      <c r="F6" s="185"/>
      <c r="G6" s="185"/>
      <c r="H6" s="185"/>
      <c r="I6" s="185"/>
      <c r="J6" s="185"/>
      <c r="K6" s="185"/>
      <c r="L6" s="185"/>
      <c r="M6" s="185"/>
      <c r="N6" s="185"/>
      <c r="O6" s="185"/>
      <c r="P6" s="185"/>
      <c r="Q6" s="185"/>
      <c r="R6" s="185"/>
      <c r="S6" s="185"/>
      <c r="T6" s="185"/>
      <c r="U6" s="185"/>
      <c r="V6" s="185"/>
      <c r="W6" s="185"/>
      <c r="X6" s="185"/>
      <c r="Y6" s="185"/>
      <c r="Z6" s="185"/>
      <c r="AA6" s="185"/>
      <c r="AB6" s="185"/>
      <c r="AC6" s="185"/>
      <c r="AD6" s="185"/>
      <c r="AE6" s="185"/>
      <c r="AF6" s="185"/>
    </row>
    <row r="7" spans="1:32" ht="15" customHeight="1" x14ac:dyDescent="0.25">
      <c r="A7" s="85" t="s">
        <v>804</v>
      </c>
      <c r="B7" s="84"/>
      <c r="C7" s="84"/>
      <c r="D7" s="84"/>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row>
    <row r="8" spans="1:32" ht="15" customHeight="1" x14ac:dyDescent="0.2">
      <c r="A8" s="86" t="s">
        <v>21</v>
      </c>
      <c r="B8" s="84"/>
      <c r="C8" s="84"/>
      <c r="D8" s="84"/>
      <c r="E8" s="84"/>
      <c r="F8" s="84"/>
      <c r="G8" s="84"/>
      <c r="H8" s="84"/>
      <c r="I8" s="84"/>
      <c r="J8" s="84"/>
      <c r="K8" s="84"/>
      <c r="L8" s="84"/>
      <c r="M8" s="84"/>
      <c r="N8" s="84"/>
      <c r="O8" s="84"/>
      <c r="P8" s="84"/>
      <c r="Q8" s="84"/>
      <c r="R8" s="84"/>
      <c r="S8" s="84"/>
      <c r="T8" s="84"/>
      <c r="U8" s="84"/>
      <c r="V8" s="84"/>
      <c r="W8" s="84"/>
      <c r="X8" s="84"/>
      <c r="Y8" s="84"/>
      <c r="Z8" s="84"/>
      <c r="AA8" s="84"/>
      <c r="AB8" s="84"/>
      <c r="AC8" s="84"/>
      <c r="AD8" s="84"/>
      <c r="AE8" s="84"/>
      <c r="AF8" s="84"/>
    </row>
    <row r="9" spans="1:32" ht="15" customHeight="1" x14ac:dyDescent="0.2">
      <c r="A9" s="84"/>
      <c r="B9" s="186" t="s">
        <v>34</v>
      </c>
      <c r="C9" s="186"/>
      <c r="D9" s="510">
        <v>2014</v>
      </c>
      <c r="E9" s="187"/>
      <c r="F9" s="187"/>
      <c r="G9" s="84"/>
      <c r="H9" s="84"/>
      <c r="I9" s="84"/>
      <c r="J9" s="84"/>
      <c r="K9" s="84"/>
      <c r="L9" s="84"/>
      <c r="M9" s="84"/>
      <c r="N9" s="84"/>
      <c r="O9" s="84"/>
      <c r="P9" s="84"/>
      <c r="Q9" s="84"/>
      <c r="R9" s="84"/>
      <c r="S9" s="84"/>
      <c r="T9" s="84"/>
      <c r="U9" s="84"/>
      <c r="V9" s="84"/>
      <c r="W9" s="84"/>
      <c r="X9" s="84"/>
      <c r="Y9" s="84"/>
      <c r="Z9" s="84"/>
      <c r="AA9" s="84"/>
      <c r="AB9" s="84"/>
      <c r="AC9" s="84"/>
      <c r="AD9" s="84"/>
      <c r="AE9" s="84"/>
      <c r="AF9" s="84"/>
    </row>
    <row r="10" spans="1:32" ht="15" customHeight="1" x14ac:dyDescent="0.2">
      <c r="A10" s="199"/>
      <c r="B10" s="84"/>
      <c r="C10" s="84"/>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row>
    <row r="11" spans="1:32" ht="15" customHeight="1" x14ac:dyDescent="0.2">
      <c r="A11" s="188"/>
      <c r="B11" s="190" t="s">
        <v>305</v>
      </c>
      <c r="C11" s="191"/>
      <c r="D11" s="200"/>
      <c r="E11" s="200"/>
      <c r="F11" s="200"/>
      <c r="G11" s="200"/>
      <c r="H11" s="200"/>
      <c r="I11" s="200"/>
      <c r="J11" s="200"/>
      <c r="K11" s="200"/>
      <c r="L11" s="200"/>
      <c r="M11" s="200"/>
      <c r="N11" s="200"/>
      <c r="O11" s="200"/>
      <c r="P11" s="200"/>
      <c r="Q11" s="200"/>
      <c r="R11" s="200"/>
      <c r="S11" s="200"/>
      <c r="T11" s="200"/>
      <c r="U11" s="192"/>
      <c r="V11" s="200"/>
      <c r="W11" s="200"/>
      <c r="X11" s="200"/>
      <c r="Y11" s="200"/>
      <c r="Z11" s="200"/>
      <c r="AA11" s="200"/>
      <c r="AB11" s="192"/>
      <c r="AC11" s="1371"/>
      <c r="AD11" s="201"/>
      <c r="AE11" s="84"/>
      <c r="AF11" s="84"/>
    </row>
    <row r="12" spans="1:32" ht="15" customHeight="1" x14ac:dyDescent="0.2">
      <c r="A12" s="202"/>
      <c r="B12" s="1799" t="s">
        <v>306</v>
      </c>
      <c r="C12" s="1800"/>
      <c r="D12" s="1800"/>
      <c r="E12" s="1800"/>
      <c r="F12" s="1800"/>
      <c r="G12" s="1800"/>
      <c r="H12" s="1801"/>
      <c r="I12" s="1799" t="s">
        <v>307</v>
      </c>
      <c r="J12" s="1800"/>
      <c r="K12" s="1800"/>
      <c r="L12" s="1800"/>
      <c r="M12" s="1800"/>
      <c r="N12" s="1800"/>
      <c r="O12" s="1801"/>
      <c r="P12" s="1799" t="s">
        <v>308</v>
      </c>
      <c r="Q12" s="1800"/>
      <c r="R12" s="1800"/>
      <c r="S12" s="1800"/>
      <c r="T12" s="1800"/>
      <c r="U12" s="1800"/>
      <c r="V12" s="1801"/>
      <c r="W12" s="1799" t="s">
        <v>740</v>
      </c>
      <c r="X12" s="1800"/>
      <c r="Y12" s="1800"/>
      <c r="Z12" s="1800"/>
      <c r="AA12" s="1800"/>
      <c r="AB12" s="1800"/>
      <c r="AC12" s="1801"/>
      <c r="AD12" s="84"/>
      <c r="AE12" s="84"/>
      <c r="AF12" s="84"/>
    </row>
    <row r="13" spans="1:32" ht="29.25" customHeight="1" x14ac:dyDescent="0.2">
      <c r="A13" s="676" t="s">
        <v>690</v>
      </c>
      <c r="B13" s="1808" t="s">
        <v>22</v>
      </c>
      <c r="C13" s="1802"/>
      <c r="D13" s="1802" t="s">
        <v>23</v>
      </c>
      <c r="E13" s="1802"/>
      <c r="F13" s="204" t="s">
        <v>267</v>
      </c>
      <c r="G13" s="1803" t="s">
        <v>42</v>
      </c>
      <c r="H13" s="1804"/>
      <c r="I13" s="1802" t="s">
        <v>22</v>
      </c>
      <c r="J13" s="1802"/>
      <c r="K13" s="1802" t="s">
        <v>23</v>
      </c>
      <c r="L13" s="1802"/>
      <c r="M13" s="204" t="s">
        <v>267</v>
      </c>
      <c r="N13" s="1803" t="s">
        <v>42</v>
      </c>
      <c r="O13" s="1804"/>
      <c r="P13" s="1802" t="s">
        <v>22</v>
      </c>
      <c r="Q13" s="1802"/>
      <c r="R13" s="1802" t="s">
        <v>23</v>
      </c>
      <c r="S13" s="1802"/>
      <c r="T13" s="204" t="s">
        <v>267</v>
      </c>
      <c r="U13" s="1803" t="s">
        <v>42</v>
      </c>
      <c r="V13" s="1804"/>
      <c r="W13" s="1805" t="s">
        <v>22</v>
      </c>
      <c r="X13" s="1805"/>
      <c r="Y13" s="1805" t="s">
        <v>23</v>
      </c>
      <c r="Z13" s="1805"/>
      <c r="AA13" s="1372" t="s">
        <v>267</v>
      </c>
      <c r="AB13" s="1806" t="s">
        <v>42</v>
      </c>
      <c r="AC13" s="1807"/>
      <c r="AD13" s="84"/>
      <c r="AE13" s="84"/>
      <c r="AF13" s="84"/>
    </row>
    <row r="14" spans="1:32" s="39" customFormat="1" ht="18" customHeight="1" x14ac:dyDescent="0.2">
      <c r="A14" s="1013" t="s">
        <v>689</v>
      </c>
      <c r="B14" s="1014">
        <f>SUM(B15:B16)</f>
        <v>5595.6141522034613</v>
      </c>
      <c r="C14" s="1015"/>
      <c r="D14" s="1015">
        <f>SUM(D15:D16)</f>
        <v>2829.88384512736</v>
      </c>
      <c r="E14" s="1015"/>
      <c r="F14" s="1016"/>
      <c r="G14" s="1373">
        <f>SUM(B14,D14)</f>
        <v>8425.4979973308218</v>
      </c>
      <c r="H14" s="1378"/>
      <c r="I14" s="1014">
        <f>SUM(I15:I16)</f>
        <v>826.86782376589997</v>
      </c>
      <c r="J14" s="1015"/>
      <c r="K14" s="1015">
        <f>SUM(K15:K16)</f>
        <v>520.35647530020003</v>
      </c>
      <c r="L14" s="1015"/>
      <c r="M14" s="1016"/>
      <c r="N14" s="1373">
        <f>SUM(I14,K14)</f>
        <v>1347.2242990661</v>
      </c>
      <c r="O14" s="1378"/>
      <c r="P14" s="1014">
        <f>SUM(P15:P16)</f>
        <v>114.05073431254</v>
      </c>
      <c r="Q14" s="1015"/>
      <c r="R14" s="1015">
        <f>SUM(R15:R16)</f>
        <v>106.92256341801</v>
      </c>
      <c r="S14" s="1015"/>
      <c r="T14" s="1016"/>
      <c r="U14" s="1373">
        <f>SUM(P14,R14)</f>
        <v>220.97329773055</v>
      </c>
      <c r="V14" s="1378"/>
      <c r="W14" s="1014">
        <f>SUM(B14,I14,P14)</f>
        <v>6536.532710281901</v>
      </c>
      <c r="X14" s="1015"/>
      <c r="Y14" s="1015">
        <f>SUM(R14,K14,D14)</f>
        <v>3457.1628838455699</v>
      </c>
      <c r="Z14" s="1015"/>
      <c r="AA14" s="1016"/>
      <c r="AB14" s="1373">
        <f>SUM(W14,Y14)</f>
        <v>9993.6955941274718</v>
      </c>
      <c r="AC14" s="1378"/>
      <c r="AD14" s="672"/>
      <c r="AE14" s="88"/>
      <c r="AF14" s="673"/>
    </row>
    <row r="15" spans="1:32" s="39" customFormat="1" ht="18" customHeight="1" x14ac:dyDescent="0.2">
      <c r="A15" s="1012" t="s">
        <v>794</v>
      </c>
      <c r="B15" s="1009">
        <f>7.12817089453+14.2563417891+14.2563417891+28.5126835781+7.12817089453+21.3845126836+ 35.6408544726+ 14.2563417891+28.5126835781+49.8971962617+64.1535380507+42.7690253672+35.6408544726+ 49.8971962617+49.8971962617+49.8971962617</f>
        <v>513.22830440606003</v>
      </c>
      <c r="C15" s="1010"/>
      <c r="D15" s="1010">
        <f>7.12817089453+14.2563417891+ 7.12817089453+ 14.2563417891+42.7690253672</f>
        <v>85.538050734460001</v>
      </c>
      <c r="E15" s="1010"/>
      <c r="F15" s="1011"/>
      <c r="G15" s="1374">
        <f t="shared" ref="G15:G39" si="0">SUM(B15,D15)</f>
        <v>598.76635514052009</v>
      </c>
      <c r="H15" s="1379"/>
      <c r="I15" s="1009">
        <f>7.12817089453+7.12817089453+14.2563417891+ 7.12817089453+7.12817089453+14.2563417891+21.3845126836</f>
        <v>78.409879839919995</v>
      </c>
      <c r="J15" s="1010"/>
      <c r="K15" s="1010">
        <f>7.12817089453+ 7.12817089453+ 7.12817089453</f>
        <v>21.38451268359</v>
      </c>
      <c r="L15" s="1010"/>
      <c r="M15" s="1011"/>
      <c r="N15" s="1374">
        <f t="shared" ref="N15:N39" si="1">SUM(I15,K15)</f>
        <v>99.794392523509998</v>
      </c>
      <c r="O15" s="1379"/>
      <c r="P15" s="1009">
        <v>0</v>
      </c>
      <c r="Q15" s="1010"/>
      <c r="R15" s="1010">
        <v>0</v>
      </c>
      <c r="S15" s="1010"/>
      <c r="T15" s="1011"/>
      <c r="U15" s="1374">
        <f t="shared" ref="U15:U39" si="2">SUM(P15,R15)</f>
        <v>0</v>
      </c>
      <c r="V15" s="1379"/>
      <c r="W15" s="1009">
        <f t="shared" ref="W15:W39" si="3">SUM(B15,I15,P15)</f>
        <v>591.63818424598003</v>
      </c>
      <c r="X15" s="1010"/>
      <c r="Y15" s="1010">
        <f t="shared" ref="Y15:Y39" si="4">SUM(R15,K15,D15)</f>
        <v>106.92256341805</v>
      </c>
      <c r="Z15" s="1010"/>
      <c r="AA15" s="1011"/>
      <c r="AB15" s="1374">
        <f t="shared" ref="AB15:AB39" si="5">SUM(W15,Y15)</f>
        <v>698.56074766403003</v>
      </c>
      <c r="AC15" s="1379"/>
      <c r="AD15" s="672"/>
      <c r="AE15" s="88"/>
      <c r="AF15" s="673"/>
    </row>
    <row r="16" spans="1:32" ht="18" customHeight="1" x14ac:dyDescent="0.2">
      <c r="A16" s="1008" t="s">
        <v>309</v>
      </c>
      <c r="B16" s="1009">
        <f>SUM(B17:B39)+427.690253672+363.536715621</f>
        <v>5082.3858477974009</v>
      </c>
      <c r="C16" s="1010"/>
      <c r="D16" s="1010">
        <f>SUM(D17:D39)+313.639519359+220.97329773</f>
        <v>2744.3457943929002</v>
      </c>
      <c r="E16" s="1010"/>
      <c r="F16" s="1011"/>
      <c r="G16" s="1374">
        <f t="shared" si="0"/>
        <v>7826.7316421903015</v>
      </c>
      <c r="H16" s="1379"/>
      <c r="I16" s="1009">
        <f>SUM(I17:I40)+142.563417891+42.7690253672</f>
        <v>748.45794392597998</v>
      </c>
      <c r="J16" s="1010"/>
      <c r="K16" s="1010">
        <f>SUM(K17:K39)+114.050734312+64.1535380507</f>
        <v>498.97196261661009</v>
      </c>
      <c r="L16" s="1010"/>
      <c r="M16" s="1011"/>
      <c r="N16" s="1374">
        <f t="shared" si="1"/>
        <v>1247.4299065425901</v>
      </c>
      <c r="O16" s="1379"/>
      <c r="P16" s="1009">
        <f>SUM(P17:P39)+28.5126835781+14.2563417891</f>
        <v>114.05073431254</v>
      </c>
      <c r="Q16" s="1010"/>
      <c r="R16" s="1010">
        <f>SUM(R17:R39)+ 28.5126835781+7.12817089453</f>
        <v>106.92256341801</v>
      </c>
      <c r="S16" s="1010"/>
      <c r="T16" s="1011"/>
      <c r="U16" s="1374">
        <f t="shared" si="2"/>
        <v>220.97329773055</v>
      </c>
      <c r="V16" s="1379"/>
      <c r="W16" s="1009">
        <f t="shared" si="3"/>
        <v>5944.8945260359205</v>
      </c>
      <c r="X16" s="1010"/>
      <c r="Y16" s="1010">
        <f t="shared" si="4"/>
        <v>3350.2403204275201</v>
      </c>
      <c r="Z16" s="1010"/>
      <c r="AA16" s="1011"/>
      <c r="AB16" s="1374">
        <f t="shared" si="5"/>
        <v>9295.1348464634411</v>
      </c>
      <c r="AC16" s="1379"/>
      <c r="AD16" s="84"/>
      <c r="AE16" s="84"/>
      <c r="AF16" s="84"/>
    </row>
    <row r="17" spans="1:32" ht="15" customHeight="1" x14ac:dyDescent="0.2">
      <c r="A17" s="195">
        <v>1990</v>
      </c>
      <c r="B17" s="525">
        <v>92.666221628800002</v>
      </c>
      <c r="C17" s="526"/>
      <c r="D17" s="526">
        <v>14.2563417891</v>
      </c>
      <c r="E17" s="526"/>
      <c r="F17" s="527"/>
      <c r="G17" s="1375">
        <f t="shared" si="0"/>
        <v>106.92256341790001</v>
      </c>
      <c r="H17" s="1380"/>
      <c r="I17" s="525">
        <v>21.384512683600001</v>
      </c>
      <c r="J17" s="526"/>
      <c r="K17" s="526">
        <v>0</v>
      </c>
      <c r="L17" s="526"/>
      <c r="M17" s="527"/>
      <c r="N17" s="1375">
        <f t="shared" si="1"/>
        <v>21.384512683600001</v>
      </c>
      <c r="O17" s="1380"/>
      <c r="P17" s="525">
        <v>0</v>
      </c>
      <c r="Q17" s="526"/>
      <c r="R17" s="526"/>
      <c r="S17" s="526"/>
      <c r="T17" s="527"/>
      <c r="U17" s="1375">
        <f t="shared" si="2"/>
        <v>0</v>
      </c>
      <c r="V17" s="1380"/>
      <c r="W17" s="525">
        <f t="shared" si="3"/>
        <v>114.05073431240001</v>
      </c>
      <c r="X17" s="526"/>
      <c r="Y17" s="526">
        <f t="shared" si="4"/>
        <v>14.2563417891</v>
      </c>
      <c r="Z17" s="526"/>
      <c r="AA17" s="527"/>
      <c r="AB17" s="1375">
        <f t="shared" si="5"/>
        <v>128.3070761015</v>
      </c>
      <c r="AC17" s="1380"/>
      <c r="AD17" s="84"/>
      <c r="AE17" s="84"/>
      <c r="AF17" s="84"/>
    </row>
    <row r="18" spans="1:32" ht="15" customHeight="1" x14ac:dyDescent="0.2">
      <c r="A18" s="195">
        <v>1991</v>
      </c>
      <c r="B18" s="528">
        <v>114.050734312</v>
      </c>
      <c r="C18" s="529"/>
      <c r="D18" s="529">
        <v>21.384512683600001</v>
      </c>
      <c r="E18" s="529"/>
      <c r="F18" s="530"/>
      <c r="G18" s="1376">
        <f t="shared" si="0"/>
        <v>135.43524699560001</v>
      </c>
      <c r="H18" s="1381"/>
      <c r="I18" s="528">
        <v>7.1281708945300002</v>
      </c>
      <c r="J18" s="529"/>
      <c r="K18" s="529">
        <v>0</v>
      </c>
      <c r="L18" s="529"/>
      <c r="M18" s="530"/>
      <c r="N18" s="1376">
        <f t="shared" si="1"/>
        <v>7.1281708945300002</v>
      </c>
      <c r="O18" s="1381"/>
      <c r="P18" s="528">
        <v>0</v>
      </c>
      <c r="Q18" s="529"/>
      <c r="R18" s="529">
        <v>7.1281708945300002</v>
      </c>
      <c r="S18" s="529"/>
      <c r="T18" s="530"/>
      <c r="U18" s="1376">
        <f t="shared" si="2"/>
        <v>7.1281708945300002</v>
      </c>
      <c r="V18" s="1381"/>
      <c r="W18" s="528">
        <f t="shared" si="3"/>
        <v>121.17890520653</v>
      </c>
      <c r="X18" s="529"/>
      <c r="Y18" s="529">
        <f t="shared" si="4"/>
        <v>28.512683578130002</v>
      </c>
      <c r="Z18" s="529"/>
      <c r="AA18" s="530"/>
      <c r="AB18" s="1376">
        <f t="shared" si="5"/>
        <v>149.69158878466001</v>
      </c>
      <c r="AC18" s="1381"/>
      <c r="AD18" s="84"/>
      <c r="AE18" s="84"/>
      <c r="AF18" s="84"/>
    </row>
    <row r="19" spans="1:32" ht="15" customHeight="1" x14ac:dyDescent="0.2">
      <c r="A19" s="195">
        <v>1992</v>
      </c>
      <c r="B19" s="528">
        <v>85.5380507343</v>
      </c>
      <c r="C19" s="529"/>
      <c r="D19" s="529">
        <v>28.512683578099999</v>
      </c>
      <c r="E19" s="529"/>
      <c r="F19" s="530"/>
      <c r="G19" s="1376">
        <f t="shared" si="0"/>
        <v>114.0507343124</v>
      </c>
      <c r="H19" s="1381"/>
      <c r="I19" s="528">
        <v>14.2563417891</v>
      </c>
      <c r="J19" s="529"/>
      <c r="K19" s="529">
        <v>0</v>
      </c>
      <c r="L19" s="529"/>
      <c r="M19" s="530"/>
      <c r="N19" s="1376">
        <f t="shared" si="1"/>
        <v>14.2563417891</v>
      </c>
      <c r="O19" s="1381"/>
      <c r="P19" s="528">
        <v>0</v>
      </c>
      <c r="Q19" s="529"/>
      <c r="R19" s="529">
        <v>0</v>
      </c>
      <c r="S19" s="529"/>
      <c r="T19" s="530"/>
      <c r="U19" s="1376">
        <f t="shared" si="2"/>
        <v>0</v>
      </c>
      <c r="V19" s="1381"/>
      <c r="W19" s="528">
        <f t="shared" si="3"/>
        <v>99.794392523400006</v>
      </c>
      <c r="X19" s="529"/>
      <c r="Y19" s="529">
        <f t="shared" si="4"/>
        <v>28.512683578099999</v>
      </c>
      <c r="Z19" s="529"/>
      <c r="AA19" s="530"/>
      <c r="AB19" s="1376">
        <f t="shared" si="5"/>
        <v>128.3070761015</v>
      </c>
      <c r="AC19" s="1381"/>
      <c r="AD19" s="84"/>
      <c r="AE19" s="84"/>
      <c r="AF19" s="84"/>
    </row>
    <row r="20" spans="1:32" ht="15" customHeight="1" x14ac:dyDescent="0.2">
      <c r="A20" s="195">
        <v>1993</v>
      </c>
      <c r="B20" s="528">
        <v>64.153538050700007</v>
      </c>
      <c r="C20" s="529"/>
      <c r="D20" s="529">
        <v>28.512683578099999</v>
      </c>
      <c r="E20" s="529"/>
      <c r="F20" s="530"/>
      <c r="G20" s="1376">
        <f t="shared" si="0"/>
        <v>92.666221628800002</v>
      </c>
      <c r="H20" s="1381"/>
      <c r="I20" s="528">
        <v>14.2563417891</v>
      </c>
      <c r="J20" s="529"/>
      <c r="K20" s="529">
        <v>7.1281708945300002</v>
      </c>
      <c r="L20" s="529"/>
      <c r="M20" s="530"/>
      <c r="N20" s="1376">
        <f t="shared" si="1"/>
        <v>21.38451268363</v>
      </c>
      <c r="O20" s="1381"/>
      <c r="P20" s="528">
        <v>0</v>
      </c>
      <c r="Q20" s="529"/>
      <c r="R20" s="529">
        <v>0</v>
      </c>
      <c r="S20" s="529"/>
      <c r="T20" s="530"/>
      <c r="U20" s="1376">
        <f t="shared" si="2"/>
        <v>0</v>
      </c>
      <c r="V20" s="1381"/>
      <c r="W20" s="528">
        <f t="shared" si="3"/>
        <v>78.409879839800013</v>
      </c>
      <c r="X20" s="529"/>
      <c r="Y20" s="529">
        <f t="shared" si="4"/>
        <v>35.640854472629997</v>
      </c>
      <c r="Z20" s="529"/>
      <c r="AA20" s="530"/>
      <c r="AB20" s="1376">
        <f t="shared" si="5"/>
        <v>114.05073431243001</v>
      </c>
      <c r="AC20" s="1381"/>
      <c r="AD20" s="84"/>
      <c r="AE20" s="84"/>
      <c r="AF20" s="84"/>
    </row>
    <row r="21" spans="1:32" ht="15" customHeight="1" x14ac:dyDescent="0.2">
      <c r="A21" s="195">
        <v>1994</v>
      </c>
      <c r="B21" s="528">
        <v>64.153538050700007</v>
      </c>
      <c r="C21" s="529"/>
      <c r="D21" s="529">
        <v>35.640854472599997</v>
      </c>
      <c r="E21" s="529"/>
      <c r="F21" s="530"/>
      <c r="G21" s="1376">
        <f t="shared" si="0"/>
        <v>99.794392523300004</v>
      </c>
      <c r="H21" s="1381"/>
      <c r="I21" s="528">
        <v>7.1281708945300002</v>
      </c>
      <c r="J21" s="529"/>
      <c r="K21" s="529">
        <v>0</v>
      </c>
      <c r="L21" s="529"/>
      <c r="M21" s="530"/>
      <c r="N21" s="1376">
        <f t="shared" si="1"/>
        <v>7.1281708945300002</v>
      </c>
      <c r="O21" s="1381"/>
      <c r="P21" s="528">
        <v>0</v>
      </c>
      <c r="Q21" s="529"/>
      <c r="R21" s="529">
        <v>0</v>
      </c>
      <c r="S21" s="529"/>
      <c r="T21" s="530"/>
      <c r="U21" s="1376">
        <f t="shared" si="2"/>
        <v>0</v>
      </c>
      <c r="V21" s="1381"/>
      <c r="W21" s="528">
        <f t="shared" si="3"/>
        <v>71.281708945230008</v>
      </c>
      <c r="X21" s="529"/>
      <c r="Y21" s="529">
        <f t="shared" si="4"/>
        <v>35.640854472599997</v>
      </c>
      <c r="Z21" s="529"/>
      <c r="AA21" s="530"/>
      <c r="AB21" s="1376">
        <f t="shared" si="5"/>
        <v>106.92256341783001</v>
      </c>
      <c r="AC21" s="1381"/>
      <c r="AD21" s="84"/>
      <c r="AE21" s="84"/>
      <c r="AF21" s="84"/>
    </row>
    <row r="22" spans="1:32" ht="15" customHeight="1" x14ac:dyDescent="0.2">
      <c r="A22" s="195">
        <v>1995</v>
      </c>
      <c r="B22" s="528">
        <v>85.5380507343</v>
      </c>
      <c r="C22" s="529"/>
      <c r="D22" s="529">
        <v>21.384512683600001</v>
      </c>
      <c r="E22" s="529"/>
      <c r="F22" s="530"/>
      <c r="G22" s="1376">
        <f t="shared" si="0"/>
        <v>106.92256341789999</v>
      </c>
      <c r="H22" s="1381"/>
      <c r="I22" s="528">
        <v>21.384512683600001</v>
      </c>
      <c r="J22" s="529"/>
      <c r="K22" s="529">
        <v>0</v>
      </c>
      <c r="L22" s="529"/>
      <c r="M22" s="530"/>
      <c r="N22" s="1376">
        <f t="shared" si="1"/>
        <v>21.384512683600001</v>
      </c>
      <c r="O22" s="1381"/>
      <c r="P22" s="528">
        <v>7.1281708945300002</v>
      </c>
      <c r="Q22" s="529"/>
      <c r="R22" s="1625">
        <v>7.1281708945300002</v>
      </c>
      <c r="S22" s="529"/>
      <c r="T22" s="530"/>
      <c r="U22" s="1376">
        <f t="shared" si="2"/>
        <v>14.25634178906</v>
      </c>
      <c r="V22" s="1381"/>
      <c r="W22" s="528">
        <f t="shared" si="3"/>
        <v>114.05073431243</v>
      </c>
      <c r="X22" s="529"/>
      <c r="Y22" s="529">
        <f t="shared" si="4"/>
        <v>28.512683578130002</v>
      </c>
      <c r="Z22" s="529"/>
      <c r="AA22" s="530"/>
      <c r="AB22" s="1376">
        <f t="shared" si="5"/>
        <v>142.56341789056</v>
      </c>
      <c r="AC22" s="1381"/>
      <c r="AD22" s="84"/>
      <c r="AE22" s="84"/>
      <c r="AF22" s="84"/>
    </row>
    <row r="23" spans="1:32" ht="15" customHeight="1" x14ac:dyDescent="0.2">
      <c r="A23" s="195">
        <v>1996</v>
      </c>
      <c r="B23" s="528">
        <v>49.897196261700003</v>
      </c>
      <c r="C23" s="529"/>
      <c r="D23" s="529">
        <v>28.512683578099999</v>
      </c>
      <c r="E23" s="529"/>
      <c r="F23" s="530"/>
      <c r="G23" s="1376">
        <f t="shared" si="0"/>
        <v>78.409879839799999</v>
      </c>
      <c r="H23" s="1381"/>
      <c r="I23" s="528">
        <v>21.384512683600001</v>
      </c>
      <c r="J23" s="529"/>
      <c r="K23" s="529">
        <v>0</v>
      </c>
      <c r="L23" s="529"/>
      <c r="M23" s="530"/>
      <c r="N23" s="1376">
        <f t="shared" si="1"/>
        <v>21.384512683600001</v>
      </c>
      <c r="O23" s="1381"/>
      <c r="P23" s="528">
        <v>0</v>
      </c>
      <c r="Q23" s="529"/>
      <c r="R23" s="529">
        <v>7.1281708945300002</v>
      </c>
      <c r="S23" s="529"/>
      <c r="T23" s="530"/>
      <c r="U23" s="1376">
        <f t="shared" si="2"/>
        <v>7.1281708945300002</v>
      </c>
      <c r="V23" s="1381"/>
      <c r="W23" s="528">
        <f t="shared" si="3"/>
        <v>71.281708945300011</v>
      </c>
      <c r="X23" s="529"/>
      <c r="Y23" s="529">
        <f t="shared" si="4"/>
        <v>35.640854472629997</v>
      </c>
      <c r="Z23" s="529"/>
      <c r="AA23" s="530"/>
      <c r="AB23" s="1376">
        <f t="shared" si="5"/>
        <v>106.92256341793001</v>
      </c>
      <c r="AC23" s="1381"/>
      <c r="AD23" s="84"/>
      <c r="AE23" s="84"/>
      <c r="AF23" s="84"/>
    </row>
    <row r="24" spans="1:32" ht="15" customHeight="1" x14ac:dyDescent="0.2">
      <c r="A24" s="195">
        <v>1997</v>
      </c>
      <c r="B24" s="528">
        <v>85.5380507343</v>
      </c>
      <c r="C24" s="529"/>
      <c r="D24" s="529">
        <v>35.640854472599997</v>
      </c>
      <c r="E24" s="529"/>
      <c r="F24" s="530"/>
      <c r="G24" s="1376">
        <f t="shared" si="0"/>
        <v>121.1789052069</v>
      </c>
      <c r="H24" s="1381"/>
      <c r="I24" s="528">
        <v>7.1281708945300002</v>
      </c>
      <c r="J24" s="529"/>
      <c r="K24" s="529">
        <v>0</v>
      </c>
      <c r="L24" s="529"/>
      <c r="M24" s="530"/>
      <c r="N24" s="1376">
        <f t="shared" si="1"/>
        <v>7.1281708945300002</v>
      </c>
      <c r="O24" s="1381"/>
      <c r="P24" s="528">
        <v>0</v>
      </c>
      <c r="Q24" s="529"/>
      <c r="R24" s="529">
        <v>0</v>
      </c>
      <c r="S24" s="529"/>
      <c r="T24" s="530"/>
      <c r="U24" s="1376">
        <f t="shared" si="2"/>
        <v>0</v>
      </c>
      <c r="V24" s="1381"/>
      <c r="W24" s="528">
        <f t="shared" si="3"/>
        <v>92.666221628830002</v>
      </c>
      <c r="X24" s="529"/>
      <c r="Y24" s="529">
        <f t="shared" si="4"/>
        <v>35.640854472599997</v>
      </c>
      <c r="Z24" s="529"/>
      <c r="AA24" s="530"/>
      <c r="AB24" s="1376">
        <f t="shared" si="5"/>
        <v>128.30707610143</v>
      </c>
      <c r="AC24" s="1381"/>
      <c r="AD24" s="84"/>
      <c r="AE24" s="84"/>
      <c r="AF24" s="84"/>
    </row>
    <row r="25" spans="1:32" ht="15" customHeight="1" x14ac:dyDescent="0.2">
      <c r="A25" s="195">
        <v>1998</v>
      </c>
      <c r="B25" s="528">
        <v>78.409879839799999</v>
      </c>
      <c r="C25" s="529"/>
      <c r="D25" s="529">
        <v>35.640854472599997</v>
      </c>
      <c r="E25" s="529"/>
      <c r="F25" s="530"/>
      <c r="G25" s="1376">
        <f t="shared" si="0"/>
        <v>114.0507343124</v>
      </c>
      <c r="H25" s="1381"/>
      <c r="I25" s="528">
        <v>0</v>
      </c>
      <c r="J25" s="529"/>
      <c r="K25" s="529">
        <v>7.1281708945300002</v>
      </c>
      <c r="L25" s="529"/>
      <c r="M25" s="530"/>
      <c r="N25" s="1376">
        <f t="shared" si="1"/>
        <v>7.1281708945300002</v>
      </c>
      <c r="O25" s="1381"/>
      <c r="P25" s="528">
        <v>0</v>
      </c>
      <c r="Q25" s="529"/>
      <c r="R25" s="529">
        <v>0</v>
      </c>
      <c r="S25" s="529"/>
      <c r="T25" s="530"/>
      <c r="U25" s="1376">
        <f t="shared" si="2"/>
        <v>0</v>
      </c>
      <c r="V25" s="1381"/>
      <c r="W25" s="528">
        <f t="shared" si="3"/>
        <v>78.409879839799999</v>
      </c>
      <c r="X25" s="529"/>
      <c r="Y25" s="529">
        <f t="shared" si="4"/>
        <v>42.769025367129998</v>
      </c>
      <c r="Z25" s="529"/>
      <c r="AA25" s="530"/>
      <c r="AB25" s="1376">
        <f t="shared" si="5"/>
        <v>121.17890520693</v>
      </c>
      <c r="AC25" s="1381"/>
      <c r="AD25" s="84"/>
      <c r="AE25" s="84"/>
      <c r="AF25" s="84"/>
    </row>
    <row r="26" spans="1:32" ht="15" customHeight="1" x14ac:dyDescent="0.2">
      <c r="A26" s="195">
        <v>1999</v>
      </c>
      <c r="B26" s="528">
        <v>78.409879839799999</v>
      </c>
      <c r="C26" s="529"/>
      <c r="D26" s="529">
        <v>57.025367156199998</v>
      </c>
      <c r="E26" s="529"/>
      <c r="F26" s="530"/>
      <c r="G26" s="1376">
        <f t="shared" si="0"/>
        <v>135.43524699599999</v>
      </c>
      <c r="H26" s="1381"/>
      <c r="I26" s="528">
        <v>7.1281708945300002</v>
      </c>
      <c r="J26" s="529"/>
      <c r="K26" s="529">
        <v>7.1281708945300002</v>
      </c>
      <c r="L26" s="529"/>
      <c r="M26" s="530"/>
      <c r="N26" s="1376">
        <f t="shared" si="1"/>
        <v>14.25634178906</v>
      </c>
      <c r="O26" s="1381"/>
      <c r="P26" s="528">
        <v>0</v>
      </c>
      <c r="Q26" s="529"/>
      <c r="R26" s="529">
        <v>0</v>
      </c>
      <c r="S26" s="529"/>
      <c r="T26" s="530"/>
      <c r="U26" s="1376">
        <f t="shared" si="2"/>
        <v>0</v>
      </c>
      <c r="V26" s="1381"/>
      <c r="W26" s="528">
        <f t="shared" si="3"/>
        <v>85.53805073433</v>
      </c>
      <c r="X26" s="529"/>
      <c r="Y26" s="529">
        <f t="shared" si="4"/>
        <v>64.153538050729992</v>
      </c>
      <c r="Z26" s="529"/>
      <c r="AA26" s="530"/>
      <c r="AB26" s="1376">
        <f t="shared" si="5"/>
        <v>149.69158878505999</v>
      </c>
      <c r="AC26" s="1381"/>
      <c r="AD26" s="84"/>
      <c r="AE26" s="84"/>
      <c r="AF26" s="84"/>
    </row>
    <row r="27" spans="1:32" ht="15" customHeight="1" x14ac:dyDescent="0.2">
      <c r="A27" s="195">
        <v>2000</v>
      </c>
      <c r="B27" s="528">
        <v>156.81975968</v>
      </c>
      <c r="C27" s="529"/>
      <c r="D27" s="529">
        <v>71.281708945299997</v>
      </c>
      <c r="E27" s="529"/>
      <c r="F27" s="530"/>
      <c r="G27" s="1376">
        <f t="shared" si="0"/>
        <v>228.10146862530001</v>
      </c>
      <c r="H27" s="1381"/>
      <c r="I27" s="528">
        <v>7.1281708945300002</v>
      </c>
      <c r="J27" s="529"/>
      <c r="K27" s="529">
        <v>7.1281708945300002</v>
      </c>
      <c r="L27" s="529"/>
      <c r="M27" s="530"/>
      <c r="N27" s="1376">
        <f t="shared" si="1"/>
        <v>14.25634178906</v>
      </c>
      <c r="O27" s="1381"/>
      <c r="P27" s="528">
        <v>0</v>
      </c>
      <c r="Q27" s="529"/>
      <c r="R27" s="529">
        <v>0</v>
      </c>
      <c r="S27" s="529"/>
      <c r="T27" s="530"/>
      <c r="U27" s="1376">
        <f t="shared" si="2"/>
        <v>0</v>
      </c>
      <c r="V27" s="1381"/>
      <c r="W27" s="528">
        <f t="shared" si="3"/>
        <v>163.94793057453001</v>
      </c>
      <c r="X27" s="529"/>
      <c r="Y27" s="529">
        <f t="shared" si="4"/>
        <v>78.409879839829998</v>
      </c>
      <c r="Z27" s="529"/>
      <c r="AA27" s="530"/>
      <c r="AB27" s="1376">
        <f t="shared" si="5"/>
        <v>242.35781041436002</v>
      </c>
      <c r="AC27" s="1381"/>
      <c r="AD27" s="84"/>
      <c r="AE27" s="84"/>
      <c r="AF27" s="84"/>
    </row>
    <row r="28" spans="1:32" ht="15" customHeight="1" x14ac:dyDescent="0.2">
      <c r="A28" s="195">
        <v>2001</v>
      </c>
      <c r="B28" s="528">
        <v>149.69158878499999</v>
      </c>
      <c r="C28" s="529"/>
      <c r="D28" s="529">
        <v>28.512683578099999</v>
      </c>
      <c r="E28" s="529"/>
      <c r="F28" s="530"/>
      <c r="G28" s="1376">
        <f t="shared" si="0"/>
        <v>178.20427236309999</v>
      </c>
      <c r="H28" s="1381"/>
      <c r="I28" s="528">
        <v>0</v>
      </c>
      <c r="J28" s="529"/>
      <c r="K28" s="529">
        <v>7.1281708945300002</v>
      </c>
      <c r="L28" s="529"/>
      <c r="M28" s="530"/>
      <c r="N28" s="1376">
        <f t="shared" si="1"/>
        <v>7.1281708945300002</v>
      </c>
      <c r="O28" s="1381"/>
      <c r="P28" s="528">
        <v>0</v>
      </c>
      <c r="Q28" s="529"/>
      <c r="R28" s="529">
        <v>0</v>
      </c>
      <c r="S28" s="529"/>
      <c r="T28" s="530"/>
      <c r="U28" s="1376">
        <f t="shared" si="2"/>
        <v>0</v>
      </c>
      <c r="V28" s="1381"/>
      <c r="W28" s="528">
        <f t="shared" si="3"/>
        <v>149.69158878499999</v>
      </c>
      <c r="X28" s="529"/>
      <c r="Y28" s="529">
        <f t="shared" si="4"/>
        <v>35.640854472629997</v>
      </c>
      <c r="Z28" s="529"/>
      <c r="AA28" s="530"/>
      <c r="AB28" s="1376">
        <f t="shared" si="5"/>
        <v>185.33244325762999</v>
      </c>
      <c r="AC28" s="1381"/>
      <c r="AD28" s="84"/>
      <c r="AE28" s="84"/>
      <c r="AF28" s="84"/>
    </row>
    <row r="29" spans="1:32" ht="15" customHeight="1" x14ac:dyDescent="0.2">
      <c r="A29" s="195">
        <v>2002</v>
      </c>
      <c r="B29" s="528">
        <v>149.69158878499999</v>
      </c>
      <c r="C29" s="529"/>
      <c r="D29" s="529">
        <v>28.512683578099999</v>
      </c>
      <c r="E29" s="529"/>
      <c r="F29" s="530"/>
      <c r="G29" s="1376">
        <f t="shared" si="0"/>
        <v>178.20427236309999</v>
      </c>
      <c r="H29" s="1381"/>
      <c r="I29" s="528">
        <v>7.1281708945300002</v>
      </c>
      <c r="J29" s="529"/>
      <c r="K29" s="529">
        <v>0</v>
      </c>
      <c r="L29" s="529"/>
      <c r="M29" s="530"/>
      <c r="N29" s="1376">
        <f t="shared" si="1"/>
        <v>7.1281708945300002</v>
      </c>
      <c r="O29" s="1381"/>
      <c r="P29" s="528">
        <v>7.1281708945300002</v>
      </c>
      <c r="Q29" s="529"/>
      <c r="R29" s="529">
        <v>0</v>
      </c>
      <c r="S29" s="529"/>
      <c r="T29" s="530"/>
      <c r="U29" s="1376">
        <f t="shared" si="2"/>
        <v>7.1281708945300002</v>
      </c>
      <c r="V29" s="1381"/>
      <c r="W29" s="528">
        <f t="shared" si="3"/>
        <v>163.94793057406</v>
      </c>
      <c r="X29" s="529"/>
      <c r="Y29" s="529">
        <f t="shared" si="4"/>
        <v>28.512683578099999</v>
      </c>
      <c r="Z29" s="529"/>
      <c r="AA29" s="530"/>
      <c r="AB29" s="1376">
        <f t="shared" si="5"/>
        <v>192.46061415215999</v>
      </c>
      <c r="AC29" s="1381"/>
      <c r="AD29" s="84"/>
      <c r="AE29" s="84"/>
      <c r="AF29" s="84"/>
    </row>
    <row r="30" spans="1:32" ht="15" customHeight="1" x14ac:dyDescent="0.2">
      <c r="A30" s="195">
        <v>2003</v>
      </c>
      <c r="B30" s="528">
        <v>192.46061415200001</v>
      </c>
      <c r="C30" s="529"/>
      <c r="D30" s="529">
        <v>71.281708945299997</v>
      </c>
      <c r="E30" s="529"/>
      <c r="F30" s="530"/>
      <c r="G30" s="1376">
        <f t="shared" si="0"/>
        <v>263.74232309730002</v>
      </c>
      <c r="H30" s="1381"/>
      <c r="I30" s="528">
        <v>21.384512683600001</v>
      </c>
      <c r="J30" s="529"/>
      <c r="K30" s="529">
        <v>21.384512683600001</v>
      </c>
      <c r="L30" s="529"/>
      <c r="M30" s="530"/>
      <c r="N30" s="1376">
        <f t="shared" si="1"/>
        <v>42.769025367200001</v>
      </c>
      <c r="O30" s="1381"/>
      <c r="P30" s="528">
        <v>7.1281708945300002</v>
      </c>
      <c r="Q30" s="529"/>
      <c r="R30" s="529">
        <v>0</v>
      </c>
      <c r="S30" s="529"/>
      <c r="T30" s="530"/>
      <c r="U30" s="1376">
        <f t="shared" si="2"/>
        <v>7.1281708945300002</v>
      </c>
      <c r="V30" s="1381"/>
      <c r="W30" s="528">
        <f t="shared" si="3"/>
        <v>220.97329773013001</v>
      </c>
      <c r="X30" s="529"/>
      <c r="Y30" s="529">
        <f t="shared" si="4"/>
        <v>92.66622162889999</v>
      </c>
      <c r="Z30" s="529"/>
      <c r="AA30" s="530"/>
      <c r="AB30" s="1376">
        <f t="shared" si="5"/>
        <v>313.63951935903003</v>
      </c>
      <c r="AC30" s="1381"/>
      <c r="AD30" s="84"/>
      <c r="AE30" s="84"/>
      <c r="AF30" s="84"/>
    </row>
    <row r="31" spans="1:32" ht="15" customHeight="1" x14ac:dyDescent="0.2">
      <c r="A31" s="195">
        <v>2004</v>
      </c>
      <c r="B31" s="528">
        <v>171.07610146900001</v>
      </c>
      <c r="C31" s="529"/>
      <c r="D31" s="529">
        <v>64.153538050700007</v>
      </c>
      <c r="E31" s="529"/>
      <c r="F31" s="530"/>
      <c r="G31" s="1376">
        <f t="shared" si="0"/>
        <v>235.22963951970002</v>
      </c>
      <c r="H31" s="1381"/>
      <c r="I31" s="528">
        <v>21.384512683600001</v>
      </c>
      <c r="J31" s="529"/>
      <c r="K31" s="529">
        <v>7.1281708945300002</v>
      </c>
      <c r="L31" s="529"/>
      <c r="M31" s="530"/>
      <c r="N31" s="1376">
        <f t="shared" si="1"/>
        <v>28.512683578130002</v>
      </c>
      <c r="O31" s="1381"/>
      <c r="P31" s="528">
        <v>0</v>
      </c>
      <c r="Q31" s="529"/>
      <c r="R31" s="529">
        <v>0</v>
      </c>
      <c r="S31" s="529"/>
      <c r="T31" s="530"/>
      <c r="U31" s="1376">
        <f t="shared" si="2"/>
        <v>0</v>
      </c>
      <c r="V31" s="1381"/>
      <c r="W31" s="528">
        <f t="shared" si="3"/>
        <v>192.46061415260002</v>
      </c>
      <c r="X31" s="529"/>
      <c r="Y31" s="529">
        <f t="shared" si="4"/>
        <v>71.281708945230008</v>
      </c>
      <c r="Z31" s="529"/>
      <c r="AA31" s="530"/>
      <c r="AB31" s="1376">
        <f t="shared" si="5"/>
        <v>263.74232309783002</v>
      </c>
      <c r="AC31" s="1381"/>
      <c r="AD31" s="84"/>
      <c r="AE31" s="84"/>
      <c r="AF31" s="84"/>
    </row>
    <row r="32" spans="1:32" ht="15" customHeight="1" x14ac:dyDescent="0.2">
      <c r="A32" s="195">
        <v>2005</v>
      </c>
      <c r="B32" s="528">
        <v>220.97329773000001</v>
      </c>
      <c r="C32" s="529"/>
      <c r="D32" s="529">
        <v>92.666221628800002</v>
      </c>
      <c r="E32" s="529"/>
      <c r="F32" s="530"/>
      <c r="G32" s="1376">
        <f t="shared" si="0"/>
        <v>313.63951935880004</v>
      </c>
      <c r="H32" s="1381"/>
      <c r="I32" s="1626">
        <v>21.384512683600001</v>
      </c>
      <c r="J32" s="529"/>
      <c r="K32" s="529">
        <v>21.384512683600001</v>
      </c>
      <c r="L32" s="529"/>
      <c r="M32" s="530"/>
      <c r="N32" s="1376">
        <f t="shared" si="1"/>
        <v>42.769025367200001</v>
      </c>
      <c r="O32" s="1381"/>
      <c r="P32" s="528">
        <v>7.1281708945300002</v>
      </c>
      <c r="Q32" s="529"/>
      <c r="R32" s="529">
        <v>0</v>
      </c>
      <c r="S32" s="529"/>
      <c r="T32" s="530"/>
      <c r="U32" s="1376">
        <f t="shared" si="2"/>
        <v>7.1281708945300002</v>
      </c>
      <c r="V32" s="1381"/>
      <c r="W32" s="528">
        <f t="shared" si="3"/>
        <v>249.48598130813002</v>
      </c>
      <c r="X32" s="529"/>
      <c r="Y32" s="529">
        <f t="shared" si="4"/>
        <v>114.05073431240001</v>
      </c>
      <c r="Z32" s="529"/>
      <c r="AA32" s="530"/>
      <c r="AB32" s="1376">
        <f t="shared" si="5"/>
        <v>363.53671562053</v>
      </c>
      <c r="AC32" s="1381"/>
      <c r="AD32" s="84"/>
      <c r="AE32" s="84"/>
      <c r="AF32" s="84"/>
    </row>
    <row r="33" spans="1:32" ht="15" customHeight="1" x14ac:dyDescent="0.2">
      <c r="A33" s="195">
        <v>2006</v>
      </c>
      <c r="B33" s="528">
        <v>263.742323097</v>
      </c>
      <c r="C33" s="529"/>
      <c r="D33" s="529">
        <v>106.922563418</v>
      </c>
      <c r="E33" s="529"/>
      <c r="F33" s="530"/>
      <c r="G33" s="1376">
        <f t="shared" si="0"/>
        <v>370.66488651499998</v>
      </c>
      <c r="H33" s="1381"/>
      <c r="I33" s="528">
        <v>42.769025367200001</v>
      </c>
      <c r="J33" s="529"/>
      <c r="K33" s="529">
        <v>14.2563417891</v>
      </c>
      <c r="L33" s="529"/>
      <c r="M33" s="530"/>
      <c r="N33" s="1376">
        <f t="shared" si="1"/>
        <v>57.0253671563</v>
      </c>
      <c r="O33" s="1381"/>
      <c r="P33" s="528">
        <v>0</v>
      </c>
      <c r="Q33" s="529"/>
      <c r="R33" s="529">
        <v>7.1281708945300002</v>
      </c>
      <c r="S33" s="529"/>
      <c r="T33" s="530"/>
      <c r="U33" s="1376">
        <f t="shared" si="2"/>
        <v>7.1281708945300002</v>
      </c>
      <c r="V33" s="1381"/>
      <c r="W33" s="528">
        <f t="shared" si="3"/>
        <v>306.51134846420001</v>
      </c>
      <c r="X33" s="529"/>
      <c r="Y33" s="529">
        <f t="shared" si="4"/>
        <v>128.30707610163</v>
      </c>
      <c r="Z33" s="529"/>
      <c r="AA33" s="530"/>
      <c r="AB33" s="1376">
        <f t="shared" si="5"/>
        <v>434.81842456583001</v>
      </c>
      <c r="AC33" s="1381"/>
      <c r="AD33" s="84"/>
      <c r="AE33" s="84"/>
      <c r="AF33" s="84"/>
    </row>
    <row r="34" spans="1:32" ht="15" customHeight="1" x14ac:dyDescent="0.2">
      <c r="A34" s="195">
        <v>2007</v>
      </c>
      <c r="B34" s="528">
        <v>213.84512683599999</v>
      </c>
      <c r="C34" s="529"/>
      <c r="D34" s="1625">
        <v>149.69158878499999</v>
      </c>
      <c r="E34" s="529"/>
      <c r="F34" s="530"/>
      <c r="G34" s="1376">
        <f t="shared" si="0"/>
        <v>363.53671562099998</v>
      </c>
      <c r="H34" s="1381"/>
      <c r="I34" s="528">
        <v>28.512683578099999</v>
      </c>
      <c r="J34" s="529"/>
      <c r="K34" s="529">
        <v>7.1281708945300002</v>
      </c>
      <c r="L34" s="529"/>
      <c r="M34" s="530"/>
      <c r="N34" s="1376">
        <f t="shared" si="1"/>
        <v>35.640854472629997</v>
      </c>
      <c r="O34" s="1381"/>
      <c r="P34" s="528">
        <v>7.1281708945300002</v>
      </c>
      <c r="Q34" s="529"/>
      <c r="R34" s="529">
        <v>0</v>
      </c>
      <c r="S34" s="529"/>
      <c r="T34" s="530"/>
      <c r="U34" s="1376">
        <f t="shared" si="2"/>
        <v>7.1281708945300002</v>
      </c>
      <c r="V34" s="1381"/>
      <c r="W34" s="528">
        <f t="shared" si="3"/>
        <v>249.48598130862999</v>
      </c>
      <c r="X34" s="529"/>
      <c r="Y34" s="529">
        <f t="shared" si="4"/>
        <v>156.81975967952999</v>
      </c>
      <c r="Z34" s="529"/>
      <c r="AA34" s="530"/>
      <c r="AB34" s="1376">
        <f t="shared" si="5"/>
        <v>406.30574098815998</v>
      </c>
      <c r="AC34" s="1381"/>
      <c r="AD34" s="87"/>
      <c r="AE34" s="84"/>
      <c r="AF34" s="84"/>
    </row>
    <row r="35" spans="1:32" ht="15" customHeight="1" x14ac:dyDescent="0.2">
      <c r="A35" s="674">
        <v>2008</v>
      </c>
      <c r="B35" s="528">
        <v>285.12683578100001</v>
      </c>
      <c r="C35" s="529"/>
      <c r="D35" s="529">
        <v>156.81975968</v>
      </c>
      <c r="E35" s="529"/>
      <c r="F35" s="530"/>
      <c r="G35" s="1376">
        <f t="shared" si="0"/>
        <v>441.94659546100002</v>
      </c>
      <c r="H35" s="1381"/>
      <c r="I35" s="528">
        <v>35.640854472599997</v>
      </c>
      <c r="J35" s="529"/>
      <c r="K35" s="529">
        <v>49.897196261700003</v>
      </c>
      <c r="L35" s="529"/>
      <c r="M35" s="530"/>
      <c r="N35" s="1376">
        <f t="shared" si="1"/>
        <v>85.5380507343</v>
      </c>
      <c r="O35" s="1381"/>
      <c r="P35" s="528">
        <v>0</v>
      </c>
      <c r="Q35" s="529"/>
      <c r="R35" s="529">
        <v>7.1281708945300002</v>
      </c>
      <c r="S35" s="529"/>
      <c r="T35" s="530"/>
      <c r="U35" s="1376">
        <f t="shared" si="2"/>
        <v>7.1281708945300002</v>
      </c>
      <c r="V35" s="1381"/>
      <c r="W35" s="528">
        <f t="shared" si="3"/>
        <v>320.76769025359999</v>
      </c>
      <c r="X35" s="529"/>
      <c r="Y35" s="529">
        <f t="shared" si="4"/>
        <v>213.84512683623001</v>
      </c>
      <c r="Z35" s="529"/>
      <c r="AA35" s="530"/>
      <c r="AB35" s="1376">
        <f t="shared" si="5"/>
        <v>534.61281708983006</v>
      </c>
      <c r="AC35" s="1381"/>
      <c r="AD35" s="87"/>
      <c r="AE35" s="84"/>
      <c r="AF35" s="84"/>
    </row>
    <row r="36" spans="1:32" ht="15" customHeight="1" x14ac:dyDescent="0.2">
      <c r="A36" s="674">
        <v>2009</v>
      </c>
      <c r="B36" s="528">
        <v>313.63951935900002</v>
      </c>
      <c r="C36" s="529"/>
      <c r="D36" s="529">
        <v>149.69158878499999</v>
      </c>
      <c r="E36" s="529"/>
      <c r="F36" s="530"/>
      <c r="G36" s="1376">
        <f t="shared" si="0"/>
        <v>463.33110814400004</v>
      </c>
      <c r="H36" s="1381"/>
      <c r="I36" s="528">
        <v>35.640854472599997</v>
      </c>
      <c r="J36" s="529"/>
      <c r="K36" s="529">
        <v>28.512683578099999</v>
      </c>
      <c r="L36" s="529"/>
      <c r="M36" s="530"/>
      <c r="N36" s="1376">
        <f t="shared" si="1"/>
        <v>64.153538050699993</v>
      </c>
      <c r="O36" s="1381"/>
      <c r="P36" s="528">
        <v>7.1281708945300002</v>
      </c>
      <c r="Q36" s="529"/>
      <c r="R36" s="529">
        <v>0</v>
      </c>
      <c r="S36" s="529"/>
      <c r="T36" s="530"/>
      <c r="U36" s="1376">
        <f t="shared" si="2"/>
        <v>7.1281708945300002</v>
      </c>
      <c r="V36" s="1381"/>
      <c r="W36" s="528">
        <f t="shared" si="3"/>
        <v>356.40854472613</v>
      </c>
      <c r="X36" s="529"/>
      <c r="Y36" s="529">
        <f t="shared" si="4"/>
        <v>178.20427236309999</v>
      </c>
      <c r="Z36" s="529"/>
      <c r="AA36" s="530"/>
      <c r="AB36" s="1376">
        <f t="shared" si="5"/>
        <v>534.61281708923002</v>
      </c>
      <c r="AC36" s="1381"/>
      <c r="AD36" s="87"/>
      <c r="AE36" s="84"/>
      <c r="AF36" s="84"/>
    </row>
    <row r="37" spans="1:32" ht="15" customHeight="1" x14ac:dyDescent="0.2">
      <c r="A37" s="674">
        <v>2010</v>
      </c>
      <c r="B37" s="1567">
        <v>392.04939919899999</v>
      </c>
      <c r="C37" s="1613"/>
      <c r="D37" s="1613">
        <v>285.12683578100001</v>
      </c>
      <c r="E37" s="1613"/>
      <c r="F37" s="1614"/>
      <c r="G37" s="1570">
        <f t="shared" si="0"/>
        <v>677.17623498</v>
      </c>
      <c r="H37" s="1615"/>
      <c r="I37" s="1567">
        <v>57.025367156199998</v>
      </c>
      <c r="J37" s="1613"/>
      <c r="K37" s="1613">
        <v>42.769025367200001</v>
      </c>
      <c r="L37" s="1613"/>
      <c r="M37" s="1614"/>
      <c r="N37" s="1570">
        <f t="shared" si="1"/>
        <v>99.794392523400006</v>
      </c>
      <c r="O37" s="1615"/>
      <c r="P37" s="1567">
        <v>7.1281708945300002</v>
      </c>
      <c r="Q37" s="1613"/>
      <c r="R37" s="1613">
        <v>14.2563417891</v>
      </c>
      <c r="S37" s="1613"/>
      <c r="T37" s="1614"/>
      <c r="U37" s="1570">
        <f t="shared" si="2"/>
        <v>21.38451268363</v>
      </c>
      <c r="V37" s="1615"/>
      <c r="W37" s="1567">
        <f t="shared" si="3"/>
        <v>456.20293724972998</v>
      </c>
      <c r="X37" s="1613"/>
      <c r="Y37" s="1613">
        <f t="shared" si="4"/>
        <v>342.15220293729999</v>
      </c>
      <c r="Z37" s="1613"/>
      <c r="AA37" s="1614"/>
      <c r="AB37" s="1570">
        <f t="shared" si="5"/>
        <v>798.35514018702997</v>
      </c>
      <c r="AC37" s="1615"/>
      <c r="AD37" s="87"/>
      <c r="AE37" s="84"/>
      <c r="AF37" s="84"/>
    </row>
    <row r="38" spans="1:32" ht="15" customHeight="1" x14ac:dyDescent="0.2">
      <c r="A38" s="674">
        <v>2011</v>
      </c>
      <c r="B38" s="1567">
        <v>427.69025367199998</v>
      </c>
      <c r="C38" s="1613"/>
      <c r="D38" s="1613">
        <v>285.12683578100001</v>
      </c>
      <c r="E38" s="1613"/>
      <c r="F38" s="1614"/>
      <c r="G38" s="1570">
        <f t="shared" si="0"/>
        <v>712.81708945299999</v>
      </c>
      <c r="H38" s="1615"/>
      <c r="I38" s="1567">
        <v>64.153538050700007</v>
      </c>
      <c r="J38" s="1613"/>
      <c r="K38" s="1613">
        <v>21.384512683600001</v>
      </c>
      <c r="L38" s="1613"/>
      <c r="M38" s="1614"/>
      <c r="N38" s="1570">
        <f t="shared" si="1"/>
        <v>85.538050734300015</v>
      </c>
      <c r="O38" s="1615"/>
      <c r="P38" s="1567">
        <v>14.2563417891</v>
      </c>
      <c r="Q38" s="1613"/>
      <c r="R38" s="1613">
        <v>14.2563417891</v>
      </c>
      <c r="S38" s="1613"/>
      <c r="T38" s="1614"/>
      <c r="U38" s="1570">
        <f t="shared" si="2"/>
        <v>28.512683578200001</v>
      </c>
      <c r="V38" s="1615"/>
      <c r="W38" s="1567">
        <f t="shared" si="3"/>
        <v>506.10013351179998</v>
      </c>
      <c r="X38" s="1613"/>
      <c r="Y38" s="1613">
        <f t="shared" si="4"/>
        <v>320.76769025370004</v>
      </c>
      <c r="Z38" s="1613"/>
      <c r="AA38" s="1614"/>
      <c r="AB38" s="1570">
        <f t="shared" si="5"/>
        <v>826.86782376550002</v>
      </c>
      <c r="AC38" s="1615"/>
      <c r="AD38" s="87"/>
      <c r="AE38" s="84"/>
      <c r="AF38" s="84"/>
    </row>
    <row r="39" spans="1:32" ht="15" customHeight="1" x14ac:dyDescent="0.2">
      <c r="A39" s="674">
        <v>2012</v>
      </c>
      <c r="B39" s="1567">
        <v>555.99732977300005</v>
      </c>
      <c r="C39" s="1613"/>
      <c r="D39" s="1613">
        <v>413.43391188300001</v>
      </c>
      <c r="E39" s="1613"/>
      <c r="F39" s="1614"/>
      <c r="G39" s="1570">
        <f t="shared" si="0"/>
        <v>969.43124165600011</v>
      </c>
      <c r="H39" s="1615"/>
      <c r="I39" s="1567">
        <v>99.794392523400006</v>
      </c>
      <c r="J39" s="1613"/>
      <c r="K39" s="1613">
        <v>71.281708945299997</v>
      </c>
      <c r="L39" s="1613"/>
      <c r="M39" s="1614"/>
      <c r="N39" s="1570">
        <f t="shared" si="1"/>
        <v>171.07610146870002</v>
      </c>
      <c r="O39" s="1615"/>
      <c r="P39" s="1567">
        <v>7.1281708945300002</v>
      </c>
      <c r="Q39" s="1613"/>
      <c r="R39" s="1613">
        <v>7.1281708945300002</v>
      </c>
      <c r="S39" s="1613"/>
      <c r="T39" s="1614"/>
      <c r="U39" s="1570">
        <f t="shared" si="2"/>
        <v>14.25634178906</v>
      </c>
      <c r="V39" s="1615"/>
      <c r="W39" s="1567">
        <f t="shared" si="3"/>
        <v>662.91989319093</v>
      </c>
      <c r="X39" s="1613"/>
      <c r="Y39" s="1613">
        <f t="shared" si="4"/>
        <v>491.84379172283002</v>
      </c>
      <c r="Z39" s="1613"/>
      <c r="AA39" s="1614"/>
      <c r="AB39" s="1570">
        <f t="shared" si="5"/>
        <v>1154.76368491376</v>
      </c>
      <c r="AC39" s="1615"/>
      <c r="AD39" s="87"/>
      <c r="AE39" s="84"/>
      <c r="AF39" s="84"/>
    </row>
    <row r="40" spans="1:32" ht="15" customHeight="1" x14ac:dyDescent="0.2">
      <c r="A40" s="675" t="s">
        <v>310</v>
      </c>
      <c r="B40" s="531"/>
      <c r="C40" s="532"/>
      <c r="D40" s="532"/>
      <c r="E40" s="532"/>
      <c r="F40" s="533"/>
      <c r="G40" s="1377"/>
      <c r="H40" s="1382"/>
      <c r="I40" s="531"/>
      <c r="J40" s="532"/>
      <c r="K40" s="532"/>
      <c r="L40" s="532"/>
      <c r="M40" s="533"/>
      <c r="N40" s="1377"/>
      <c r="O40" s="1382"/>
      <c r="P40" s="531"/>
      <c r="Q40" s="532"/>
      <c r="R40" s="532"/>
      <c r="S40" s="532"/>
      <c r="T40" s="533"/>
      <c r="U40" s="1377"/>
      <c r="V40" s="1382"/>
      <c r="W40" s="531"/>
      <c r="X40" s="532"/>
      <c r="Y40" s="532"/>
      <c r="Z40" s="532"/>
      <c r="AA40" s="533"/>
      <c r="AB40" s="1377"/>
      <c r="AC40" s="1382"/>
      <c r="AD40" s="84"/>
      <c r="AE40" s="84"/>
      <c r="AF40" s="84"/>
    </row>
    <row r="41" spans="1:32" ht="15" customHeight="1" x14ac:dyDescent="0.2">
      <c r="A41" s="197"/>
      <c r="B41" s="198"/>
      <c r="C41" s="198"/>
      <c r="D41" s="198"/>
      <c r="E41" s="198"/>
      <c r="F41" s="198"/>
      <c r="G41" s="198"/>
      <c r="H41" s="198"/>
      <c r="I41" s="198"/>
      <c r="J41" s="198"/>
      <c r="K41" s="198"/>
      <c r="L41" s="198"/>
      <c r="M41" s="198"/>
      <c r="N41" s="198"/>
      <c r="O41" s="198"/>
      <c r="P41" s="198"/>
      <c r="Q41" s="198"/>
      <c r="R41" s="198"/>
      <c r="S41" s="198"/>
      <c r="T41" s="198"/>
      <c r="U41" s="198"/>
      <c r="V41" s="198"/>
      <c r="W41" s="198"/>
      <c r="X41" s="198"/>
      <c r="Y41" s="198"/>
      <c r="Z41" s="198"/>
      <c r="AA41" s="198"/>
      <c r="AB41" s="198"/>
      <c r="AC41" s="198"/>
      <c r="AD41" s="84"/>
      <c r="AE41" s="84"/>
      <c r="AF41" s="84"/>
    </row>
    <row r="42" spans="1:32" ht="15" customHeight="1" x14ac:dyDescent="0.2">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row>
    <row r="43" spans="1:32" ht="15" customHeight="1" x14ac:dyDescent="0.2">
      <c r="A43" s="89" t="s">
        <v>32</v>
      </c>
      <c r="B43" s="56" t="s">
        <v>1049</v>
      </c>
      <c r="C43" s="56"/>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84"/>
      <c r="AE43" s="84"/>
      <c r="AF43" s="84"/>
    </row>
    <row r="44" spans="1:32" ht="15" customHeight="1" x14ac:dyDescent="0.2">
      <c r="A44" s="84"/>
      <c r="B44" s="58"/>
      <c r="C44" s="58"/>
      <c r="D44" s="59"/>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84"/>
      <c r="AE44" s="84"/>
      <c r="AF44" s="84"/>
    </row>
    <row r="45" spans="1:32" ht="15" customHeight="1" x14ac:dyDescent="0.2">
      <c r="A45" s="84"/>
      <c r="B45" s="58"/>
      <c r="C45" s="58"/>
      <c r="D45" s="59"/>
      <c r="E45" s="59"/>
      <c r="F45" s="59"/>
      <c r="G45" s="59"/>
      <c r="H45" s="59"/>
      <c r="I45" s="59"/>
      <c r="J45" s="59"/>
      <c r="K45" s="59"/>
      <c r="L45" s="59"/>
      <c r="M45" s="59"/>
      <c r="N45" s="59"/>
      <c r="O45" s="59"/>
      <c r="P45" s="59"/>
      <c r="Q45" s="59"/>
      <c r="R45" s="59"/>
      <c r="S45" s="59"/>
      <c r="T45" s="59"/>
      <c r="U45" s="59"/>
      <c r="V45" s="59"/>
      <c r="W45" s="59"/>
      <c r="X45" s="59"/>
      <c r="Y45" s="59"/>
      <c r="Z45" s="59"/>
      <c r="AA45" s="59"/>
      <c r="AB45" s="59"/>
      <c r="AC45" s="59"/>
      <c r="AD45" s="84"/>
      <c r="AE45" s="84"/>
      <c r="AF45" s="84"/>
    </row>
    <row r="46" spans="1:32" ht="15" customHeight="1" x14ac:dyDescent="0.2">
      <c r="A46" s="84"/>
      <c r="B46" s="58"/>
      <c r="C46" s="58"/>
      <c r="D46" s="59"/>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84"/>
      <c r="AE46" s="84"/>
      <c r="AF46" s="84"/>
    </row>
    <row r="47" spans="1:32" ht="15" customHeight="1" x14ac:dyDescent="0.2">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c r="AA47" s="84"/>
      <c r="AB47" s="84"/>
      <c r="AC47" s="84"/>
      <c r="AD47" s="84"/>
      <c r="AE47" s="84"/>
      <c r="AF47" s="84"/>
    </row>
    <row r="48" spans="1:32" ht="15" customHeight="1" x14ac:dyDescent="0.2">
      <c r="A48" s="89" t="s">
        <v>33</v>
      </c>
      <c r="B48" s="56"/>
      <c r="C48" s="56"/>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84"/>
      <c r="AE48" s="84"/>
      <c r="AF48" s="84"/>
    </row>
    <row r="49" spans="1:32" ht="15" customHeight="1" x14ac:dyDescent="0.2">
      <c r="A49" s="89"/>
      <c r="B49" s="58"/>
      <c r="C49" s="58"/>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84"/>
      <c r="AE49" s="84"/>
      <c r="AF49" s="84"/>
    </row>
    <row r="50" spans="1:32" ht="15" customHeight="1" x14ac:dyDescent="0.2">
      <c r="A50" s="84"/>
      <c r="B50" s="58"/>
      <c r="C50" s="58"/>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84"/>
      <c r="AE50" s="84"/>
      <c r="AF50" s="84"/>
    </row>
    <row r="51" spans="1:32" ht="15" customHeight="1" x14ac:dyDescent="0.2">
      <c r="A51" s="84"/>
      <c r="B51" s="58"/>
      <c r="C51" s="58"/>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84"/>
      <c r="AE51" s="84"/>
      <c r="AF51" s="84"/>
    </row>
    <row r="52" spans="1:32" ht="15" customHeight="1" x14ac:dyDescent="0.2">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c r="AA52" s="84"/>
      <c r="AB52" s="84"/>
      <c r="AC52" s="84"/>
      <c r="AD52" s="84"/>
      <c r="AE52" s="84"/>
      <c r="AF52" s="84"/>
    </row>
    <row r="53" spans="1:32" ht="12.75" x14ac:dyDescent="0.2">
      <c r="A53" s="89" t="s">
        <v>670</v>
      </c>
      <c r="B53" s="84"/>
      <c r="C53" s="84"/>
      <c r="D53" s="84"/>
      <c r="E53" s="84"/>
      <c r="F53" s="84"/>
      <c r="G53" s="84"/>
      <c r="H53" s="84"/>
      <c r="I53" s="84"/>
      <c r="J53" s="84"/>
      <c r="K53" s="84"/>
      <c r="L53" s="84"/>
      <c r="M53" s="84"/>
      <c r="N53" s="84"/>
      <c r="O53" s="84"/>
      <c r="P53" s="84"/>
      <c r="Q53" s="84"/>
      <c r="R53" s="84"/>
      <c r="S53" s="84"/>
      <c r="T53" s="84"/>
      <c r="U53" s="84"/>
      <c r="V53" s="84"/>
      <c r="W53" s="84"/>
      <c r="X53" s="84"/>
      <c r="Y53" s="84"/>
      <c r="Z53" s="84"/>
      <c r="AA53" s="84"/>
      <c r="AB53" s="84"/>
      <c r="AC53" s="84"/>
      <c r="AD53" s="84"/>
      <c r="AE53" s="84"/>
      <c r="AF53" s="84"/>
    </row>
    <row r="54" spans="1:32" ht="12.75" x14ac:dyDescent="0.2">
      <c r="A54" s="616"/>
      <c r="B54" s="548"/>
      <c r="C54" s="84"/>
      <c r="D54" s="84"/>
      <c r="E54" s="84"/>
      <c r="F54" s="84"/>
      <c r="G54" s="84"/>
      <c r="H54" s="84"/>
      <c r="I54" s="84"/>
      <c r="J54" s="84"/>
      <c r="K54" s="84"/>
      <c r="L54" s="84"/>
      <c r="M54" s="84"/>
      <c r="N54" s="84"/>
      <c r="O54" s="84"/>
      <c r="P54" s="84"/>
      <c r="Q54" s="84"/>
      <c r="R54" s="84"/>
      <c r="S54" s="84"/>
      <c r="T54" s="84"/>
      <c r="U54" s="84"/>
      <c r="V54" s="84"/>
      <c r="W54" s="84"/>
      <c r="X54" s="84"/>
      <c r="Y54" s="84"/>
      <c r="Z54" s="84"/>
      <c r="AA54" s="84"/>
      <c r="AB54" s="84"/>
      <c r="AC54" s="84"/>
      <c r="AD54" s="84"/>
      <c r="AE54" s="84"/>
      <c r="AF54" s="84"/>
    </row>
    <row r="55" spans="1:32" ht="12.75" x14ac:dyDescent="0.2">
      <c r="A55" s="84"/>
      <c r="B55" s="549"/>
      <c r="C55" s="84"/>
      <c r="D55" s="84"/>
      <c r="E55" s="84"/>
      <c r="F55" s="84"/>
      <c r="G55" s="84"/>
      <c r="H55" s="84"/>
      <c r="I55" s="84"/>
      <c r="J55" s="84"/>
      <c r="K55" s="84"/>
      <c r="L55" s="84"/>
      <c r="M55" s="84"/>
      <c r="N55" s="84"/>
      <c r="O55" s="84"/>
      <c r="P55" s="84"/>
      <c r="Q55" s="84"/>
      <c r="R55" s="84"/>
      <c r="S55" s="84"/>
      <c r="T55" s="84"/>
      <c r="U55" s="84"/>
      <c r="V55" s="84"/>
      <c r="W55" s="84"/>
      <c r="X55" s="84"/>
      <c r="Y55" s="84"/>
      <c r="Z55" s="84"/>
      <c r="AA55" s="84"/>
      <c r="AB55" s="84"/>
      <c r="AC55" s="84"/>
      <c r="AD55" s="84"/>
      <c r="AE55" s="84"/>
      <c r="AF55" s="84"/>
    </row>
    <row r="56" spans="1:32" ht="12.75" x14ac:dyDescent="0.2">
      <c r="A56" s="84"/>
      <c r="B56" s="549"/>
      <c r="C56" s="84"/>
      <c r="D56" s="84"/>
      <c r="E56" s="84"/>
      <c r="F56" s="84"/>
      <c r="G56" s="84"/>
      <c r="H56" s="84"/>
      <c r="I56" s="84"/>
      <c r="J56" s="84"/>
      <c r="K56" s="84"/>
      <c r="L56" s="84"/>
      <c r="M56" s="84"/>
      <c r="N56" s="84"/>
      <c r="O56" s="84"/>
      <c r="P56" s="84"/>
      <c r="Q56" s="84"/>
      <c r="R56" s="84"/>
      <c r="S56" s="84"/>
      <c r="T56" s="84"/>
      <c r="U56" s="84"/>
      <c r="V56" s="84"/>
      <c r="W56" s="84"/>
      <c r="X56" s="84"/>
      <c r="Y56" s="84"/>
      <c r="Z56" s="84"/>
      <c r="AA56" s="84"/>
      <c r="AB56" s="84"/>
      <c r="AC56" s="84"/>
      <c r="AD56" s="84"/>
      <c r="AE56" s="84"/>
      <c r="AF56" s="84"/>
    </row>
    <row r="57" spans="1:32" ht="12.75" x14ac:dyDescent="0.2">
      <c r="A57" s="84"/>
      <c r="B57" s="549"/>
      <c r="C57" s="84"/>
      <c r="D57" s="84"/>
      <c r="E57" s="84"/>
      <c r="F57" s="84"/>
      <c r="G57" s="84"/>
      <c r="H57" s="84"/>
      <c r="I57" s="84"/>
      <c r="J57" s="84"/>
      <c r="K57" s="84"/>
      <c r="L57" s="84"/>
      <c r="M57" s="84"/>
      <c r="N57" s="84"/>
      <c r="O57" s="84"/>
      <c r="P57" s="84"/>
      <c r="Q57" s="84"/>
      <c r="R57" s="84"/>
      <c r="S57" s="84"/>
      <c r="T57" s="84"/>
      <c r="U57" s="84"/>
      <c r="V57" s="84"/>
      <c r="W57" s="84"/>
      <c r="X57" s="84"/>
      <c r="Y57" s="84"/>
      <c r="Z57" s="84"/>
      <c r="AA57" s="84"/>
      <c r="AB57" s="84"/>
      <c r="AC57" s="84"/>
      <c r="AD57" s="84"/>
      <c r="AE57" s="84"/>
      <c r="AF57" s="84"/>
    </row>
    <row r="58" spans="1:32" ht="15" customHeight="1" x14ac:dyDescent="0.2">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84"/>
      <c r="AE58" s="84"/>
      <c r="AF58" s="84"/>
    </row>
  </sheetData>
  <sheetProtection password="CD9E" sheet="1" objects="1" scenarios="1" selectLockedCells="1"/>
  <mergeCells count="16">
    <mergeCell ref="B12:H12"/>
    <mergeCell ref="I12:O12"/>
    <mergeCell ref="P12:V12"/>
    <mergeCell ref="W12:AC12"/>
    <mergeCell ref="I13:J13"/>
    <mergeCell ref="K13:L13"/>
    <mergeCell ref="N13:O13"/>
    <mergeCell ref="P13:Q13"/>
    <mergeCell ref="R13:S13"/>
    <mergeCell ref="U13:V13"/>
    <mergeCell ref="W13:X13"/>
    <mergeCell ref="Y13:Z13"/>
    <mergeCell ref="AB13:AC13"/>
    <mergeCell ref="B13:C13"/>
    <mergeCell ref="D13:E13"/>
    <mergeCell ref="G13:H13"/>
  </mergeCells>
  <dataValidations count="1">
    <dataValidation type="list" allowBlank="1" showInputMessage="1" showErrorMessage="1" sqref="B54:B57">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4803149606299213" right="0.74803149606299213" top="0.98425196850393704" bottom="0.98425196850393704" header="0.51181102362204722" footer="0.51181102362204722"/>
  <pageSetup paperSize="9" scale="58" orientation="landscape" r:id="rId1"/>
  <headerFooter alignWithMargins="0">
    <oddHeader>&amp;LCDH&amp;C &amp;F&amp;R&amp;A</oddHeader>
    <oddFooter>Page &amp;P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theme="9" tint="0.39997558519241921"/>
    <pageSetUpPr fitToPage="1"/>
  </sheetPr>
  <dimension ref="A1:AF39"/>
  <sheetViews>
    <sheetView showGridLines="0" zoomScale="90" zoomScaleNormal="90" workbookViewId="0">
      <selection activeCell="AB19" sqref="AB19"/>
    </sheetView>
  </sheetViews>
  <sheetFormatPr baseColWidth="10" defaultColWidth="9.140625" defaultRowHeight="15" customHeight="1" x14ac:dyDescent="0.2"/>
  <cols>
    <col min="1" max="1" width="28" style="31" customWidth="1"/>
    <col min="2" max="2" width="12.7109375" style="31" customWidth="1"/>
    <col min="3" max="3" width="6.7109375" style="31" customWidth="1"/>
    <col min="4" max="4" width="12.7109375" style="31" customWidth="1"/>
    <col min="5" max="5" width="6.7109375" style="31" customWidth="1"/>
    <col min="6" max="7" width="12.7109375" style="31" customWidth="1"/>
    <col min="8" max="8" width="6.7109375" style="31" customWidth="1"/>
    <col min="9" max="9" width="12.7109375" style="31" customWidth="1"/>
    <col min="10" max="10" width="6.7109375" style="31" customWidth="1"/>
    <col min="11" max="11" width="12.7109375" style="31" customWidth="1"/>
    <col min="12" max="12" width="6.7109375" style="31" customWidth="1"/>
    <col min="13" max="14" width="12.7109375" style="31" customWidth="1"/>
    <col min="15" max="15" width="6.7109375" style="31" customWidth="1"/>
    <col min="16" max="16" width="12.7109375" style="31" customWidth="1"/>
    <col min="17" max="17" width="6.7109375" style="31" customWidth="1"/>
    <col min="18" max="18" width="12.7109375" style="31" customWidth="1"/>
    <col min="19" max="19" width="6.7109375" style="31" customWidth="1"/>
    <col min="20" max="21" width="12.7109375" style="31" customWidth="1"/>
    <col min="22" max="22" width="6.7109375" style="31" customWidth="1"/>
    <col min="23" max="23" width="12.7109375" style="31" customWidth="1"/>
    <col min="24" max="24" width="6.7109375" style="31" customWidth="1"/>
    <col min="25" max="25" width="12.7109375" style="31" customWidth="1"/>
    <col min="26" max="26" width="6.7109375" style="31" customWidth="1"/>
    <col min="27" max="28" width="12.7109375" style="31" customWidth="1"/>
    <col min="29" max="29" width="6.7109375" style="31" customWidth="1"/>
    <col min="30" max="16384" width="9.140625" style="31"/>
  </cols>
  <sheetData>
    <row r="1" spans="1:32" s="66" customFormat="1" ht="12" customHeight="1" x14ac:dyDescent="0.2">
      <c r="A1" s="26" t="s">
        <v>6</v>
      </c>
    </row>
    <row r="2" spans="1:32" s="66" customFormat="1" ht="12" customHeight="1" x14ac:dyDescent="0.2">
      <c r="A2" s="28" t="s">
        <v>10</v>
      </c>
    </row>
    <row r="3" spans="1:32" s="66" customFormat="1" ht="12" customHeight="1" x14ac:dyDescent="0.2">
      <c r="A3" s="28" t="s">
        <v>7</v>
      </c>
    </row>
    <row r="4" spans="1:32" ht="15" customHeight="1" x14ac:dyDescent="0.2">
      <c r="A4" s="82" t="s">
        <v>248</v>
      </c>
      <c r="B4" s="82"/>
      <c r="C4" s="82"/>
      <c r="D4" s="82"/>
      <c r="E4" s="82"/>
      <c r="F4" s="82"/>
      <c r="G4" s="82"/>
      <c r="H4" s="82"/>
      <c r="I4" s="82"/>
      <c r="J4" s="82"/>
      <c r="K4" s="82"/>
      <c r="L4" s="82"/>
      <c r="M4" s="83"/>
      <c r="N4" s="82"/>
      <c r="O4" s="82"/>
      <c r="P4" s="82"/>
      <c r="Q4" s="83"/>
      <c r="R4" s="83"/>
      <c r="S4" s="83"/>
      <c r="T4" s="83"/>
      <c r="U4" s="83"/>
      <c r="V4" s="83"/>
      <c r="W4" s="83"/>
      <c r="X4" s="83"/>
      <c r="Y4" s="83"/>
      <c r="Z4" s="83"/>
      <c r="AA4" s="83"/>
      <c r="AB4" s="83"/>
      <c r="AC4" s="83"/>
      <c r="AD4" s="83"/>
      <c r="AE4" s="83"/>
      <c r="AF4" s="83"/>
    </row>
    <row r="5" spans="1:32" s="131" customFormat="1" ht="15" customHeight="1" x14ac:dyDescent="0.2">
      <c r="AD5" s="83"/>
      <c r="AE5" s="83"/>
      <c r="AF5" s="83"/>
    </row>
    <row r="6" spans="1:32" s="131" customFormat="1" ht="15" customHeight="1" x14ac:dyDescent="0.2">
      <c r="A6" s="185"/>
      <c r="B6" s="185"/>
      <c r="C6" s="185"/>
      <c r="D6" s="185"/>
      <c r="E6" s="185"/>
      <c r="F6" s="185"/>
      <c r="G6" s="185"/>
      <c r="H6" s="185"/>
      <c r="I6" s="185"/>
      <c r="J6" s="185"/>
      <c r="K6" s="185"/>
      <c r="L6" s="185"/>
      <c r="M6" s="185"/>
      <c r="N6" s="185"/>
      <c r="O6" s="185"/>
      <c r="P6" s="185"/>
      <c r="Q6" s="185"/>
      <c r="R6" s="185"/>
      <c r="S6" s="185"/>
      <c r="T6" s="185"/>
      <c r="U6" s="185"/>
      <c r="V6" s="185"/>
      <c r="W6" s="185"/>
      <c r="X6" s="185"/>
      <c r="Y6" s="185"/>
      <c r="Z6" s="185"/>
      <c r="AA6" s="185"/>
      <c r="AB6" s="185"/>
      <c r="AC6" s="185"/>
      <c r="AD6" s="185"/>
      <c r="AE6" s="185"/>
      <c r="AF6" s="185"/>
    </row>
    <row r="7" spans="1:32" ht="15" customHeight="1" x14ac:dyDescent="0.25">
      <c r="A7" s="85" t="s">
        <v>805</v>
      </c>
      <c r="B7" s="84"/>
      <c r="C7" s="84"/>
      <c r="D7" s="84"/>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row>
    <row r="8" spans="1:32" ht="15" customHeight="1" x14ac:dyDescent="0.2">
      <c r="A8" s="86" t="s">
        <v>21</v>
      </c>
      <c r="B8" s="84"/>
      <c r="C8" s="84"/>
      <c r="D8" s="84"/>
      <c r="E8" s="84"/>
      <c r="F8" s="84"/>
      <c r="G8" s="84"/>
      <c r="H8" s="84"/>
      <c r="I8" s="84"/>
      <c r="J8" s="84"/>
      <c r="K8" s="84"/>
      <c r="L8" s="84"/>
      <c r="M8" s="84"/>
      <c r="N8" s="84"/>
      <c r="O8" s="84"/>
      <c r="P8" s="84"/>
      <c r="Q8" s="84"/>
      <c r="R8" s="84"/>
      <c r="S8" s="84"/>
      <c r="T8" s="84"/>
      <c r="U8" s="84"/>
      <c r="V8" s="84"/>
      <c r="W8" s="84"/>
      <c r="X8" s="84"/>
      <c r="Y8" s="84"/>
      <c r="Z8" s="84"/>
      <c r="AA8" s="84"/>
      <c r="AB8" s="84"/>
      <c r="AC8" s="84"/>
      <c r="AD8" s="84"/>
      <c r="AE8" s="84"/>
      <c r="AF8" s="84"/>
    </row>
    <row r="9" spans="1:32" ht="15" customHeight="1" x14ac:dyDescent="0.2">
      <c r="A9" s="84"/>
      <c r="B9" s="186" t="s">
        <v>34</v>
      </c>
      <c r="C9" s="510">
        <v>2014</v>
      </c>
      <c r="D9" s="187"/>
      <c r="E9" s="84"/>
      <c r="F9" s="84"/>
      <c r="G9" s="84"/>
      <c r="H9" s="84"/>
      <c r="I9" s="84"/>
      <c r="J9" s="84"/>
      <c r="K9" s="84"/>
      <c r="L9" s="84"/>
      <c r="M9" s="84"/>
      <c r="N9" s="84"/>
      <c r="O9" s="84"/>
      <c r="P9" s="84"/>
      <c r="Q9" s="84"/>
      <c r="R9" s="84"/>
      <c r="S9" s="84"/>
      <c r="T9" s="84"/>
      <c r="U9" s="84"/>
      <c r="V9" s="84"/>
      <c r="W9" s="84"/>
      <c r="X9" s="84"/>
      <c r="Y9" s="84"/>
      <c r="Z9" s="84"/>
      <c r="AA9" s="84"/>
      <c r="AB9" s="84"/>
      <c r="AC9" s="84"/>
      <c r="AD9" s="84"/>
      <c r="AE9" s="84"/>
      <c r="AF9" s="84"/>
    </row>
    <row r="10" spans="1:32" ht="15" customHeight="1" x14ac:dyDescent="0.2">
      <c r="A10" s="199"/>
      <c r="B10" s="84"/>
      <c r="C10" s="84"/>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row>
    <row r="11" spans="1:32" ht="18" customHeight="1" x14ac:dyDescent="0.2">
      <c r="A11" s="188"/>
      <c r="B11" s="190" t="s">
        <v>305</v>
      </c>
      <c r="C11" s="191"/>
      <c r="D11" s="200"/>
      <c r="E11" s="200"/>
      <c r="F11" s="200"/>
      <c r="G11" s="200"/>
      <c r="H11" s="200"/>
      <c r="I11" s="200"/>
      <c r="J11" s="200"/>
      <c r="K11" s="200"/>
      <c r="L11" s="200"/>
      <c r="M11" s="200"/>
      <c r="N11" s="200"/>
      <c r="O11" s="200"/>
      <c r="P11" s="200"/>
      <c r="Q11" s="200"/>
      <c r="R11" s="200"/>
      <c r="S11" s="200"/>
      <c r="T11" s="200"/>
      <c r="U11" s="192"/>
      <c r="V11" s="200"/>
      <c r="W11" s="200"/>
      <c r="X11" s="200"/>
      <c r="Y11" s="200"/>
      <c r="Z11" s="200"/>
      <c r="AA11" s="200"/>
      <c r="AB11" s="192"/>
      <c r="AC11" s="1371"/>
      <c r="AD11" s="84"/>
      <c r="AE11" s="84"/>
      <c r="AF11" s="84"/>
    </row>
    <row r="12" spans="1:32" ht="15" customHeight="1" x14ac:dyDescent="0.2">
      <c r="A12" s="202"/>
      <c r="B12" s="1799" t="s">
        <v>306</v>
      </c>
      <c r="C12" s="1800"/>
      <c r="D12" s="1800"/>
      <c r="E12" s="1800"/>
      <c r="F12" s="1800"/>
      <c r="G12" s="1800"/>
      <c r="H12" s="1801"/>
      <c r="I12" s="1799" t="s">
        <v>307</v>
      </c>
      <c r="J12" s="1800"/>
      <c r="K12" s="1800"/>
      <c r="L12" s="1800"/>
      <c r="M12" s="1800"/>
      <c r="N12" s="1800"/>
      <c r="O12" s="1801"/>
      <c r="P12" s="1799" t="s">
        <v>308</v>
      </c>
      <c r="Q12" s="1800"/>
      <c r="R12" s="1800"/>
      <c r="S12" s="1800"/>
      <c r="T12" s="1800"/>
      <c r="U12" s="1800"/>
      <c r="V12" s="1801"/>
      <c r="W12" s="1799" t="s">
        <v>740</v>
      </c>
      <c r="X12" s="1800"/>
      <c r="Y12" s="1800"/>
      <c r="Z12" s="1800"/>
      <c r="AA12" s="1800"/>
      <c r="AB12" s="1800"/>
      <c r="AC12" s="1801"/>
      <c r="AD12" s="84"/>
      <c r="AE12" s="84"/>
      <c r="AF12" s="84"/>
    </row>
    <row r="13" spans="1:32" ht="29.25" customHeight="1" x14ac:dyDescent="0.2">
      <c r="A13" s="203" t="s">
        <v>691</v>
      </c>
      <c r="B13" s="1808" t="s">
        <v>22</v>
      </c>
      <c r="C13" s="1802"/>
      <c r="D13" s="1802" t="s">
        <v>23</v>
      </c>
      <c r="E13" s="1802"/>
      <c r="F13" s="204" t="s">
        <v>267</v>
      </c>
      <c r="G13" s="1803" t="s">
        <v>42</v>
      </c>
      <c r="H13" s="1804"/>
      <c r="I13" s="1802" t="s">
        <v>22</v>
      </c>
      <c r="J13" s="1802"/>
      <c r="K13" s="1802" t="s">
        <v>23</v>
      </c>
      <c r="L13" s="1802"/>
      <c r="M13" s="204" t="s">
        <v>267</v>
      </c>
      <c r="N13" s="1803" t="s">
        <v>42</v>
      </c>
      <c r="O13" s="1804"/>
      <c r="P13" s="1802" t="s">
        <v>22</v>
      </c>
      <c r="Q13" s="1802"/>
      <c r="R13" s="1802" t="s">
        <v>23</v>
      </c>
      <c r="S13" s="1802"/>
      <c r="T13" s="204" t="s">
        <v>267</v>
      </c>
      <c r="U13" s="1803" t="s">
        <v>42</v>
      </c>
      <c r="V13" s="1804"/>
      <c r="W13" s="1805" t="s">
        <v>22</v>
      </c>
      <c r="X13" s="1805"/>
      <c r="Y13" s="1805" t="s">
        <v>23</v>
      </c>
      <c r="Z13" s="1805"/>
      <c r="AA13" s="1372" t="s">
        <v>267</v>
      </c>
      <c r="AB13" s="1806" t="s">
        <v>42</v>
      </c>
      <c r="AC13" s="1807"/>
      <c r="AD13" s="84"/>
      <c r="AE13" s="84"/>
      <c r="AF13" s="84"/>
    </row>
    <row r="14" spans="1:32" s="39" customFormat="1" ht="18" customHeight="1" x14ac:dyDescent="0.2">
      <c r="A14" s="671" t="s">
        <v>687</v>
      </c>
      <c r="B14" s="1009">
        <f>SUM(B15:B20)</f>
        <v>5595.6141522040007</v>
      </c>
      <c r="C14" s="1010"/>
      <c r="D14" s="1010">
        <f>SUM(D15:D20)</f>
        <v>2829.8838451269999</v>
      </c>
      <c r="E14" s="1010"/>
      <c r="F14" s="1011"/>
      <c r="G14" s="1374">
        <f>SUM(B14,D14)</f>
        <v>8425.4979973310001</v>
      </c>
      <c r="H14" s="1379"/>
      <c r="I14" s="1009">
        <f>SUM(I15:I20)</f>
        <v>826.86782376470001</v>
      </c>
      <c r="J14" s="1010"/>
      <c r="K14" s="1010">
        <f>SUM(K15:K20)</f>
        <v>520.35647530073004</v>
      </c>
      <c r="L14" s="1010"/>
      <c r="M14" s="1011"/>
      <c r="N14" s="1374">
        <f>SUM(K14,I14)</f>
        <v>1347.2242990654299</v>
      </c>
      <c r="O14" s="1379"/>
      <c r="P14" s="1009">
        <f>SUM(P15:P21)</f>
        <v>114.05073431243</v>
      </c>
      <c r="Q14" s="1010"/>
      <c r="R14" s="1010">
        <f>SUM(R15:R20)</f>
        <v>106.92256341792999</v>
      </c>
      <c r="S14" s="1010"/>
      <c r="T14" s="1011"/>
      <c r="U14" s="1374">
        <f>SUM(R14,P14)</f>
        <v>220.97329773036</v>
      </c>
      <c r="V14" s="1379"/>
      <c r="W14" s="1009">
        <f>SUM(B14,I14,P14)</f>
        <v>6536.5327102811307</v>
      </c>
      <c r="X14" s="1010"/>
      <c r="Y14" s="1010">
        <f>SUM(R14,K14,D14)</f>
        <v>3457.16288384566</v>
      </c>
      <c r="Z14" s="1010"/>
      <c r="AA14" s="1011"/>
      <c r="AB14" s="1374">
        <f>SUM(W14,Y14)</f>
        <v>9993.6955941267915</v>
      </c>
      <c r="AC14" s="1379"/>
      <c r="AD14" s="84"/>
      <c r="AE14" s="84"/>
      <c r="AF14" s="84"/>
    </row>
    <row r="15" spans="1:32" ht="15" customHeight="1" x14ac:dyDescent="0.2">
      <c r="A15" s="195" t="s">
        <v>236</v>
      </c>
      <c r="B15" s="525">
        <v>2152.7076101500002</v>
      </c>
      <c r="C15" s="526"/>
      <c r="D15" s="526">
        <v>848.25233644900004</v>
      </c>
      <c r="E15" s="526"/>
      <c r="F15" s="527"/>
      <c r="G15" s="1375">
        <f t="shared" ref="G15:G20" si="0">SUM(B15,D15)</f>
        <v>3000.9599465990004</v>
      </c>
      <c r="H15" s="1380"/>
      <c r="I15" s="525">
        <v>256.614152203</v>
      </c>
      <c r="J15" s="526"/>
      <c r="K15" s="526">
        <v>213.84512683599999</v>
      </c>
      <c r="L15" s="526"/>
      <c r="M15" s="527"/>
      <c r="N15" s="1375">
        <f t="shared" ref="N15:N20" si="1">SUM(K15,I15)</f>
        <v>470.45927903899997</v>
      </c>
      <c r="O15" s="1380"/>
      <c r="P15" s="525">
        <v>35.640854472599997</v>
      </c>
      <c r="Q15" s="526"/>
      <c r="R15" s="526">
        <v>7.1281708945300002</v>
      </c>
      <c r="S15" s="526"/>
      <c r="T15" s="527"/>
      <c r="U15" s="1375">
        <f t="shared" ref="U15:U20" si="2">SUM(R15,P15)</f>
        <v>42.769025367129998</v>
      </c>
      <c r="V15" s="1380"/>
      <c r="W15" s="525">
        <f t="shared" ref="W15:W20" si="3">SUM(B15,I15,P15)</f>
        <v>2444.9626168256</v>
      </c>
      <c r="X15" s="526"/>
      <c r="Y15" s="526">
        <f t="shared" ref="Y15:Y20" si="4">SUM(R15,K15,D15)</f>
        <v>1069.2256341795301</v>
      </c>
      <c r="Z15" s="526"/>
      <c r="AA15" s="527"/>
      <c r="AB15" s="1375">
        <f t="shared" ref="AB15:AB20" si="5">SUM(W15,Y15)</f>
        <v>3514.18825100513</v>
      </c>
      <c r="AC15" s="1380"/>
      <c r="AD15" s="84"/>
      <c r="AE15" s="84"/>
      <c r="AF15" s="84"/>
    </row>
    <row r="16" spans="1:32" ht="15" customHeight="1" x14ac:dyDescent="0.2">
      <c r="A16" s="195" t="s">
        <v>237</v>
      </c>
      <c r="B16" s="528">
        <v>933.79038718300001</v>
      </c>
      <c r="C16" s="529"/>
      <c r="D16" s="529">
        <v>313.63951935900002</v>
      </c>
      <c r="E16" s="529"/>
      <c r="F16" s="530"/>
      <c r="G16" s="1376">
        <f t="shared" si="0"/>
        <v>1247.429906542</v>
      </c>
      <c r="H16" s="1381"/>
      <c r="I16" s="528">
        <v>192.46061415200001</v>
      </c>
      <c r="J16" s="529"/>
      <c r="K16" s="529">
        <v>57.025367156199998</v>
      </c>
      <c r="L16" s="529"/>
      <c r="M16" s="530"/>
      <c r="N16" s="1376">
        <f t="shared" si="1"/>
        <v>249.4859813082</v>
      </c>
      <c r="O16" s="1381"/>
      <c r="P16" s="528">
        <v>7.1281708945300002</v>
      </c>
      <c r="Q16" s="529"/>
      <c r="R16" s="529">
        <v>35.640854472599997</v>
      </c>
      <c r="S16" s="529"/>
      <c r="T16" s="530"/>
      <c r="U16" s="1376">
        <f t="shared" si="2"/>
        <v>42.769025367129998</v>
      </c>
      <c r="V16" s="1381"/>
      <c r="W16" s="528">
        <f t="shared" si="3"/>
        <v>1133.37917222953</v>
      </c>
      <c r="X16" s="529"/>
      <c r="Y16" s="529">
        <f t="shared" si="4"/>
        <v>406.30574098780005</v>
      </c>
      <c r="Z16" s="529"/>
      <c r="AA16" s="530"/>
      <c r="AB16" s="1376">
        <f t="shared" si="5"/>
        <v>1539.6849132173302</v>
      </c>
      <c r="AC16" s="1381"/>
      <c r="AD16" s="84"/>
      <c r="AE16" s="84"/>
      <c r="AF16" s="84"/>
    </row>
    <row r="17" spans="1:32" ht="15" customHeight="1" x14ac:dyDescent="0.2">
      <c r="A17" s="195" t="s">
        <v>238</v>
      </c>
      <c r="B17" s="528">
        <v>456.20293724999999</v>
      </c>
      <c r="C17" s="529"/>
      <c r="D17" s="529">
        <v>335.02403204299998</v>
      </c>
      <c r="E17" s="529"/>
      <c r="F17" s="530"/>
      <c r="G17" s="1376">
        <f t="shared" si="0"/>
        <v>791.22696929299991</v>
      </c>
      <c r="H17" s="1381"/>
      <c r="I17" s="528">
        <v>49.897196261700003</v>
      </c>
      <c r="J17" s="529"/>
      <c r="K17" s="529">
        <v>71.281708945299997</v>
      </c>
      <c r="L17" s="529"/>
      <c r="M17" s="530"/>
      <c r="N17" s="1376">
        <f t="shared" si="1"/>
        <v>121.178905207</v>
      </c>
      <c r="O17" s="1381"/>
      <c r="P17" s="528">
        <v>21.384512683600001</v>
      </c>
      <c r="Q17" s="529"/>
      <c r="R17" s="529">
        <v>21.384512683600001</v>
      </c>
      <c r="S17" s="529"/>
      <c r="T17" s="530"/>
      <c r="U17" s="1376">
        <f t="shared" si="2"/>
        <v>42.769025367200001</v>
      </c>
      <c r="V17" s="1381"/>
      <c r="W17" s="528">
        <f t="shared" si="3"/>
        <v>527.4846461953</v>
      </c>
      <c r="X17" s="529"/>
      <c r="Y17" s="529">
        <f t="shared" si="4"/>
        <v>427.6902536719</v>
      </c>
      <c r="Z17" s="529"/>
      <c r="AA17" s="530"/>
      <c r="AB17" s="1376">
        <f t="shared" si="5"/>
        <v>955.1748998672</v>
      </c>
      <c r="AC17" s="1381"/>
      <c r="AD17" s="84"/>
      <c r="AE17" s="84"/>
      <c r="AF17" s="84"/>
    </row>
    <row r="18" spans="1:32" ht="15" customHeight="1" x14ac:dyDescent="0.2">
      <c r="A18" s="195" t="s">
        <v>239</v>
      </c>
      <c r="B18" s="528">
        <v>335.02403204299998</v>
      </c>
      <c r="C18" s="529"/>
      <c r="D18" s="529">
        <v>185.33244325800001</v>
      </c>
      <c r="E18" s="529"/>
      <c r="F18" s="530"/>
      <c r="G18" s="1376">
        <f t="shared" si="0"/>
        <v>520.35647530100005</v>
      </c>
      <c r="H18" s="1381"/>
      <c r="I18" s="528">
        <v>57.025367156199998</v>
      </c>
      <c r="J18" s="529"/>
      <c r="K18" s="529">
        <v>7.1281708945300002</v>
      </c>
      <c r="L18" s="529"/>
      <c r="M18" s="530"/>
      <c r="N18" s="1376">
        <f t="shared" si="1"/>
        <v>64.153538050729992</v>
      </c>
      <c r="O18" s="1381"/>
      <c r="P18" s="528">
        <v>0</v>
      </c>
      <c r="Q18" s="529"/>
      <c r="R18" s="529">
        <v>0</v>
      </c>
      <c r="S18" s="529"/>
      <c r="T18" s="530"/>
      <c r="U18" s="1376">
        <f t="shared" si="2"/>
        <v>0</v>
      </c>
      <c r="V18" s="1381"/>
      <c r="W18" s="528">
        <f t="shared" si="3"/>
        <v>392.04939919919997</v>
      </c>
      <c r="X18" s="529"/>
      <c r="Y18" s="529">
        <f t="shared" si="4"/>
        <v>192.46061415253001</v>
      </c>
      <c r="Z18" s="529"/>
      <c r="AA18" s="530"/>
      <c r="AB18" s="1376">
        <f t="shared" si="5"/>
        <v>584.51001335172998</v>
      </c>
      <c r="AC18" s="1381"/>
      <c r="AD18" s="84"/>
      <c r="AE18" s="84"/>
      <c r="AF18" s="84"/>
    </row>
    <row r="19" spans="1:32" ht="15" customHeight="1" x14ac:dyDescent="0.2">
      <c r="A19" s="195" t="s">
        <v>240</v>
      </c>
      <c r="B19" s="528">
        <v>1233.17356475</v>
      </c>
      <c r="C19" s="529"/>
      <c r="D19" s="529">
        <v>776.97062750299995</v>
      </c>
      <c r="E19" s="529"/>
      <c r="F19" s="530"/>
      <c r="G19" s="1376">
        <f t="shared" si="0"/>
        <v>2010.1441922529998</v>
      </c>
      <c r="H19" s="1381"/>
      <c r="I19" s="528">
        <v>178.204272363</v>
      </c>
      <c r="J19" s="529"/>
      <c r="K19" s="529">
        <v>106.922563418</v>
      </c>
      <c r="L19" s="529"/>
      <c r="M19" s="530"/>
      <c r="N19" s="1376">
        <f t="shared" si="1"/>
        <v>285.12683578100001</v>
      </c>
      <c r="O19" s="1381"/>
      <c r="P19" s="528">
        <v>35.640854472599997</v>
      </c>
      <c r="Q19" s="529"/>
      <c r="R19" s="529">
        <v>14.2563417891</v>
      </c>
      <c r="S19" s="529"/>
      <c r="T19" s="530"/>
      <c r="U19" s="1376">
        <f t="shared" si="2"/>
        <v>49.897196261699996</v>
      </c>
      <c r="V19" s="1381"/>
      <c r="W19" s="528">
        <f t="shared" si="3"/>
        <v>1447.0186915856</v>
      </c>
      <c r="X19" s="529"/>
      <c r="Y19" s="529">
        <f t="shared" si="4"/>
        <v>898.14953271009995</v>
      </c>
      <c r="Z19" s="529"/>
      <c r="AA19" s="530"/>
      <c r="AB19" s="1376">
        <f t="shared" si="5"/>
        <v>2345.1682242956999</v>
      </c>
      <c r="AC19" s="1381"/>
      <c r="AD19" s="84"/>
      <c r="AE19" s="84"/>
      <c r="AF19" s="84"/>
    </row>
    <row r="20" spans="1:32" ht="15" customHeight="1" x14ac:dyDescent="0.2">
      <c r="A20" s="195" t="s">
        <v>241</v>
      </c>
      <c r="B20" s="528">
        <v>484.715620828</v>
      </c>
      <c r="C20" s="529"/>
      <c r="D20" s="529">
        <v>370.66488651499998</v>
      </c>
      <c r="E20" s="529"/>
      <c r="F20" s="530"/>
      <c r="G20" s="1376">
        <f t="shared" si="0"/>
        <v>855.38050734299998</v>
      </c>
      <c r="H20" s="1381"/>
      <c r="I20" s="528">
        <v>92.666221628800002</v>
      </c>
      <c r="J20" s="529"/>
      <c r="K20" s="529">
        <v>64.153538050700007</v>
      </c>
      <c r="L20" s="529"/>
      <c r="M20" s="530"/>
      <c r="N20" s="1376">
        <f t="shared" si="1"/>
        <v>156.81975967950001</v>
      </c>
      <c r="O20" s="1381"/>
      <c r="P20" s="528">
        <v>14.2563417891</v>
      </c>
      <c r="Q20" s="529"/>
      <c r="R20" s="529">
        <v>28.512683578099999</v>
      </c>
      <c r="S20" s="529"/>
      <c r="T20" s="530"/>
      <c r="U20" s="1376">
        <f t="shared" si="2"/>
        <v>42.769025367200001</v>
      </c>
      <c r="V20" s="1381"/>
      <c r="W20" s="528">
        <f t="shared" si="3"/>
        <v>591.63818424589999</v>
      </c>
      <c r="X20" s="529"/>
      <c r="Y20" s="529">
        <f t="shared" si="4"/>
        <v>463.33110814379995</v>
      </c>
      <c r="Z20" s="529"/>
      <c r="AA20" s="530"/>
      <c r="AB20" s="1376">
        <f t="shared" si="5"/>
        <v>1054.9692923897001</v>
      </c>
      <c r="AC20" s="1381"/>
      <c r="AD20" s="84"/>
      <c r="AE20" s="84"/>
      <c r="AF20" s="84"/>
    </row>
    <row r="21" spans="1:32" ht="15" customHeight="1" x14ac:dyDescent="0.2">
      <c r="A21" s="205" t="s">
        <v>242</v>
      </c>
      <c r="B21" s="531"/>
      <c r="C21" s="532"/>
      <c r="D21" s="532"/>
      <c r="E21" s="532"/>
      <c r="F21" s="533"/>
      <c r="G21" s="1377"/>
      <c r="H21" s="1382"/>
      <c r="I21" s="531"/>
      <c r="J21" s="532"/>
      <c r="K21" s="532"/>
      <c r="L21" s="532"/>
      <c r="M21" s="533"/>
      <c r="N21" s="1377"/>
      <c r="O21" s="1382"/>
      <c r="P21" s="531"/>
      <c r="Q21" s="532"/>
      <c r="R21" s="532"/>
      <c r="S21" s="532"/>
      <c r="T21" s="533"/>
      <c r="U21" s="1377"/>
      <c r="V21" s="1382"/>
      <c r="W21" s="531"/>
      <c r="X21" s="532"/>
      <c r="Y21" s="532"/>
      <c r="Z21" s="532"/>
      <c r="AA21" s="533"/>
      <c r="AB21" s="1377"/>
      <c r="AC21" s="1382"/>
      <c r="AD21" s="84"/>
      <c r="AE21" s="84"/>
      <c r="AF21" s="84"/>
    </row>
    <row r="22" spans="1:32" ht="15" customHeight="1" x14ac:dyDescent="0.2">
      <c r="A22" s="197"/>
      <c r="B22" s="198"/>
      <c r="C22" s="198"/>
      <c r="D22" s="198"/>
      <c r="E22" s="198"/>
      <c r="F22" s="198"/>
      <c r="G22" s="198"/>
      <c r="H22" s="198"/>
      <c r="I22" s="198"/>
      <c r="J22" s="198"/>
      <c r="K22" s="198"/>
      <c r="L22" s="198"/>
      <c r="M22" s="198"/>
      <c r="N22" s="198"/>
      <c r="O22" s="198"/>
      <c r="P22" s="198"/>
      <c r="Q22" s="198"/>
      <c r="R22" s="198"/>
      <c r="S22" s="198"/>
      <c r="T22" s="198"/>
      <c r="U22" s="198"/>
      <c r="V22" s="198"/>
      <c r="W22" s="198"/>
      <c r="X22" s="198"/>
      <c r="Y22" s="198"/>
      <c r="Z22" s="198"/>
      <c r="AA22" s="198"/>
      <c r="AB22" s="198"/>
      <c r="AC22" s="198"/>
      <c r="AD22" s="84"/>
      <c r="AE22" s="84"/>
      <c r="AF22" s="84"/>
    </row>
    <row r="23" spans="1:32" ht="15" customHeight="1" x14ac:dyDescent="0.2">
      <c r="A23" s="84"/>
      <c r="B23" s="84"/>
      <c r="C23" s="84"/>
      <c r="D23" s="84"/>
      <c r="E23" s="84"/>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row>
    <row r="24" spans="1:32" ht="15" customHeight="1" x14ac:dyDescent="0.2">
      <c r="A24" s="89" t="s">
        <v>32</v>
      </c>
      <c r="B24" s="56"/>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84"/>
      <c r="AE24" s="84"/>
      <c r="AF24" s="84"/>
    </row>
    <row r="25" spans="1:32" ht="15" customHeight="1" x14ac:dyDescent="0.2">
      <c r="A25" s="84"/>
      <c r="B25" s="58"/>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84"/>
      <c r="AE25" s="84"/>
      <c r="AF25" s="84"/>
    </row>
    <row r="26" spans="1:32" ht="15" customHeight="1" x14ac:dyDescent="0.2">
      <c r="A26" s="84"/>
      <c r="B26" s="58"/>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84"/>
      <c r="AE26" s="84"/>
      <c r="AF26" s="84"/>
    </row>
    <row r="27" spans="1:32" ht="15" customHeight="1" x14ac:dyDescent="0.2">
      <c r="A27" s="84"/>
      <c r="B27" s="58"/>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84"/>
      <c r="AE27" s="84"/>
      <c r="AF27" s="84"/>
    </row>
    <row r="28" spans="1:32" ht="15" customHeight="1" x14ac:dyDescent="0.2">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row>
    <row r="29" spans="1:32" ht="15" customHeight="1" x14ac:dyDescent="0.2">
      <c r="A29" s="89" t="s">
        <v>33</v>
      </c>
      <c r="B29" s="56"/>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84"/>
      <c r="AE29" s="84"/>
      <c r="AF29" s="84"/>
    </row>
    <row r="30" spans="1:32" ht="15" customHeight="1" x14ac:dyDescent="0.2">
      <c r="A30" s="89"/>
      <c r="B30" s="58"/>
      <c r="C30" s="59"/>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84"/>
      <c r="AE30" s="84"/>
      <c r="AF30" s="84"/>
    </row>
    <row r="31" spans="1:32" ht="15" customHeight="1" x14ac:dyDescent="0.2">
      <c r="A31" s="84"/>
      <c r="B31" s="58"/>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84"/>
      <c r="AE31" s="84"/>
      <c r="AF31" s="84"/>
    </row>
    <row r="32" spans="1:32" ht="15" customHeight="1" x14ac:dyDescent="0.2">
      <c r="A32" s="84"/>
      <c r="B32" s="58"/>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84"/>
      <c r="AE32" s="84"/>
      <c r="AF32" s="84"/>
    </row>
    <row r="33" spans="1:32" ht="15" customHeight="1" x14ac:dyDescent="0.2">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row>
    <row r="34" spans="1:32" ht="12.75" x14ac:dyDescent="0.2">
      <c r="A34" s="89" t="s">
        <v>670</v>
      </c>
      <c r="B34" s="84"/>
      <c r="C34" s="84"/>
      <c r="D34" s="84"/>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row>
    <row r="35" spans="1:32" ht="12.75" x14ac:dyDescent="0.2">
      <c r="A35" s="616"/>
      <c r="B35" s="548"/>
      <c r="C35" s="84"/>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row>
    <row r="36" spans="1:32" ht="12.75" x14ac:dyDescent="0.2">
      <c r="A36" s="84"/>
      <c r="B36" s="549"/>
      <c r="C36" s="84"/>
      <c r="D36" s="84"/>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row>
    <row r="37" spans="1:32" ht="12.75" x14ac:dyDescent="0.2">
      <c r="A37" s="84"/>
      <c r="B37" s="549"/>
      <c r="C37" s="84"/>
      <c r="D37" s="84"/>
      <c r="E37" s="84"/>
      <c r="F37" s="84"/>
      <c r="G37" s="84"/>
      <c r="H37" s="84"/>
      <c r="I37" s="84"/>
      <c r="J37" s="84"/>
      <c r="K37" s="84"/>
      <c r="L37" s="84"/>
      <c r="M37" s="84"/>
      <c r="N37" s="84"/>
      <c r="O37" s="84"/>
      <c r="P37" s="84"/>
      <c r="Q37" s="84"/>
      <c r="R37" s="84"/>
      <c r="S37" s="84"/>
      <c r="T37" s="84"/>
      <c r="U37" s="84"/>
      <c r="V37" s="84"/>
      <c r="W37" s="84"/>
      <c r="X37" s="84"/>
      <c r="Y37" s="84"/>
      <c r="Z37" s="84"/>
      <c r="AA37" s="84"/>
      <c r="AB37" s="84"/>
      <c r="AC37" s="84"/>
      <c r="AD37" s="84"/>
      <c r="AE37" s="84"/>
      <c r="AF37" s="84"/>
    </row>
    <row r="38" spans="1:32" ht="12.75" x14ac:dyDescent="0.2">
      <c r="A38" s="84"/>
      <c r="B38" s="549"/>
      <c r="C38" s="84"/>
      <c r="D38" s="84"/>
      <c r="E38" s="84"/>
      <c r="F38" s="84"/>
      <c r="G38" s="84"/>
      <c r="H38" s="84"/>
      <c r="I38" s="84"/>
      <c r="J38" s="84"/>
      <c r="K38" s="84"/>
      <c r="L38" s="84"/>
      <c r="M38" s="84"/>
      <c r="N38" s="84"/>
      <c r="O38" s="84"/>
      <c r="P38" s="84"/>
      <c r="Q38" s="84"/>
      <c r="R38" s="84"/>
      <c r="S38" s="84"/>
      <c r="T38" s="84"/>
      <c r="U38" s="84"/>
      <c r="V38" s="84"/>
      <c r="W38" s="84"/>
      <c r="X38" s="84"/>
      <c r="Y38" s="84"/>
      <c r="Z38" s="84"/>
      <c r="AA38" s="84"/>
      <c r="AB38" s="84"/>
      <c r="AC38" s="84"/>
      <c r="AD38" s="84"/>
      <c r="AE38" s="84"/>
      <c r="AF38" s="84"/>
    </row>
    <row r="39" spans="1:32" ht="15" customHeight="1" x14ac:dyDescent="0.2">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c r="AE39" s="84"/>
      <c r="AF39" s="84"/>
    </row>
  </sheetData>
  <sheetProtection password="CD9E" sheet="1" objects="1" scenarios="1" selectLockedCells="1"/>
  <mergeCells count="16">
    <mergeCell ref="W12:AC12"/>
    <mergeCell ref="B13:C13"/>
    <mergeCell ref="D13:E13"/>
    <mergeCell ref="G13:H13"/>
    <mergeCell ref="I13:J13"/>
    <mergeCell ref="K13:L13"/>
    <mergeCell ref="N13:O13"/>
    <mergeCell ref="P13:Q13"/>
    <mergeCell ref="R13:S13"/>
    <mergeCell ref="U13:V13"/>
    <mergeCell ref="W13:X13"/>
    <mergeCell ref="Y13:Z13"/>
    <mergeCell ref="AB13:AC13"/>
    <mergeCell ref="B12:H12"/>
    <mergeCell ref="I12:O12"/>
    <mergeCell ref="P12:V12"/>
  </mergeCells>
  <dataValidations count="1">
    <dataValidation type="list" allowBlank="1" showInputMessage="1" showErrorMessage="1" sqref="B35:B38">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4803149606299213" right="0.74803149606299213" top="0.98425196850393704" bottom="0.98425196850393704" header="0.51181102362204722" footer="0.51181102362204722"/>
  <pageSetup paperSize="9" scale="80" orientation="landscape" r:id="rId1"/>
  <headerFooter alignWithMargins="0">
    <oddHeader>&amp;LCDH&amp;C &amp;F&amp;R&amp;A</oddHeader>
    <oddFooter>Page &amp;P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indexed="47"/>
    <pageSetUpPr fitToPage="1"/>
  </sheetPr>
  <dimension ref="A1:AE42"/>
  <sheetViews>
    <sheetView showGridLines="0" zoomScale="90" zoomScaleNormal="90" workbookViewId="0">
      <selection activeCell="G20" sqref="G20"/>
    </sheetView>
  </sheetViews>
  <sheetFormatPr baseColWidth="10" defaultColWidth="9.140625" defaultRowHeight="15" customHeight="1" x14ac:dyDescent="0.2"/>
  <cols>
    <col min="1" max="1" width="54.5703125" style="31" customWidth="1"/>
    <col min="2" max="2" width="12.7109375" style="31" customWidth="1"/>
    <col min="3" max="3" width="6.7109375" style="31" customWidth="1"/>
    <col min="4" max="4" width="12.7109375" style="31" customWidth="1"/>
    <col min="5" max="5" width="6.7109375" style="31" customWidth="1"/>
    <col min="6" max="7" width="12.7109375" style="31" customWidth="1"/>
    <col min="8" max="8" width="6.7109375" style="31" customWidth="1"/>
    <col min="9" max="9" width="12.7109375" style="31" customWidth="1"/>
    <col min="10" max="10" width="6.7109375" style="31" customWidth="1"/>
    <col min="11" max="11" width="12.7109375" style="31" customWidth="1"/>
    <col min="12" max="12" width="6.7109375" style="31" customWidth="1"/>
    <col min="13" max="14" width="12.7109375" style="31" customWidth="1"/>
    <col min="15" max="15" width="6.7109375" style="31" customWidth="1"/>
    <col min="16" max="16" width="12.7109375" style="31" customWidth="1"/>
    <col min="17" max="17" width="6.7109375" style="31" customWidth="1"/>
    <col min="18" max="18" width="12.7109375" style="31" customWidth="1"/>
    <col min="19" max="19" width="6.7109375" style="31" customWidth="1"/>
    <col min="20" max="21" width="12.7109375" style="31" customWidth="1"/>
    <col min="22" max="22" width="6.7109375" style="31" customWidth="1"/>
    <col min="23" max="23" width="12.7109375" style="31" customWidth="1"/>
    <col min="24" max="24" width="6.7109375" style="31" customWidth="1"/>
    <col min="25" max="25" width="12.7109375" style="31" customWidth="1"/>
    <col min="26" max="26" width="6.7109375" style="31" customWidth="1"/>
    <col min="27" max="28" width="12.7109375" style="31" customWidth="1"/>
    <col min="29" max="29" width="6.7109375" style="31" customWidth="1"/>
    <col min="30" max="16384" width="9.140625" style="31"/>
  </cols>
  <sheetData>
    <row r="1" spans="1:30" s="66" customFormat="1" ht="12" customHeight="1" x14ac:dyDescent="0.2">
      <c r="A1" s="26" t="s">
        <v>6</v>
      </c>
    </row>
    <row r="2" spans="1:30" s="66" customFormat="1" ht="12" customHeight="1" x14ac:dyDescent="0.2">
      <c r="A2" s="28" t="s">
        <v>10</v>
      </c>
    </row>
    <row r="3" spans="1:30" s="66" customFormat="1" ht="12" customHeight="1" x14ac:dyDescent="0.2">
      <c r="A3" s="28" t="s">
        <v>7</v>
      </c>
    </row>
    <row r="4" spans="1:30" ht="15" customHeight="1" x14ac:dyDescent="0.2">
      <c r="A4" s="82" t="s">
        <v>248</v>
      </c>
      <c r="B4" s="82"/>
      <c r="C4" s="82"/>
      <c r="D4" s="82"/>
      <c r="E4" s="82"/>
      <c r="F4" s="82"/>
      <c r="G4" s="82"/>
      <c r="H4" s="82"/>
      <c r="I4" s="82"/>
      <c r="J4" s="82"/>
      <c r="K4" s="82"/>
      <c r="L4" s="82"/>
      <c r="M4" s="82"/>
      <c r="N4" s="82"/>
      <c r="O4" s="82"/>
      <c r="P4" s="82"/>
      <c r="Q4" s="82"/>
      <c r="R4" s="82"/>
      <c r="S4" s="82"/>
      <c r="T4" s="82"/>
      <c r="U4" s="83"/>
      <c r="V4" s="83"/>
      <c r="W4" s="83"/>
      <c r="X4" s="83"/>
      <c r="Y4" s="83"/>
      <c r="Z4" s="83"/>
      <c r="AA4" s="83"/>
      <c r="AB4" s="83"/>
      <c r="AC4" s="83"/>
      <c r="AD4" s="83"/>
    </row>
    <row r="5" spans="1:30" s="131" customFormat="1" ht="15" customHeight="1" x14ac:dyDescent="0.2">
      <c r="AD5" s="83"/>
    </row>
    <row r="6" spans="1:30" s="131" customFormat="1" ht="15" customHeight="1" x14ac:dyDescent="0.2">
      <c r="A6" s="185"/>
      <c r="B6" s="185"/>
      <c r="C6" s="185"/>
      <c r="D6" s="185"/>
      <c r="E6" s="185"/>
      <c r="F6" s="185"/>
      <c r="G6" s="185"/>
      <c r="H6" s="185"/>
      <c r="I6" s="185"/>
      <c r="J6" s="185"/>
      <c r="K6" s="185"/>
      <c r="L6" s="185"/>
      <c r="M6" s="185"/>
      <c r="N6" s="185"/>
      <c r="O6" s="185"/>
      <c r="P6" s="185"/>
      <c r="Q6" s="185"/>
      <c r="R6" s="185"/>
      <c r="S6" s="185"/>
      <c r="T6" s="185"/>
      <c r="U6" s="185"/>
      <c r="V6" s="185"/>
      <c r="W6" s="185"/>
      <c r="X6" s="185"/>
      <c r="Y6" s="185"/>
      <c r="Z6" s="185"/>
      <c r="AA6" s="185"/>
      <c r="AB6" s="185"/>
      <c r="AC6" s="185"/>
      <c r="AD6" s="185"/>
    </row>
    <row r="7" spans="1:30" ht="15" customHeight="1" x14ac:dyDescent="0.25">
      <c r="A7" s="85" t="s">
        <v>311</v>
      </c>
      <c r="B7" s="84"/>
      <c r="C7" s="84"/>
      <c r="D7" s="84"/>
      <c r="E7" s="84"/>
      <c r="F7" s="84"/>
      <c r="G7" s="84"/>
      <c r="H7" s="84"/>
      <c r="I7" s="84"/>
      <c r="J7" s="84"/>
      <c r="K7" s="84"/>
      <c r="L7" s="84"/>
      <c r="M7" s="84"/>
      <c r="N7" s="84"/>
      <c r="O7" s="84"/>
      <c r="P7" s="84"/>
      <c r="Q7" s="84"/>
      <c r="R7" s="84"/>
      <c r="S7" s="84"/>
      <c r="T7" s="84"/>
      <c r="U7" s="84"/>
      <c r="V7" s="84"/>
      <c r="W7" s="84"/>
      <c r="X7" s="84"/>
      <c r="Y7" s="84"/>
      <c r="Z7" s="84"/>
      <c r="AA7" s="84"/>
      <c r="AB7" s="84"/>
      <c r="AC7" s="84"/>
      <c r="AD7" s="84"/>
    </row>
    <row r="8" spans="1:30" ht="15" customHeight="1" x14ac:dyDescent="0.2">
      <c r="A8" s="86" t="s">
        <v>21</v>
      </c>
      <c r="B8" s="84"/>
      <c r="C8" s="84"/>
      <c r="D8" s="84"/>
      <c r="E8" s="84"/>
      <c r="F8" s="84"/>
      <c r="G8" s="84"/>
      <c r="H8" s="84"/>
      <c r="I8" s="84"/>
      <c r="J8" s="84"/>
      <c r="K8" s="84"/>
      <c r="L8" s="84"/>
      <c r="M8" s="84"/>
      <c r="N8" s="84"/>
      <c r="O8" s="84"/>
      <c r="P8" s="84"/>
      <c r="Q8" s="84"/>
      <c r="R8" s="84"/>
      <c r="S8" s="84"/>
      <c r="T8" s="84"/>
      <c r="U8" s="84"/>
      <c r="V8" s="84"/>
      <c r="W8" s="84"/>
      <c r="X8" s="84"/>
      <c r="Y8" s="84"/>
      <c r="Z8" s="84"/>
      <c r="AA8" s="84"/>
      <c r="AB8" s="84"/>
      <c r="AC8" s="84"/>
      <c r="AD8" s="84"/>
    </row>
    <row r="9" spans="1:30" ht="15" customHeight="1" x14ac:dyDescent="0.2">
      <c r="A9" s="84"/>
      <c r="B9" s="186" t="s">
        <v>34</v>
      </c>
      <c r="C9" s="186"/>
      <c r="D9" s="510">
        <v>2014</v>
      </c>
      <c r="E9" s="187"/>
      <c r="F9" s="187"/>
      <c r="G9" s="187"/>
      <c r="H9" s="187"/>
      <c r="I9" s="84"/>
      <c r="J9" s="84"/>
      <c r="K9" s="84"/>
      <c r="L9" s="84"/>
      <c r="M9" s="84"/>
      <c r="N9" s="84"/>
      <c r="O9" s="84"/>
      <c r="P9" s="84"/>
      <c r="Q9" s="84"/>
      <c r="R9" s="84"/>
      <c r="S9" s="84"/>
      <c r="T9" s="84"/>
      <c r="U9" s="84"/>
      <c r="V9" s="84"/>
      <c r="W9" s="84"/>
      <c r="X9" s="84"/>
      <c r="Y9" s="84"/>
      <c r="Z9" s="84"/>
      <c r="AA9" s="84"/>
      <c r="AB9" s="84"/>
      <c r="AC9" s="84"/>
      <c r="AD9" s="84"/>
    </row>
    <row r="10" spans="1:30" ht="15" customHeight="1" x14ac:dyDescent="0.2">
      <c r="A10" s="188"/>
      <c r="B10" s="188"/>
      <c r="C10" s="188"/>
      <c r="D10" s="188"/>
      <c r="E10" s="188"/>
      <c r="F10" s="188"/>
      <c r="G10" s="188"/>
      <c r="H10" s="188"/>
      <c r="I10" s="188"/>
      <c r="J10" s="188"/>
      <c r="K10" s="188"/>
      <c r="L10" s="188"/>
      <c r="M10" s="188"/>
      <c r="N10" s="188"/>
      <c r="O10" s="201"/>
      <c r="P10" s="84"/>
      <c r="Q10" s="84"/>
      <c r="R10" s="84"/>
      <c r="S10" s="84"/>
      <c r="T10" s="84"/>
      <c r="U10" s="84"/>
      <c r="V10" s="84"/>
      <c r="W10" s="84"/>
      <c r="X10" s="84"/>
      <c r="Y10" s="84"/>
      <c r="Z10" s="84"/>
      <c r="AA10" s="84"/>
      <c r="AB10" s="84"/>
      <c r="AC10" s="84"/>
      <c r="AD10" s="84"/>
    </row>
    <row r="11" spans="1:30" ht="21.75" customHeight="1" x14ac:dyDescent="0.2">
      <c r="A11" s="189"/>
      <c r="B11" s="190" t="s">
        <v>312</v>
      </c>
      <c r="C11" s="191"/>
      <c r="D11" s="191"/>
      <c r="E11" s="191"/>
      <c r="F11" s="191"/>
      <c r="G11" s="192"/>
      <c r="H11" s="200"/>
      <c r="I11" s="190" t="s">
        <v>313</v>
      </c>
      <c r="J11" s="191"/>
      <c r="K11" s="191"/>
      <c r="L11" s="191"/>
      <c r="M11" s="191"/>
      <c r="N11" s="192"/>
      <c r="O11" s="200"/>
      <c r="P11" s="190" t="s">
        <v>314</v>
      </c>
      <c r="Q11" s="191"/>
      <c r="R11" s="191"/>
      <c r="S11" s="191"/>
      <c r="T11" s="191"/>
      <c r="U11" s="192"/>
      <c r="V11" s="200"/>
      <c r="W11" s="190" t="s">
        <v>315</v>
      </c>
      <c r="X11" s="191"/>
      <c r="Y11" s="191"/>
      <c r="Z11" s="191"/>
      <c r="AA11" s="191"/>
      <c r="AB11" s="192"/>
      <c r="AC11" s="1371"/>
      <c r="AD11" s="84"/>
    </row>
    <row r="12" spans="1:30" ht="27.75" customHeight="1" x14ac:dyDescent="0.2">
      <c r="A12" s="193"/>
      <c r="B12" s="1811" t="s">
        <v>22</v>
      </c>
      <c r="C12" s="1812"/>
      <c r="D12" s="1812" t="s">
        <v>23</v>
      </c>
      <c r="E12" s="1812"/>
      <c r="F12" s="859" t="s">
        <v>267</v>
      </c>
      <c r="G12" s="1809" t="s">
        <v>42</v>
      </c>
      <c r="H12" s="1810"/>
      <c r="I12" s="1811" t="s">
        <v>22</v>
      </c>
      <c r="J12" s="1812"/>
      <c r="K12" s="1812" t="s">
        <v>23</v>
      </c>
      <c r="L12" s="1812"/>
      <c r="M12" s="859" t="s">
        <v>267</v>
      </c>
      <c r="N12" s="1809" t="s">
        <v>42</v>
      </c>
      <c r="O12" s="1810"/>
      <c r="P12" s="1811" t="s">
        <v>22</v>
      </c>
      <c r="Q12" s="1812"/>
      <c r="R12" s="1812" t="s">
        <v>23</v>
      </c>
      <c r="S12" s="1812"/>
      <c r="T12" s="859" t="s">
        <v>267</v>
      </c>
      <c r="U12" s="1809" t="s">
        <v>42</v>
      </c>
      <c r="V12" s="1810"/>
      <c r="W12" s="1811" t="s">
        <v>22</v>
      </c>
      <c r="X12" s="1812"/>
      <c r="Y12" s="1812" t="s">
        <v>23</v>
      </c>
      <c r="Z12" s="1812"/>
      <c r="AA12" s="859" t="s">
        <v>267</v>
      </c>
      <c r="AB12" s="1809" t="s">
        <v>42</v>
      </c>
      <c r="AC12" s="1810"/>
      <c r="AD12" s="84"/>
    </row>
    <row r="13" spans="1:30" s="39" customFormat="1" ht="15" customHeight="1" x14ac:dyDescent="0.2">
      <c r="A13" s="1001" t="s">
        <v>948</v>
      </c>
      <c r="B13" s="534">
        <v>2872.65</v>
      </c>
      <c r="C13" s="535"/>
      <c r="D13" s="535">
        <v>1190.4000000000001</v>
      </c>
      <c r="E13" s="535"/>
      <c r="F13" s="536"/>
      <c r="G13" s="1386">
        <f>SUM(D13,B13)</f>
        <v>4063.05</v>
      </c>
      <c r="H13" s="1387"/>
      <c r="I13" s="534">
        <v>2787.11</v>
      </c>
      <c r="J13" s="535"/>
      <c r="K13" s="535">
        <v>1739.27</v>
      </c>
      <c r="L13" s="535"/>
      <c r="M13" s="536"/>
      <c r="N13" s="1386">
        <f>SUM(I13,K13)</f>
        <v>4526.38</v>
      </c>
      <c r="O13" s="1387"/>
      <c r="P13" s="534">
        <v>677.17619999999999</v>
      </c>
      <c r="Q13" s="535"/>
      <c r="R13" s="535">
        <v>399.17759999999998</v>
      </c>
      <c r="S13" s="535"/>
      <c r="T13" s="536"/>
      <c r="U13" s="1386">
        <f>SUM(P13,R13)</f>
        <v>1076.3537999999999</v>
      </c>
      <c r="V13" s="1387"/>
      <c r="W13" s="534">
        <v>199.58879999999999</v>
      </c>
      <c r="X13" s="535"/>
      <c r="Y13" s="535">
        <v>128.30709999999999</v>
      </c>
      <c r="Z13" s="535"/>
      <c r="AA13" s="536"/>
      <c r="AB13" s="1386">
        <f>SUM(W13,Y13)</f>
        <v>327.89589999999998</v>
      </c>
      <c r="AC13" s="1387"/>
      <c r="AD13" s="673"/>
    </row>
    <row r="14" spans="1:30" ht="15" customHeight="1" x14ac:dyDescent="0.2">
      <c r="A14" s="194" t="s">
        <v>316</v>
      </c>
      <c r="B14" s="509">
        <v>2003.02</v>
      </c>
      <c r="C14" s="1383"/>
      <c r="D14" s="1627">
        <v>862.50869999999998</v>
      </c>
      <c r="E14" s="1383"/>
      <c r="F14" s="538"/>
      <c r="G14" s="539">
        <f t="shared" ref="G14:G24" si="0">SUM(D14,B14)</f>
        <v>2865.5286999999998</v>
      </c>
      <c r="H14" s="1388"/>
      <c r="I14" s="509">
        <v>2779.99</v>
      </c>
      <c r="J14" s="1383"/>
      <c r="K14" s="537">
        <v>1525.43</v>
      </c>
      <c r="L14" s="1383"/>
      <c r="M14" s="538"/>
      <c r="N14" s="539">
        <f t="shared" ref="N14:N24" si="1">SUM(I14,K14)</f>
        <v>4305.42</v>
      </c>
      <c r="O14" s="1388"/>
      <c r="P14" s="509">
        <v>1304.46</v>
      </c>
      <c r="Q14" s="1383"/>
      <c r="R14" s="537">
        <v>712.81709999999998</v>
      </c>
      <c r="S14" s="1383"/>
      <c r="T14" s="538"/>
      <c r="U14" s="539">
        <f t="shared" ref="U14:U24" si="2">SUM(P14,R14)</f>
        <v>2017.2771</v>
      </c>
      <c r="V14" s="1388"/>
      <c r="W14" s="509">
        <v>449.07479999999998</v>
      </c>
      <c r="X14" s="1383"/>
      <c r="Y14" s="537">
        <v>356.4085</v>
      </c>
      <c r="Z14" s="1383"/>
      <c r="AA14" s="538"/>
      <c r="AB14" s="539">
        <f t="shared" ref="AB14:AB24" si="3">SUM(W14,Y14)</f>
        <v>805.48329999999999</v>
      </c>
      <c r="AC14" s="1388"/>
      <c r="AD14" s="84"/>
    </row>
    <row r="15" spans="1:30" ht="15" customHeight="1" x14ac:dyDescent="0.2">
      <c r="A15" s="195" t="s">
        <v>317</v>
      </c>
      <c r="B15" s="505">
        <v>2017.27</v>
      </c>
      <c r="C15" s="1384"/>
      <c r="D15" s="521">
        <v>919.53399999999999</v>
      </c>
      <c r="E15" s="1384"/>
      <c r="F15" s="522"/>
      <c r="G15" s="540">
        <f t="shared" si="0"/>
        <v>2936.8040000000001</v>
      </c>
      <c r="H15" s="1389"/>
      <c r="I15" s="505">
        <v>2665.94</v>
      </c>
      <c r="J15" s="1384"/>
      <c r="K15" s="521">
        <v>1290.2</v>
      </c>
      <c r="L15" s="1384"/>
      <c r="M15" s="522"/>
      <c r="N15" s="540">
        <f t="shared" si="1"/>
        <v>3956.1400000000003</v>
      </c>
      <c r="O15" s="1389"/>
      <c r="P15" s="505">
        <v>1119.1199999999999</v>
      </c>
      <c r="Q15" s="1384"/>
      <c r="R15" s="521">
        <v>734.20159999999998</v>
      </c>
      <c r="S15" s="1384"/>
      <c r="T15" s="522"/>
      <c r="U15" s="540">
        <f t="shared" si="2"/>
        <v>1853.3215999999998</v>
      </c>
      <c r="V15" s="1389"/>
      <c r="W15" s="505">
        <v>734.20159999999998</v>
      </c>
      <c r="X15" s="1384"/>
      <c r="Y15" s="521">
        <v>513.22829999999999</v>
      </c>
      <c r="Z15" s="1384"/>
      <c r="AA15" s="522"/>
      <c r="AB15" s="540">
        <f t="shared" si="3"/>
        <v>1247.4299000000001</v>
      </c>
      <c r="AC15" s="1389"/>
      <c r="AD15" s="84"/>
    </row>
    <row r="16" spans="1:30" ht="15" customHeight="1" x14ac:dyDescent="0.2">
      <c r="A16" s="195" t="s">
        <v>318</v>
      </c>
      <c r="B16" s="505">
        <v>3492.8</v>
      </c>
      <c r="C16" s="1384"/>
      <c r="D16" s="521">
        <v>1603.84</v>
      </c>
      <c r="E16" s="1384"/>
      <c r="F16" s="522"/>
      <c r="G16" s="540">
        <f t="shared" si="0"/>
        <v>5096.6400000000003</v>
      </c>
      <c r="H16" s="1389"/>
      <c r="I16" s="505">
        <v>1432.76</v>
      </c>
      <c r="J16" s="1384"/>
      <c r="K16" s="521">
        <v>755.58609999999999</v>
      </c>
      <c r="L16" s="1384"/>
      <c r="M16" s="522"/>
      <c r="N16" s="540">
        <f t="shared" si="1"/>
        <v>2188.3460999999998</v>
      </c>
      <c r="O16" s="1389"/>
      <c r="P16" s="505">
        <v>798.35509999999999</v>
      </c>
      <c r="Q16" s="1384"/>
      <c r="R16" s="521">
        <v>434.8184</v>
      </c>
      <c r="S16" s="1384"/>
      <c r="T16" s="522"/>
      <c r="U16" s="540">
        <f t="shared" si="2"/>
        <v>1233.1734999999999</v>
      </c>
      <c r="V16" s="1389"/>
      <c r="W16" s="505">
        <v>812.61149999999998</v>
      </c>
      <c r="X16" s="1384"/>
      <c r="Y16" s="521">
        <v>662.91989999999998</v>
      </c>
      <c r="Z16" s="1384"/>
      <c r="AA16" s="522"/>
      <c r="AB16" s="540">
        <f t="shared" si="3"/>
        <v>1475.5313999999998</v>
      </c>
      <c r="AC16" s="1389"/>
      <c r="AD16" s="84"/>
    </row>
    <row r="17" spans="1:30" ht="15" customHeight="1" x14ac:dyDescent="0.2">
      <c r="A17" s="195" t="s">
        <v>947</v>
      </c>
      <c r="B17" s="505">
        <v>4326.8</v>
      </c>
      <c r="C17" s="1384"/>
      <c r="D17" s="521">
        <v>2145.58</v>
      </c>
      <c r="E17" s="1384"/>
      <c r="F17" s="522"/>
      <c r="G17" s="540">
        <f t="shared" si="0"/>
        <v>6472.38</v>
      </c>
      <c r="H17" s="1389"/>
      <c r="I17" s="505">
        <v>1447.02</v>
      </c>
      <c r="J17" s="1384"/>
      <c r="K17" s="521">
        <v>962.30309999999997</v>
      </c>
      <c r="L17" s="1384"/>
      <c r="M17" s="522"/>
      <c r="N17" s="540">
        <f t="shared" si="1"/>
        <v>2409.3231000000001</v>
      </c>
      <c r="O17" s="1389"/>
      <c r="P17" s="505">
        <v>491.84379999999999</v>
      </c>
      <c r="Q17" s="1384"/>
      <c r="R17" s="521">
        <v>277.99869999999999</v>
      </c>
      <c r="S17" s="1384"/>
      <c r="T17" s="522"/>
      <c r="U17" s="540">
        <f t="shared" si="2"/>
        <v>769.84249999999997</v>
      </c>
      <c r="V17" s="1389"/>
      <c r="W17" s="505">
        <v>270.87049999999999</v>
      </c>
      <c r="X17" s="1384"/>
      <c r="Y17" s="521">
        <v>71.281710000000004</v>
      </c>
      <c r="Z17" s="1384"/>
      <c r="AA17" s="522"/>
      <c r="AB17" s="540">
        <f t="shared" si="3"/>
        <v>342.15220999999997</v>
      </c>
      <c r="AC17" s="1389"/>
      <c r="AD17" s="84"/>
    </row>
    <row r="18" spans="1:30" ht="15" customHeight="1" x14ac:dyDescent="0.2">
      <c r="A18" s="195" t="s">
        <v>319</v>
      </c>
      <c r="B18" s="505">
        <v>3143.52</v>
      </c>
      <c r="C18" s="1384"/>
      <c r="D18" s="521">
        <v>1247.43</v>
      </c>
      <c r="E18" s="1384"/>
      <c r="F18" s="522"/>
      <c r="G18" s="540">
        <f t="shared" si="0"/>
        <v>4390.95</v>
      </c>
      <c r="H18" s="1389"/>
      <c r="I18" s="505">
        <v>2152.71</v>
      </c>
      <c r="J18" s="1384"/>
      <c r="K18" s="521">
        <v>1382.87</v>
      </c>
      <c r="L18" s="1384"/>
      <c r="M18" s="522"/>
      <c r="N18" s="540">
        <f t="shared" si="1"/>
        <v>3535.58</v>
      </c>
      <c r="O18" s="1389"/>
      <c r="P18" s="505">
        <v>862.50869999999998</v>
      </c>
      <c r="Q18" s="1384"/>
      <c r="R18" s="521">
        <v>548.86919999999998</v>
      </c>
      <c r="S18" s="1384"/>
      <c r="T18" s="522"/>
      <c r="U18" s="540">
        <f t="shared" si="2"/>
        <v>1411.3779</v>
      </c>
      <c r="V18" s="1389"/>
      <c r="W18" s="505">
        <v>377.79309999999998</v>
      </c>
      <c r="X18" s="1384"/>
      <c r="Y18" s="521">
        <v>277.99869999999999</v>
      </c>
      <c r="Z18" s="1384"/>
      <c r="AA18" s="522"/>
      <c r="AB18" s="540">
        <f t="shared" si="3"/>
        <v>655.79179999999997</v>
      </c>
      <c r="AC18" s="1389"/>
      <c r="AD18" s="84"/>
    </row>
    <row r="19" spans="1:30" ht="15" customHeight="1" x14ac:dyDescent="0.2">
      <c r="A19" s="195" t="s">
        <v>320</v>
      </c>
      <c r="B19" s="505">
        <v>2416.4499999999998</v>
      </c>
      <c r="C19" s="1384"/>
      <c r="D19" s="521">
        <v>1033.58</v>
      </c>
      <c r="E19" s="1384"/>
      <c r="F19" s="522"/>
      <c r="G19" s="540">
        <f t="shared" si="0"/>
        <v>3450.0299999999997</v>
      </c>
      <c r="H19" s="1389"/>
      <c r="I19" s="505">
        <v>2316.66</v>
      </c>
      <c r="J19" s="1384"/>
      <c r="K19" s="521">
        <v>1218.92</v>
      </c>
      <c r="L19" s="1384"/>
      <c r="M19" s="522"/>
      <c r="N19" s="540">
        <f t="shared" si="1"/>
        <v>3535.58</v>
      </c>
      <c r="O19" s="1389"/>
      <c r="P19" s="505">
        <v>1097.74</v>
      </c>
      <c r="Q19" s="1384"/>
      <c r="R19" s="521">
        <v>634.40719999999999</v>
      </c>
      <c r="S19" s="1384"/>
      <c r="T19" s="522"/>
      <c r="U19" s="540">
        <f t="shared" si="2"/>
        <v>1732.1471999999999</v>
      </c>
      <c r="V19" s="1389"/>
      <c r="W19" s="505">
        <v>705.68889999999999</v>
      </c>
      <c r="X19" s="1384"/>
      <c r="Y19" s="521">
        <v>570.25369999999998</v>
      </c>
      <c r="Z19" s="1384"/>
      <c r="AA19" s="522"/>
      <c r="AB19" s="540">
        <f t="shared" si="3"/>
        <v>1275.9425999999999</v>
      </c>
      <c r="AC19" s="1389"/>
      <c r="AD19" s="84"/>
    </row>
    <row r="20" spans="1:30" ht="15" customHeight="1" x14ac:dyDescent="0.2">
      <c r="A20" s="195" t="s">
        <v>321</v>
      </c>
      <c r="B20" s="505">
        <v>3785.06</v>
      </c>
      <c r="C20" s="1384"/>
      <c r="D20" s="521">
        <v>1981.63</v>
      </c>
      <c r="E20" s="1384"/>
      <c r="F20" s="522"/>
      <c r="G20" s="540">
        <f t="shared" si="0"/>
        <v>5766.6900000000005</v>
      </c>
      <c r="H20" s="1389"/>
      <c r="I20" s="505">
        <v>1782.04</v>
      </c>
      <c r="J20" s="1384"/>
      <c r="K20" s="521">
        <v>883.89319999999998</v>
      </c>
      <c r="L20" s="1384"/>
      <c r="M20" s="522"/>
      <c r="N20" s="540">
        <f t="shared" si="1"/>
        <v>2665.9331999999999</v>
      </c>
      <c r="O20" s="1389"/>
      <c r="P20" s="505">
        <v>662.91989999999998</v>
      </c>
      <c r="Q20" s="1384"/>
      <c r="R20" s="521">
        <v>456.2029</v>
      </c>
      <c r="S20" s="1384"/>
      <c r="T20" s="522"/>
      <c r="U20" s="540">
        <f t="shared" si="2"/>
        <v>1119.1228000000001</v>
      </c>
      <c r="V20" s="1389"/>
      <c r="W20" s="505">
        <v>306.51130000000001</v>
      </c>
      <c r="X20" s="1384"/>
      <c r="Y20" s="521">
        <v>135.43520000000001</v>
      </c>
      <c r="Z20" s="1384"/>
      <c r="AA20" s="522"/>
      <c r="AB20" s="540">
        <f t="shared" si="3"/>
        <v>441.94650000000001</v>
      </c>
      <c r="AC20" s="1389"/>
      <c r="AD20" s="84"/>
    </row>
    <row r="21" spans="1:30" ht="15" customHeight="1" x14ac:dyDescent="0.2">
      <c r="A21" s="195" t="s">
        <v>322</v>
      </c>
      <c r="B21" s="505">
        <v>3535.57</v>
      </c>
      <c r="C21" s="1384"/>
      <c r="D21" s="521">
        <v>1867.58</v>
      </c>
      <c r="E21" s="1384"/>
      <c r="F21" s="522"/>
      <c r="G21" s="540">
        <f t="shared" si="0"/>
        <v>5403.15</v>
      </c>
      <c r="H21" s="1389"/>
      <c r="I21" s="505">
        <v>2302.4</v>
      </c>
      <c r="J21" s="1384"/>
      <c r="K21" s="521">
        <v>1204.6600000000001</v>
      </c>
      <c r="L21" s="1384"/>
      <c r="M21" s="522"/>
      <c r="N21" s="540">
        <f t="shared" si="1"/>
        <v>3507.0600000000004</v>
      </c>
      <c r="O21" s="1389"/>
      <c r="P21" s="505">
        <v>491.84379999999999</v>
      </c>
      <c r="Q21" s="1384"/>
      <c r="R21" s="521">
        <v>270.87049999999999</v>
      </c>
      <c r="S21" s="1384"/>
      <c r="T21" s="522"/>
      <c r="U21" s="540">
        <f t="shared" si="2"/>
        <v>762.71429999999998</v>
      </c>
      <c r="V21" s="1389"/>
      <c r="W21" s="505">
        <v>206.71700000000001</v>
      </c>
      <c r="X21" s="1384"/>
      <c r="Y21" s="521">
        <v>114.05070000000001</v>
      </c>
      <c r="Z21" s="1384"/>
      <c r="AA21" s="522"/>
      <c r="AB21" s="540">
        <f t="shared" si="3"/>
        <v>320.76769999999999</v>
      </c>
      <c r="AC21" s="1389"/>
      <c r="AD21" s="84"/>
    </row>
    <row r="22" spans="1:30" ht="15" customHeight="1" x14ac:dyDescent="0.2">
      <c r="A22" s="195" t="s">
        <v>323</v>
      </c>
      <c r="B22" s="505">
        <v>4048.8</v>
      </c>
      <c r="C22" s="1384"/>
      <c r="D22" s="521">
        <v>2003.02</v>
      </c>
      <c r="E22" s="1384"/>
      <c r="F22" s="522"/>
      <c r="G22" s="540">
        <f t="shared" si="0"/>
        <v>6051.82</v>
      </c>
      <c r="H22" s="1389"/>
      <c r="I22" s="505">
        <v>1646.61</v>
      </c>
      <c r="J22" s="1384"/>
      <c r="K22" s="521">
        <v>1005.07</v>
      </c>
      <c r="L22" s="1384"/>
      <c r="M22" s="522"/>
      <c r="N22" s="540">
        <f t="shared" si="1"/>
        <v>2651.68</v>
      </c>
      <c r="O22" s="1389"/>
      <c r="P22" s="505">
        <v>613.02269999999999</v>
      </c>
      <c r="Q22" s="1384"/>
      <c r="R22" s="521">
        <v>327.89589999999998</v>
      </c>
      <c r="S22" s="1384"/>
      <c r="T22" s="522"/>
      <c r="U22" s="540">
        <f t="shared" si="2"/>
        <v>940.91859999999997</v>
      </c>
      <c r="V22" s="1389"/>
      <c r="W22" s="505">
        <v>228.10149999999999</v>
      </c>
      <c r="X22" s="1384"/>
      <c r="Y22" s="521">
        <v>121.1789</v>
      </c>
      <c r="Z22" s="1384"/>
      <c r="AA22" s="522"/>
      <c r="AB22" s="540">
        <f t="shared" si="3"/>
        <v>349.28039999999999</v>
      </c>
      <c r="AC22" s="1389"/>
      <c r="AD22" s="84"/>
    </row>
    <row r="23" spans="1:30" ht="15" customHeight="1" x14ac:dyDescent="0.2">
      <c r="A23" s="195" t="s">
        <v>324</v>
      </c>
      <c r="B23" s="505">
        <v>3941.88</v>
      </c>
      <c r="C23" s="1384"/>
      <c r="D23" s="521">
        <v>2138.4499999999998</v>
      </c>
      <c r="E23" s="1384"/>
      <c r="F23" s="522"/>
      <c r="G23" s="540">
        <f t="shared" si="0"/>
        <v>6080.33</v>
      </c>
      <c r="H23" s="1389"/>
      <c r="I23" s="505">
        <v>1931.73</v>
      </c>
      <c r="J23" s="1384"/>
      <c r="K23" s="521">
        <v>955.17489999999998</v>
      </c>
      <c r="L23" s="1384"/>
      <c r="M23" s="522"/>
      <c r="N23" s="540">
        <f t="shared" si="1"/>
        <v>2886.9049</v>
      </c>
      <c r="O23" s="1389"/>
      <c r="P23" s="505">
        <v>477.5874</v>
      </c>
      <c r="Q23" s="1384"/>
      <c r="R23" s="521">
        <v>256.61419999999998</v>
      </c>
      <c r="S23" s="1384"/>
      <c r="T23" s="522"/>
      <c r="U23" s="540">
        <f t="shared" si="2"/>
        <v>734.20159999999998</v>
      </c>
      <c r="V23" s="1389"/>
      <c r="W23" s="505">
        <v>185.33240000000001</v>
      </c>
      <c r="X23" s="1384"/>
      <c r="Y23" s="521">
        <v>106.9226</v>
      </c>
      <c r="Z23" s="1384"/>
      <c r="AA23" s="522"/>
      <c r="AB23" s="540">
        <f t="shared" si="3"/>
        <v>292.255</v>
      </c>
      <c r="AC23" s="1389"/>
      <c r="AD23" s="84"/>
    </row>
    <row r="24" spans="1:30" ht="15" customHeight="1" x14ac:dyDescent="0.2">
      <c r="A24" s="196" t="s">
        <v>325</v>
      </c>
      <c r="B24" s="506">
        <v>3286.09</v>
      </c>
      <c r="C24" s="1385"/>
      <c r="D24" s="541">
        <v>1717.89</v>
      </c>
      <c r="E24" s="1385"/>
      <c r="F24" s="542"/>
      <c r="G24" s="1123">
        <f t="shared" si="0"/>
        <v>5003.9800000000005</v>
      </c>
      <c r="H24" s="1390"/>
      <c r="I24" s="506">
        <v>2359.42</v>
      </c>
      <c r="J24" s="1385"/>
      <c r="K24" s="541">
        <v>1140.51</v>
      </c>
      <c r="L24" s="1385"/>
      <c r="M24" s="542"/>
      <c r="N24" s="1123">
        <f t="shared" si="1"/>
        <v>3499.9300000000003</v>
      </c>
      <c r="O24" s="1390"/>
      <c r="P24" s="506">
        <v>605.89449999999999</v>
      </c>
      <c r="Q24" s="1385"/>
      <c r="R24" s="541">
        <v>456.2029</v>
      </c>
      <c r="S24" s="1385"/>
      <c r="T24" s="542"/>
      <c r="U24" s="1123">
        <f t="shared" si="2"/>
        <v>1062.0974000000001</v>
      </c>
      <c r="V24" s="1390"/>
      <c r="W24" s="506">
        <v>285.1268</v>
      </c>
      <c r="X24" s="1385"/>
      <c r="Y24" s="541">
        <v>142.5634</v>
      </c>
      <c r="Z24" s="1385"/>
      <c r="AA24" s="542"/>
      <c r="AB24" s="1123">
        <f t="shared" si="3"/>
        <v>427.6902</v>
      </c>
      <c r="AC24" s="1390"/>
      <c r="AD24" s="84"/>
    </row>
    <row r="25" spans="1:30" ht="15" customHeight="1" x14ac:dyDescent="0.2">
      <c r="A25" s="197"/>
      <c r="B25" s="198"/>
      <c r="C25" s="198"/>
      <c r="D25" s="198"/>
      <c r="E25" s="198"/>
      <c r="F25" s="198"/>
      <c r="G25" s="198"/>
      <c r="H25" s="198"/>
      <c r="I25" s="198"/>
      <c r="J25" s="198"/>
      <c r="K25" s="198"/>
      <c r="L25" s="198"/>
      <c r="M25" s="198"/>
      <c r="N25" s="198"/>
      <c r="O25" s="198"/>
      <c r="P25" s="198"/>
      <c r="Q25" s="198"/>
      <c r="R25" s="198"/>
      <c r="S25" s="198"/>
      <c r="T25" s="198"/>
      <c r="U25" s="198"/>
      <c r="V25" s="198"/>
      <c r="W25" s="198"/>
      <c r="X25" s="198"/>
      <c r="Y25" s="198"/>
      <c r="Z25" s="198"/>
      <c r="AA25" s="198"/>
      <c r="AB25" s="198"/>
      <c r="AC25" s="198"/>
      <c r="AD25" s="84"/>
    </row>
    <row r="26" spans="1:30" ht="15" customHeight="1" x14ac:dyDescent="0.2">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row>
    <row r="27" spans="1:30" ht="15" customHeight="1" x14ac:dyDescent="0.2">
      <c r="A27" s="89" t="s">
        <v>32</v>
      </c>
      <c r="B27" s="56"/>
      <c r="C27" s="56"/>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84"/>
    </row>
    <row r="28" spans="1:30" ht="15" customHeight="1" x14ac:dyDescent="0.2">
      <c r="A28" s="84"/>
      <c r="B28" s="58"/>
      <c r="C28" s="58"/>
      <c r="D28" s="59"/>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84"/>
    </row>
    <row r="29" spans="1:30" ht="15" customHeight="1" x14ac:dyDescent="0.2">
      <c r="A29" s="84"/>
      <c r="B29" s="58"/>
      <c r="C29" s="58"/>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84"/>
    </row>
    <row r="30" spans="1:30" ht="15" customHeight="1" x14ac:dyDescent="0.2">
      <c r="A30" s="84"/>
      <c r="B30" s="58"/>
      <c r="C30" s="58"/>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84"/>
    </row>
    <row r="31" spans="1:30" ht="15" customHeight="1" x14ac:dyDescent="0.2">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row>
    <row r="32" spans="1:30" ht="15" customHeight="1" x14ac:dyDescent="0.2">
      <c r="A32" s="89" t="s">
        <v>33</v>
      </c>
      <c r="B32" s="56"/>
      <c r="C32" s="56"/>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84"/>
    </row>
    <row r="33" spans="1:31" ht="15" customHeight="1" x14ac:dyDescent="0.2">
      <c r="A33" s="89"/>
      <c r="B33" s="58"/>
      <c r="C33" s="58"/>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84"/>
    </row>
    <row r="34" spans="1:31" ht="15" customHeight="1" x14ac:dyDescent="0.2">
      <c r="A34" s="84"/>
      <c r="B34" s="58"/>
      <c r="C34" s="58"/>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84"/>
    </row>
    <row r="35" spans="1:31" ht="15" customHeight="1" x14ac:dyDescent="0.2">
      <c r="A35" s="84"/>
      <c r="B35" s="58"/>
      <c r="C35" s="58"/>
      <c r="D35" s="5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84"/>
    </row>
    <row r="36" spans="1:31" ht="15" customHeight="1" x14ac:dyDescent="0.2">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row>
    <row r="37" spans="1:31" ht="12.75" x14ac:dyDescent="0.2">
      <c r="A37" s="89" t="s">
        <v>670</v>
      </c>
      <c r="B37" s="84"/>
      <c r="C37" s="84"/>
      <c r="D37" s="84"/>
      <c r="E37" s="84"/>
      <c r="F37" s="84"/>
      <c r="G37" s="84"/>
      <c r="H37" s="84"/>
      <c r="I37" s="84"/>
      <c r="J37" s="84"/>
      <c r="K37" s="84"/>
      <c r="L37" s="84"/>
      <c r="M37" s="84"/>
      <c r="N37" s="84"/>
      <c r="O37" s="84"/>
      <c r="P37" s="84"/>
      <c r="Q37" s="84"/>
      <c r="R37" s="84"/>
      <c r="S37" s="84"/>
      <c r="T37" s="84"/>
      <c r="U37" s="84"/>
      <c r="V37" s="84"/>
      <c r="W37" s="84"/>
      <c r="X37" s="84"/>
      <c r="Y37" s="617"/>
      <c r="Z37" s="617"/>
      <c r="AA37" s="617"/>
      <c r="AB37" s="617"/>
      <c r="AC37" s="617"/>
      <c r="AD37" s="617"/>
      <c r="AE37"/>
    </row>
    <row r="38" spans="1:31" ht="12.75" x14ac:dyDescent="0.2">
      <c r="A38" s="616"/>
      <c r="B38" s="548"/>
      <c r="C38" s="84"/>
      <c r="D38" s="84"/>
      <c r="E38" s="84"/>
      <c r="F38" s="84"/>
      <c r="G38" s="84"/>
      <c r="H38" s="84"/>
      <c r="I38" s="84"/>
      <c r="J38" s="84"/>
      <c r="K38" s="84"/>
      <c r="L38" s="84"/>
      <c r="M38" s="84"/>
      <c r="N38" s="84"/>
      <c r="O38" s="84"/>
      <c r="P38" s="84"/>
      <c r="Q38" s="84"/>
      <c r="R38" s="84"/>
      <c r="S38" s="84"/>
      <c r="T38" s="84"/>
      <c r="U38" s="84"/>
      <c r="V38" s="84"/>
      <c r="W38" s="84"/>
      <c r="X38" s="84"/>
      <c r="Y38" s="617"/>
      <c r="Z38" s="617"/>
      <c r="AA38" s="617"/>
      <c r="AB38" s="617"/>
      <c r="AC38" s="617"/>
      <c r="AD38" s="617"/>
      <c r="AE38"/>
    </row>
    <row r="39" spans="1:31" ht="12.75" x14ac:dyDescent="0.2">
      <c r="A39" s="84"/>
      <c r="B39" s="549"/>
      <c r="C39" s="84"/>
      <c r="D39" s="84"/>
      <c r="E39" s="84"/>
      <c r="F39" s="84"/>
      <c r="G39" s="84"/>
      <c r="H39" s="84"/>
      <c r="I39" s="84"/>
      <c r="J39" s="84"/>
      <c r="K39" s="84"/>
      <c r="L39" s="84"/>
      <c r="M39" s="84"/>
      <c r="N39" s="84"/>
      <c r="O39" s="84"/>
      <c r="P39" s="84"/>
      <c r="Q39" s="84"/>
      <c r="R39" s="84"/>
      <c r="S39" s="84"/>
      <c r="T39" s="84"/>
      <c r="U39" s="84"/>
      <c r="V39" s="84"/>
      <c r="W39" s="84"/>
      <c r="X39" s="84"/>
      <c r="Y39" s="617"/>
      <c r="Z39" s="617"/>
      <c r="AA39" s="617"/>
      <c r="AB39" s="617"/>
      <c r="AC39" s="617"/>
      <c r="AD39" s="617"/>
      <c r="AE39"/>
    </row>
    <row r="40" spans="1:31" ht="12.75" x14ac:dyDescent="0.2">
      <c r="A40" s="84"/>
      <c r="B40" s="549"/>
      <c r="C40" s="84"/>
      <c r="D40" s="84"/>
      <c r="E40" s="84"/>
      <c r="F40" s="84"/>
      <c r="G40" s="84"/>
      <c r="H40" s="84"/>
      <c r="I40" s="84"/>
      <c r="J40" s="84"/>
      <c r="K40" s="84"/>
      <c r="L40" s="84"/>
      <c r="M40" s="84"/>
      <c r="N40" s="84"/>
      <c r="O40" s="84"/>
      <c r="P40" s="84"/>
      <c r="Q40" s="84"/>
      <c r="R40" s="84"/>
      <c r="S40" s="84"/>
      <c r="T40" s="84"/>
      <c r="U40" s="84"/>
      <c r="V40" s="84"/>
      <c r="W40" s="84"/>
      <c r="X40" s="84"/>
      <c r="Y40" s="617"/>
      <c r="Z40" s="617"/>
      <c r="AA40" s="617"/>
      <c r="AB40" s="617"/>
      <c r="AC40" s="617"/>
      <c r="AD40" s="617"/>
      <c r="AE40"/>
    </row>
    <row r="41" spans="1:31" ht="12.75" x14ac:dyDescent="0.2">
      <c r="A41" s="84"/>
      <c r="B41" s="549"/>
      <c r="C41" s="84"/>
      <c r="D41" s="84"/>
      <c r="E41" s="84"/>
      <c r="F41" s="84"/>
      <c r="G41" s="84"/>
      <c r="H41" s="84"/>
      <c r="I41" s="84"/>
      <c r="J41" s="84"/>
      <c r="K41" s="84"/>
      <c r="L41" s="84"/>
      <c r="M41" s="84"/>
      <c r="N41" s="84"/>
      <c r="O41" s="84"/>
      <c r="P41" s="84"/>
      <c r="Q41" s="84"/>
      <c r="R41" s="84"/>
      <c r="S41" s="84"/>
      <c r="T41" s="84"/>
      <c r="U41" s="84"/>
      <c r="V41" s="84"/>
      <c r="W41" s="84"/>
      <c r="X41" s="84"/>
      <c r="Y41" s="617"/>
      <c r="Z41" s="617"/>
      <c r="AA41" s="617"/>
      <c r="AB41" s="617"/>
      <c r="AC41" s="617"/>
      <c r="AD41" s="617"/>
      <c r="AE41"/>
    </row>
    <row r="42" spans="1:31" ht="15" customHeight="1" x14ac:dyDescent="0.2">
      <c r="A42" s="84"/>
      <c r="B42" s="84"/>
      <c r="C42" s="84"/>
      <c r="D42" s="84"/>
      <c r="E42" s="84"/>
      <c r="F42" s="84"/>
      <c r="G42" s="84"/>
      <c r="H42" s="84"/>
      <c r="I42" s="84"/>
      <c r="J42" s="84"/>
      <c r="K42" s="84"/>
      <c r="L42" s="84"/>
      <c r="M42" s="84"/>
      <c r="N42" s="84"/>
      <c r="O42" s="84"/>
      <c r="P42" s="84"/>
      <c r="Q42" s="84"/>
      <c r="R42" s="84"/>
      <c r="S42" s="84"/>
      <c r="T42" s="84"/>
      <c r="U42" s="84"/>
      <c r="V42" s="84"/>
      <c r="W42" s="84"/>
      <c r="X42" s="84"/>
      <c r="Y42" s="617"/>
      <c r="Z42" s="617"/>
      <c r="AA42" s="617"/>
      <c r="AB42" s="617"/>
      <c r="AC42" s="617"/>
      <c r="AD42" s="617"/>
      <c r="AE42"/>
    </row>
  </sheetData>
  <sheetProtection password="CD9E" sheet="1" objects="1" scenarios="1" selectLockedCells="1"/>
  <mergeCells count="12">
    <mergeCell ref="AB12:AC12"/>
    <mergeCell ref="B12:C12"/>
    <mergeCell ref="D12:E12"/>
    <mergeCell ref="G12:H12"/>
    <mergeCell ref="I12:J12"/>
    <mergeCell ref="K12:L12"/>
    <mergeCell ref="N12:O12"/>
    <mergeCell ref="P12:Q12"/>
    <mergeCell ref="R12:S12"/>
    <mergeCell ref="U12:V12"/>
    <mergeCell ref="W12:X12"/>
    <mergeCell ref="Y12:Z12"/>
  </mergeCells>
  <dataValidations disablePrompts="1" count="1">
    <dataValidation type="list" allowBlank="1" showInputMessage="1" showErrorMessage="1" sqref="B38:B41">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55118110236220474" right="0.55118110236220474" top="0.98425196850393704" bottom="0.98425196850393704" header="0.51181102362204722" footer="0.51181102362204722"/>
  <pageSetup paperSize="9" scale="73" orientation="landscape" r:id="rId1"/>
  <headerFooter alignWithMargins="0">
    <oddHeader>&amp;LCDH&amp;C &amp;F&amp;R&amp;A</oddHeader>
    <oddFooter>Page &amp;P of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indexed="47"/>
    <pageSetUpPr fitToPage="1"/>
  </sheetPr>
  <dimension ref="A1:AF42"/>
  <sheetViews>
    <sheetView showGridLines="0" zoomScale="90" zoomScaleNormal="90" workbookViewId="0">
      <selection activeCell="H28" sqref="H28"/>
    </sheetView>
  </sheetViews>
  <sheetFormatPr baseColWidth="10" defaultColWidth="9.140625" defaultRowHeight="15" customHeight="1" x14ac:dyDescent="0.2"/>
  <cols>
    <col min="1" max="1" width="54.85546875" style="31" customWidth="1"/>
    <col min="2" max="2" width="12.7109375" style="31" customWidth="1"/>
    <col min="3" max="3" width="6.7109375" style="31" customWidth="1"/>
    <col min="4" max="4" width="12.7109375" style="31" customWidth="1"/>
    <col min="5" max="5" width="6.7109375" style="31" customWidth="1"/>
    <col min="6" max="7" width="12.7109375" style="31" customWidth="1"/>
    <col min="8" max="8" width="6.7109375" style="31" customWidth="1"/>
    <col min="9" max="9" width="12.7109375" style="31" customWidth="1"/>
    <col min="10" max="10" width="6.7109375" style="31" customWidth="1"/>
    <col min="11" max="11" width="12.7109375" style="31" customWidth="1"/>
    <col min="12" max="12" width="6.7109375" style="31" customWidth="1"/>
    <col min="13" max="14" width="12.7109375" style="31" customWidth="1"/>
    <col min="15" max="15" width="6.7109375" style="31" customWidth="1"/>
    <col min="16" max="16" width="12.7109375" style="31" customWidth="1"/>
    <col min="17" max="17" width="6.7109375" style="31" customWidth="1"/>
    <col min="18" max="18" width="12.7109375" style="31" customWidth="1"/>
    <col min="19" max="19" width="6.7109375" style="31" customWidth="1"/>
    <col min="20" max="21" width="12.7109375" style="31" customWidth="1"/>
    <col min="22" max="22" width="6.7109375" style="31" customWidth="1"/>
    <col min="23" max="23" width="12.7109375" style="31" customWidth="1"/>
    <col min="24" max="24" width="6.7109375" style="31" customWidth="1"/>
    <col min="25" max="25" width="12.7109375" style="31" customWidth="1"/>
    <col min="26" max="26" width="6.7109375" style="31" customWidth="1"/>
    <col min="27" max="28" width="12.7109375" style="31" customWidth="1"/>
    <col min="29" max="29" width="6.7109375" style="31" customWidth="1"/>
    <col min="30" max="16384" width="9.140625" style="31"/>
  </cols>
  <sheetData>
    <row r="1" spans="1:32" s="66" customFormat="1" ht="12" customHeight="1" x14ac:dyDescent="0.2">
      <c r="A1" s="26" t="s">
        <v>6</v>
      </c>
    </row>
    <row r="2" spans="1:32" s="66" customFormat="1" ht="12" customHeight="1" x14ac:dyDescent="0.2">
      <c r="A2" s="28" t="s">
        <v>10</v>
      </c>
    </row>
    <row r="3" spans="1:32" s="66" customFormat="1" ht="12" customHeight="1" x14ac:dyDescent="0.2">
      <c r="A3" s="28" t="s">
        <v>7</v>
      </c>
    </row>
    <row r="4" spans="1:32" ht="15" customHeight="1" x14ac:dyDescent="0.2">
      <c r="A4" s="82" t="s">
        <v>248</v>
      </c>
      <c r="B4" s="82"/>
      <c r="C4" s="82"/>
      <c r="D4" s="82"/>
      <c r="E4" s="82"/>
      <c r="F4" s="82"/>
      <c r="G4" s="82"/>
      <c r="H4" s="82"/>
      <c r="I4" s="82"/>
      <c r="J4" s="82"/>
      <c r="K4" s="82"/>
      <c r="L4" s="82"/>
      <c r="M4" s="83"/>
      <c r="N4" s="83"/>
      <c r="O4" s="83"/>
      <c r="P4" s="83"/>
      <c r="Q4" s="83"/>
      <c r="R4" s="83"/>
      <c r="S4" s="83"/>
      <c r="T4" s="83"/>
      <c r="U4" s="83"/>
      <c r="V4" s="83"/>
      <c r="W4" s="83"/>
      <c r="X4" s="83"/>
      <c r="Y4" s="83"/>
      <c r="Z4" s="83"/>
      <c r="AA4" s="83"/>
      <c r="AB4" s="83"/>
      <c r="AC4" s="83"/>
      <c r="AD4" s="84"/>
      <c r="AE4" s="84"/>
      <c r="AF4" s="84"/>
    </row>
    <row r="5" spans="1:32" s="131" customFormat="1" ht="15" customHeight="1" x14ac:dyDescent="0.2">
      <c r="AD5" s="84"/>
      <c r="AE5" s="84"/>
      <c r="AF5" s="84"/>
    </row>
    <row r="6" spans="1:32" s="131" customFormat="1" ht="15" customHeight="1" x14ac:dyDescent="0.2">
      <c r="A6" s="185"/>
      <c r="B6" s="185"/>
      <c r="C6" s="185"/>
      <c r="D6" s="185"/>
      <c r="E6" s="185"/>
      <c r="F6" s="185"/>
      <c r="G6" s="185"/>
      <c r="H6" s="185"/>
      <c r="I6" s="185"/>
      <c r="J6" s="185"/>
      <c r="K6" s="185"/>
      <c r="L6" s="185"/>
      <c r="M6" s="185"/>
      <c r="N6" s="185"/>
      <c r="O6" s="185"/>
      <c r="P6" s="185"/>
      <c r="Q6" s="185"/>
      <c r="R6" s="185"/>
      <c r="S6" s="185"/>
      <c r="T6" s="185"/>
      <c r="U6" s="185"/>
      <c r="V6" s="185"/>
      <c r="W6" s="185"/>
      <c r="X6" s="185"/>
      <c r="Y6" s="185"/>
      <c r="Z6" s="185"/>
      <c r="AA6" s="185"/>
      <c r="AB6" s="185"/>
      <c r="AC6" s="185"/>
      <c r="AD6" s="84"/>
      <c r="AE6" s="84"/>
      <c r="AF6" s="84"/>
    </row>
    <row r="7" spans="1:32" ht="15" customHeight="1" x14ac:dyDescent="0.25">
      <c r="A7" s="85" t="s">
        <v>685</v>
      </c>
      <c r="B7" s="84"/>
      <c r="C7" s="84"/>
      <c r="D7" s="84"/>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row>
    <row r="8" spans="1:32" ht="15" customHeight="1" x14ac:dyDescent="0.2">
      <c r="A8" s="86" t="s">
        <v>21</v>
      </c>
      <c r="B8" s="84"/>
      <c r="C8" s="84"/>
      <c r="D8" s="84"/>
      <c r="E8" s="84"/>
      <c r="F8" s="84"/>
      <c r="G8" s="84"/>
      <c r="H8" s="84"/>
      <c r="I8" s="84"/>
      <c r="J8" s="84"/>
      <c r="K8" s="84"/>
      <c r="L8" s="84"/>
      <c r="M8" s="84"/>
      <c r="N8" s="84"/>
      <c r="O8" s="84"/>
      <c r="P8" s="84"/>
      <c r="Q8" s="84"/>
      <c r="R8" s="84"/>
      <c r="S8" s="84"/>
      <c r="T8" s="84"/>
      <c r="U8" s="84"/>
      <c r="V8" s="84"/>
      <c r="W8" s="84"/>
      <c r="X8" s="84"/>
      <c r="Y8" s="84"/>
      <c r="Z8" s="84"/>
      <c r="AA8" s="84"/>
      <c r="AB8" s="84"/>
      <c r="AC8" s="84"/>
      <c r="AD8" s="84"/>
      <c r="AE8" s="84"/>
      <c r="AF8" s="84"/>
    </row>
    <row r="9" spans="1:32" ht="15" customHeight="1" x14ac:dyDescent="0.2">
      <c r="A9" s="84"/>
      <c r="B9" s="186" t="s">
        <v>34</v>
      </c>
      <c r="C9" s="510">
        <v>2014</v>
      </c>
      <c r="D9" s="187"/>
      <c r="E9" s="187"/>
      <c r="F9" s="84"/>
      <c r="G9" s="84"/>
      <c r="H9" s="84"/>
      <c r="I9" s="84"/>
      <c r="J9" s="84"/>
      <c r="K9" s="84"/>
      <c r="L9" s="84"/>
      <c r="M9" s="84"/>
      <c r="N9" s="84"/>
      <c r="O9" s="84"/>
      <c r="P9" s="84"/>
      <c r="Q9" s="84"/>
      <c r="R9" s="84"/>
      <c r="S9" s="84"/>
      <c r="T9" s="84"/>
      <c r="U9" s="84"/>
      <c r="V9" s="84"/>
      <c r="W9" s="84"/>
      <c r="X9" s="84"/>
      <c r="Y9" s="84"/>
      <c r="Z9" s="84"/>
      <c r="AA9" s="84"/>
      <c r="AB9" s="84"/>
      <c r="AC9" s="84"/>
      <c r="AD9" s="84"/>
      <c r="AE9" s="84"/>
      <c r="AF9" s="84"/>
    </row>
    <row r="10" spans="1:32" ht="15" customHeight="1" x14ac:dyDescent="0.2">
      <c r="A10" s="188"/>
      <c r="B10" s="188"/>
      <c r="C10" s="188"/>
      <c r="D10" s="188"/>
      <c r="E10" s="188"/>
      <c r="F10" s="188"/>
      <c r="G10" s="188"/>
      <c r="H10" s="188"/>
      <c r="I10" s="188"/>
      <c r="J10" s="84"/>
      <c r="K10" s="84"/>
      <c r="L10" s="84"/>
      <c r="M10" s="84"/>
      <c r="N10" s="84"/>
      <c r="O10" s="84"/>
      <c r="P10" s="84"/>
      <c r="Q10" s="84"/>
      <c r="R10" s="84"/>
      <c r="S10" s="84"/>
      <c r="T10" s="84"/>
      <c r="U10" s="84"/>
      <c r="V10" s="84"/>
      <c r="W10" s="84"/>
      <c r="X10" s="84"/>
      <c r="Y10" s="84"/>
      <c r="Z10" s="84"/>
      <c r="AA10" s="84"/>
      <c r="AB10" s="84"/>
      <c r="AC10" s="84"/>
      <c r="AD10" s="84"/>
      <c r="AE10" s="84"/>
      <c r="AF10" s="84"/>
    </row>
    <row r="11" spans="1:32" ht="21.75" customHeight="1" x14ac:dyDescent="0.2">
      <c r="A11" s="189"/>
      <c r="B11" s="190" t="s">
        <v>312</v>
      </c>
      <c r="C11" s="191"/>
      <c r="D11" s="191"/>
      <c r="E11" s="191"/>
      <c r="F11" s="191"/>
      <c r="G11" s="192"/>
      <c r="H11" s="200"/>
      <c r="I11" s="190" t="s">
        <v>313</v>
      </c>
      <c r="J11" s="191"/>
      <c r="K11" s="191"/>
      <c r="L11" s="191"/>
      <c r="M11" s="191"/>
      <c r="N11" s="192"/>
      <c r="O11" s="200"/>
      <c r="P11" s="190" t="s">
        <v>314</v>
      </c>
      <c r="Q11" s="191"/>
      <c r="R11" s="191"/>
      <c r="S11" s="191"/>
      <c r="T11" s="191"/>
      <c r="U11" s="192"/>
      <c r="V11" s="200"/>
      <c r="W11" s="190" t="s">
        <v>315</v>
      </c>
      <c r="X11" s="191"/>
      <c r="Y11" s="191"/>
      <c r="Z11" s="191"/>
      <c r="AA11" s="191"/>
      <c r="AB11" s="192"/>
      <c r="AC11" s="1371"/>
      <c r="AD11" s="84"/>
      <c r="AE11" s="84"/>
      <c r="AF11" s="84"/>
    </row>
    <row r="12" spans="1:32" s="667" customFormat="1" ht="42" customHeight="1" x14ac:dyDescent="0.2">
      <c r="A12" s="677"/>
      <c r="B12" s="1808" t="s">
        <v>289</v>
      </c>
      <c r="C12" s="1802"/>
      <c r="D12" s="1802" t="s">
        <v>290</v>
      </c>
      <c r="E12" s="1802"/>
      <c r="F12" s="678" t="s">
        <v>727</v>
      </c>
      <c r="G12" s="1809" t="s">
        <v>42</v>
      </c>
      <c r="H12" s="1810"/>
      <c r="I12" s="1808" t="s">
        <v>289</v>
      </c>
      <c r="J12" s="1802"/>
      <c r="K12" s="1802" t="s">
        <v>290</v>
      </c>
      <c r="L12" s="1802"/>
      <c r="M12" s="678" t="s">
        <v>727</v>
      </c>
      <c r="N12" s="1809" t="s">
        <v>42</v>
      </c>
      <c r="O12" s="1810"/>
      <c r="P12" s="1808" t="s">
        <v>289</v>
      </c>
      <c r="Q12" s="1802"/>
      <c r="R12" s="1802" t="s">
        <v>290</v>
      </c>
      <c r="S12" s="1802"/>
      <c r="T12" s="678" t="s">
        <v>727</v>
      </c>
      <c r="U12" s="1809" t="s">
        <v>42</v>
      </c>
      <c r="V12" s="1810"/>
      <c r="W12" s="1808" t="s">
        <v>289</v>
      </c>
      <c r="X12" s="1802"/>
      <c r="Y12" s="1802" t="s">
        <v>290</v>
      </c>
      <c r="Z12" s="1802"/>
      <c r="AA12" s="678" t="s">
        <v>727</v>
      </c>
      <c r="AB12" s="1809" t="s">
        <v>42</v>
      </c>
      <c r="AC12" s="1810"/>
      <c r="AD12" s="84"/>
      <c r="AE12" s="84"/>
      <c r="AF12" s="84"/>
    </row>
    <row r="13" spans="1:32" s="39" customFormat="1" ht="15" customHeight="1" x14ac:dyDescent="0.2">
      <c r="A13" s="1001" t="s">
        <v>950</v>
      </c>
      <c r="B13" s="534">
        <v>3421.52</v>
      </c>
      <c r="C13" s="535"/>
      <c r="D13" s="535">
        <v>641.53539999999998</v>
      </c>
      <c r="E13" s="535"/>
      <c r="F13" s="536"/>
      <c r="G13" s="1386">
        <f>SUM(D13,B13)</f>
        <v>4063.0554000000002</v>
      </c>
      <c r="H13" s="1387"/>
      <c r="I13" s="534">
        <v>3785.06</v>
      </c>
      <c r="J13" s="535"/>
      <c r="K13" s="535">
        <v>741.32979999999998</v>
      </c>
      <c r="L13" s="535"/>
      <c r="M13" s="536"/>
      <c r="N13" s="1386">
        <f>SUM(I13,K13)</f>
        <v>4526.3897999999999</v>
      </c>
      <c r="O13" s="1387"/>
      <c r="P13" s="534">
        <v>891.02139999999997</v>
      </c>
      <c r="Q13" s="535"/>
      <c r="R13" s="535">
        <v>185.33240000000001</v>
      </c>
      <c r="S13" s="535"/>
      <c r="T13" s="536"/>
      <c r="U13" s="1386">
        <f>SUM(P13,R13)</f>
        <v>1076.3537999999999</v>
      </c>
      <c r="V13" s="1387"/>
      <c r="W13" s="534">
        <v>242.3578</v>
      </c>
      <c r="X13" s="535"/>
      <c r="Y13" s="535">
        <v>85.538049999999998</v>
      </c>
      <c r="Z13" s="535"/>
      <c r="AA13" s="536"/>
      <c r="AB13" s="1386">
        <f>SUM(W13,Y13)</f>
        <v>327.89585</v>
      </c>
      <c r="AC13" s="1387"/>
      <c r="AD13" s="673"/>
      <c r="AE13" s="673"/>
      <c r="AF13" s="673"/>
    </row>
    <row r="14" spans="1:32" ht="15" customHeight="1" x14ac:dyDescent="0.2">
      <c r="A14" s="194" t="s">
        <v>316</v>
      </c>
      <c r="B14" s="509">
        <v>2409.3200000000002</v>
      </c>
      <c r="C14" s="1383"/>
      <c r="D14" s="537">
        <v>456.2029</v>
      </c>
      <c r="E14" s="1383"/>
      <c r="F14" s="538"/>
      <c r="G14" s="539">
        <f t="shared" ref="G14:G24" si="0">SUM(D14,B14)</f>
        <v>2865.5228999999999</v>
      </c>
      <c r="H14" s="1388"/>
      <c r="I14" s="509">
        <v>3613.98</v>
      </c>
      <c r="J14" s="1383"/>
      <c r="K14" s="1627">
        <v>691.43259999999998</v>
      </c>
      <c r="L14" s="1383"/>
      <c r="M14" s="538"/>
      <c r="N14" s="1628">
        <f t="shared" ref="N14:N24" si="1">SUM(I14,K14)</f>
        <v>4305.4125999999997</v>
      </c>
      <c r="O14" s="1388"/>
      <c r="P14" s="509">
        <v>1689.38</v>
      </c>
      <c r="Q14" s="1383"/>
      <c r="R14" s="537">
        <v>327.89589999999998</v>
      </c>
      <c r="S14" s="1383"/>
      <c r="T14" s="538"/>
      <c r="U14" s="539">
        <f t="shared" ref="U14:U24" si="2">SUM(P14,R14)</f>
        <v>2017.2759000000001</v>
      </c>
      <c r="V14" s="1388"/>
      <c r="W14" s="509">
        <v>627.279</v>
      </c>
      <c r="X14" s="1383"/>
      <c r="Y14" s="537">
        <v>178.20429999999999</v>
      </c>
      <c r="Z14" s="1383"/>
      <c r="AA14" s="538"/>
      <c r="AB14" s="539">
        <f t="shared" ref="AB14:AB24" si="3">SUM(W14,Y14)</f>
        <v>805.48329999999999</v>
      </c>
      <c r="AC14" s="1388"/>
      <c r="AD14" s="84"/>
      <c r="AE14" s="84"/>
      <c r="AF14" s="84"/>
    </row>
    <row r="15" spans="1:32" ht="15" customHeight="1" x14ac:dyDescent="0.2">
      <c r="A15" s="195" t="s">
        <v>317</v>
      </c>
      <c r="B15" s="505">
        <v>2452.09</v>
      </c>
      <c r="C15" s="1384"/>
      <c r="D15" s="521">
        <v>484.71559999999999</v>
      </c>
      <c r="E15" s="1384"/>
      <c r="F15" s="522"/>
      <c r="G15" s="540">
        <f t="shared" si="0"/>
        <v>2936.8056000000001</v>
      </c>
      <c r="H15" s="1389"/>
      <c r="I15" s="505">
        <v>3257.57</v>
      </c>
      <c r="J15" s="1384"/>
      <c r="K15" s="521">
        <v>698.5607</v>
      </c>
      <c r="L15" s="1384"/>
      <c r="M15" s="522"/>
      <c r="N15" s="540">
        <f t="shared" si="1"/>
        <v>3956.1307000000002</v>
      </c>
      <c r="O15" s="1389"/>
      <c r="P15" s="505">
        <v>1561.07</v>
      </c>
      <c r="Q15" s="1384"/>
      <c r="R15" s="521">
        <v>292.255</v>
      </c>
      <c r="S15" s="1384"/>
      <c r="T15" s="522"/>
      <c r="U15" s="540">
        <f t="shared" si="2"/>
        <v>1853.3249999999998</v>
      </c>
      <c r="V15" s="1389"/>
      <c r="W15" s="505">
        <v>1069.23</v>
      </c>
      <c r="X15" s="1384"/>
      <c r="Y15" s="521">
        <v>178.20429999999999</v>
      </c>
      <c r="Z15" s="1384"/>
      <c r="AA15" s="522"/>
      <c r="AB15" s="540">
        <f t="shared" si="3"/>
        <v>1247.4342999999999</v>
      </c>
      <c r="AC15" s="1389"/>
      <c r="AD15" s="84"/>
      <c r="AE15" s="84"/>
      <c r="AF15" s="84"/>
    </row>
    <row r="16" spans="1:32" ht="15" customHeight="1" x14ac:dyDescent="0.2">
      <c r="A16" s="195" t="s">
        <v>318</v>
      </c>
      <c r="B16" s="505">
        <v>4291.16</v>
      </c>
      <c r="C16" s="1384"/>
      <c r="D16" s="521">
        <v>4291.16</v>
      </c>
      <c r="E16" s="1384"/>
      <c r="F16" s="522"/>
      <c r="G16" s="540">
        <f t="shared" si="0"/>
        <v>8582.32</v>
      </c>
      <c r="H16" s="1389"/>
      <c r="I16" s="505">
        <v>1774.91</v>
      </c>
      <c r="J16" s="1384"/>
      <c r="K16" s="521">
        <v>413.43389999999999</v>
      </c>
      <c r="L16" s="1384"/>
      <c r="M16" s="522"/>
      <c r="N16" s="540">
        <f t="shared" si="1"/>
        <v>2188.3438999999998</v>
      </c>
      <c r="O16" s="1389"/>
      <c r="P16" s="505">
        <v>1026.46</v>
      </c>
      <c r="Q16" s="1384"/>
      <c r="R16" s="521">
        <v>206.71700000000001</v>
      </c>
      <c r="S16" s="1384"/>
      <c r="T16" s="522"/>
      <c r="U16" s="540">
        <f t="shared" si="2"/>
        <v>1233.1770000000001</v>
      </c>
      <c r="V16" s="1389"/>
      <c r="W16" s="505">
        <v>1247.43</v>
      </c>
      <c r="X16" s="1384"/>
      <c r="Y16" s="521">
        <v>228.10149999999999</v>
      </c>
      <c r="Z16" s="1384"/>
      <c r="AA16" s="522"/>
      <c r="AB16" s="540">
        <f t="shared" si="3"/>
        <v>1475.5315000000001</v>
      </c>
      <c r="AC16" s="1389"/>
      <c r="AD16" s="84"/>
      <c r="AE16" s="84"/>
      <c r="AF16" s="84"/>
    </row>
    <row r="17" spans="1:32" ht="15" customHeight="1" x14ac:dyDescent="0.2">
      <c r="A17" s="195" t="s">
        <v>949</v>
      </c>
      <c r="B17" s="505">
        <v>5431.67</v>
      </c>
      <c r="C17" s="1384"/>
      <c r="D17" s="521">
        <v>1040.71</v>
      </c>
      <c r="E17" s="1384"/>
      <c r="F17" s="522"/>
      <c r="G17" s="540">
        <f t="shared" si="0"/>
        <v>6472.38</v>
      </c>
      <c r="H17" s="1389"/>
      <c r="I17" s="505">
        <v>2031.53</v>
      </c>
      <c r="J17" s="1384"/>
      <c r="K17" s="521">
        <v>377.79309999999998</v>
      </c>
      <c r="L17" s="1384"/>
      <c r="M17" s="522"/>
      <c r="N17" s="540">
        <f t="shared" si="1"/>
        <v>2409.3231000000001</v>
      </c>
      <c r="O17" s="1389"/>
      <c r="P17" s="505">
        <v>577.3818</v>
      </c>
      <c r="Q17" s="1384"/>
      <c r="R17" s="521">
        <v>192.4606</v>
      </c>
      <c r="S17" s="1384"/>
      <c r="T17" s="522"/>
      <c r="U17" s="540">
        <f t="shared" si="2"/>
        <v>769.8424</v>
      </c>
      <c r="V17" s="1389"/>
      <c r="W17" s="505">
        <v>299.38319999999999</v>
      </c>
      <c r="X17" s="1384"/>
      <c r="Y17" s="521">
        <v>42.769030000000001</v>
      </c>
      <c r="Z17" s="1384"/>
      <c r="AA17" s="522"/>
      <c r="AB17" s="540">
        <f t="shared" si="3"/>
        <v>342.15222999999997</v>
      </c>
      <c r="AC17" s="1389"/>
      <c r="AD17" s="84"/>
      <c r="AE17" s="84"/>
      <c r="AF17" s="84"/>
    </row>
    <row r="18" spans="1:32" ht="15" customHeight="1" x14ac:dyDescent="0.2">
      <c r="A18" s="195" t="s">
        <v>319</v>
      </c>
      <c r="B18" s="505">
        <v>3599.73</v>
      </c>
      <c r="C18" s="1384"/>
      <c r="D18" s="495">
        <v>791.22699999999998</v>
      </c>
      <c r="E18" s="1384"/>
      <c r="F18" s="522"/>
      <c r="G18" s="540">
        <f t="shared" si="0"/>
        <v>4390.9570000000003</v>
      </c>
      <c r="H18" s="1389"/>
      <c r="I18" s="505">
        <v>3043.73</v>
      </c>
      <c r="J18" s="1384"/>
      <c r="K18" s="521">
        <v>491.84379999999999</v>
      </c>
      <c r="L18" s="1384"/>
      <c r="M18" s="522"/>
      <c r="N18" s="540">
        <f t="shared" si="1"/>
        <v>3535.5738000000001</v>
      </c>
      <c r="O18" s="1389"/>
      <c r="P18" s="505">
        <v>1154.76</v>
      </c>
      <c r="Q18" s="1384"/>
      <c r="R18" s="521">
        <v>256.61419999999998</v>
      </c>
      <c r="S18" s="1384"/>
      <c r="T18" s="522"/>
      <c r="U18" s="540">
        <f t="shared" si="2"/>
        <v>1411.3742</v>
      </c>
      <c r="V18" s="1389"/>
      <c r="W18" s="505">
        <v>541.74099999999999</v>
      </c>
      <c r="X18" s="1384"/>
      <c r="Y18" s="521">
        <v>114.05070000000001</v>
      </c>
      <c r="Z18" s="1384"/>
      <c r="AA18" s="522"/>
      <c r="AB18" s="540">
        <f t="shared" si="3"/>
        <v>655.79169999999999</v>
      </c>
      <c r="AC18" s="1389"/>
      <c r="AD18" s="84"/>
      <c r="AE18" s="84"/>
      <c r="AF18" s="84"/>
    </row>
    <row r="19" spans="1:32" ht="15" customHeight="1" x14ac:dyDescent="0.2">
      <c r="A19" s="195" t="s">
        <v>320</v>
      </c>
      <c r="B19" s="505">
        <v>3000.96</v>
      </c>
      <c r="C19" s="1384"/>
      <c r="D19" s="521">
        <v>449.07479999999998</v>
      </c>
      <c r="E19" s="1384"/>
      <c r="F19" s="522"/>
      <c r="G19" s="540">
        <f t="shared" si="0"/>
        <v>3450.0347999999999</v>
      </c>
      <c r="H19" s="1389"/>
      <c r="I19" s="505">
        <v>2972.45</v>
      </c>
      <c r="J19" s="1384"/>
      <c r="K19" s="521">
        <v>563.12549999999999</v>
      </c>
      <c r="L19" s="1384"/>
      <c r="M19" s="522"/>
      <c r="N19" s="540">
        <f t="shared" si="1"/>
        <v>3535.5754999999999</v>
      </c>
      <c r="O19" s="1389"/>
      <c r="P19" s="505">
        <v>1411.38</v>
      </c>
      <c r="Q19" s="1384"/>
      <c r="R19" s="521">
        <v>320.76769999999999</v>
      </c>
      <c r="S19" s="1384"/>
      <c r="T19" s="522"/>
      <c r="U19" s="540">
        <f t="shared" si="2"/>
        <v>1732.1477</v>
      </c>
      <c r="V19" s="1389"/>
      <c r="W19" s="505">
        <v>955.17489999999998</v>
      </c>
      <c r="X19" s="1384"/>
      <c r="Y19" s="521">
        <v>320.76769999999999</v>
      </c>
      <c r="Z19" s="1384"/>
      <c r="AA19" s="522"/>
      <c r="AB19" s="540">
        <f t="shared" si="3"/>
        <v>1275.9425999999999</v>
      </c>
      <c r="AC19" s="1389"/>
      <c r="AD19" s="84"/>
      <c r="AE19" s="84"/>
      <c r="AF19" s="84"/>
    </row>
    <row r="20" spans="1:32" ht="15" customHeight="1" x14ac:dyDescent="0.2">
      <c r="A20" s="195" t="s">
        <v>321</v>
      </c>
      <c r="B20" s="505">
        <v>5089.51</v>
      </c>
      <c r="C20" s="1384"/>
      <c r="D20" s="521">
        <v>677.17619999999999</v>
      </c>
      <c r="E20" s="1384"/>
      <c r="F20" s="522"/>
      <c r="G20" s="540">
        <f t="shared" si="0"/>
        <v>5766.6862000000001</v>
      </c>
      <c r="H20" s="1389"/>
      <c r="I20" s="505">
        <v>2109.94</v>
      </c>
      <c r="J20" s="1384"/>
      <c r="K20" s="521">
        <v>555.9973</v>
      </c>
      <c r="L20" s="1384"/>
      <c r="M20" s="522"/>
      <c r="N20" s="540">
        <f t="shared" si="1"/>
        <v>2665.9373000000001</v>
      </c>
      <c r="O20" s="1389"/>
      <c r="P20" s="505">
        <v>798.35509999999999</v>
      </c>
      <c r="Q20" s="1384"/>
      <c r="R20" s="521">
        <v>320.76769999999999</v>
      </c>
      <c r="S20" s="1384"/>
      <c r="T20" s="522"/>
      <c r="U20" s="540">
        <f t="shared" si="2"/>
        <v>1119.1228000000001</v>
      </c>
      <c r="V20" s="1389"/>
      <c r="W20" s="505">
        <v>342.15219999999999</v>
      </c>
      <c r="X20" s="1384"/>
      <c r="Y20" s="521">
        <v>99.794390000000007</v>
      </c>
      <c r="Z20" s="1384"/>
      <c r="AA20" s="522"/>
      <c r="AB20" s="540">
        <f t="shared" si="3"/>
        <v>441.94659000000001</v>
      </c>
      <c r="AC20" s="1389"/>
      <c r="AD20" s="84"/>
      <c r="AE20" s="84"/>
      <c r="AF20" s="84"/>
    </row>
    <row r="21" spans="1:32" ht="15" customHeight="1" x14ac:dyDescent="0.2">
      <c r="A21" s="195" t="s">
        <v>322</v>
      </c>
      <c r="B21" s="505">
        <v>4633.3100000000004</v>
      </c>
      <c r="C21" s="1384"/>
      <c r="D21" s="521">
        <v>769.84249999999997</v>
      </c>
      <c r="E21" s="1384"/>
      <c r="F21" s="522"/>
      <c r="G21" s="540">
        <f t="shared" si="0"/>
        <v>5403.1525000000001</v>
      </c>
      <c r="H21" s="1389"/>
      <c r="I21" s="505">
        <v>2879.78</v>
      </c>
      <c r="J21" s="1384"/>
      <c r="K21" s="521">
        <v>627.279</v>
      </c>
      <c r="L21" s="1384"/>
      <c r="M21" s="522"/>
      <c r="N21" s="540">
        <f t="shared" si="1"/>
        <v>3507.0590000000002</v>
      </c>
      <c r="O21" s="1389"/>
      <c r="P21" s="505">
        <v>605.89449999999999</v>
      </c>
      <c r="Q21" s="1384"/>
      <c r="R21" s="521">
        <v>156.81979999999999</v>
      </c>
      <c r="S21" s="1384"/>
      <c r="T21" s="522"/>
      <c r="U21" s="540">
        <f t="shared" si="2"/>
        <v>762.71429999999998</v>
      </c>
      <c r="V21" s="1389"/>
      <c r="W21" s="505">
        <v>220.97329999999999</v>
      </c>
      <c r="X21" s="1384"/>
      <c r="Y21" s="521">
        <v>99.794390000000007</v>
      </c>
      <c r="Z21" s="1384"/>
      <c r="AA21" s="522"/>
      <c r="AB21" s="540">
        <f t="shared" si="3"/>
        <v>320.76769000000002</v>
      </c>
      <c r="AC21" s="1389"/>
      <c r="AD21" s="84"/>
      <c r="AE21" s="84"/>
      <c r="AF21" s="84"/>
    </row>
    <row r="22" spans="1:32" ht="15" customHeight="1" x14ac:dyDescent="0.2">
      <c r="A22" s="195" t="s">
        <v>323</v>
      </c>
      <c r="B22" s="505">
        <v>5210.6899999999996</v>
      </c>
      <c r="C22" s="1384"/>
      <c r="D22" s="521">
        <v>841.12419999999997</v>
      </c>
      <c r="E22" s="1384"/>
      <c r="F22" s="522"/>
      <c r="G22" s="540">
        <f t="shared" si="0"/>
        <v>6051.8141999999998</v>
      </c>
      <c r="H22" s="1389"/>
      <c r="I22" s="505">
        <v>2166.96</v>
      </c>
      <c r="J22" s="1384"/>
      <c r="K22" s="521">
        <v>484.71559999999999</v>
      </c>
      <c r="L22" s="1384"/>
      <c r="M22" s="522"/>
      <c r="N22" s="540">
        <f t="shared" si="1"/>
        <v>2651.6756</v>
      </c>
      <c r="O22" s="1389"/>
      <c r="P22" s="505">
        <v>705.68889999999999</v>
      </c>
      <c r="Q22" s="1384"/>
      <c r="R22" s="521">
        <v>235.2296</v>
      </c>
      <c r="S22" s="1384"/>
      <c r="T22" s="522"/>
      <c r="U22" s="540">
        <f t="shared" si="2"/>
        <v>940.91849999999999</v>
      </c>
      <c r="V22" s="1389"/>
      <c r="W22" s="505">
        <v>256.61419999999998</v>
      </c>
      <c r="X22" s="1384"/>
      <c r="Y22" s="521">
        <v>92.666219999999996</v>
      </c>
      <c r="Z22" s="1384"/>
      <c r="AA22" s="522"/>
      <c r="AB22" s="540">
        <f t="shared" si="3"/>
        <v>349.28041999999999</v>
      </c>
      <c r="AC22" s="1389"/>
      <c r="AD22" s="84"/>
      <c r="AE22" s="84"/>
      <c r="AF22" s="84"/>
    </row>
    <row r="23" spans="1:32" ht="15" customHeight="1" x14ac:dyDescent="0.2">
      <c r="A23" s="195" t="s">
        <v>324</v>
      </c>
      <c r="B23" s="505">
        <v>5139.41</v>
      </c>
      <c r="C23" s="1384"/>
      <c r="D23" s="521">
        <v>940.91859999999997</v>
      </c>
      <c r="E23" s="1384"/>
      <c r="F23" s="522"/>
      <c r="G23" s="540">
        <f t="shared" si="0"/>
        <v>6080.3285999999998</v>
      </c>
      <c r="H23" s="1389"/>
      <c r="I23" s="505">
        <v>2423.58</v>
      </c>
      <c r="J23" s="1384"/>
      <c r="K23" s="521">
        <v>463.33109999999999</v>
      </c>
      <c r="L23" s="1384"/>
      <c r="M23" s="522"/>
      <c r="N23" s="540">
        <f t="shared" si="1"/>
        <v>2886.9110999999998</v>
      </c>
      <c r="O23" s="1389"/>
      <c r="P23" s="505">
        <v>563.12549999999999</v>
      </c>
      <c r="Q23" s="1384"/>
      <c r="R23" s="521">
        <v>171.0761</v>
      </c>
      <c r="S23" s="1384"/>
      <c r="T23" s="522"/>
      <c r="U23" s="540">
        <f t="shared" si="2"/>
        <v>734.20159999999998</v>
      </c>
      <c r="V23" s="1389"/>
      <c r="W23" s="505">
        <v>213.8451</v>
      </c>
      <c r="X23" s="1384"/>
      <c r="Y23" s="521">
        <v>78.409880000000001</v>
      </c>
      <c r="Z23" s="1384"/>
      <c r="AA23" s="522"/>
      <c r="AB23" s="540">
        <f t="shared" si="3"/>
        <v>292.25497999999999</v>
      </c>
      <c r="AC23" s="1389"/>
      <c r="AD23" s="84"/>
      <c r="AE23" s="84"/>
      <c r="AF23" s="84"/>
    </row>
    <row r="24" spans="1:32" ht="15" customHeight="1" x14ac:dyDescent="0.2">
      <c r="A24" s="196" t="s">
        <v>325</v>
      </c>
      <c r="B24" s="506">
        <v>4184.24</v>
      </c>
      <c r="C24" s="1385"/>
      <c r="D24" s="541">
        <v>819.73969999999997</v>
      </c>
      <c r="E24" s="1385"/>
      <c r="F24" s="542"/>
      <c r="G24" s="1123">
        <f t="shared" si="0"/>
        <v>5003.9796999999999</v>
      </c>
      <c r="H24" s="1390"/>
      <c r="I24" s="506">
        <v>2972.45</v>
      </c>
      <c r="J24" s="1385"/>
      <c r="K24" s="541">
        <v>527.4846</v>
      </c>
      <c r="L24" s="1385"/>
      <c r="M24" s="542"/>
      <c r="N24" s="1123">
        <f t="shared" si="1"/>
        <v>3499.9345999999996</v>
      </c>
      <c r="O24" s="1390"/>
      <c r="P24" s="506">
        <v>826.86779999999999</v>
      </c>
      <c r="Q24" s="1385"/>
      <c r="R24" s="541">
        <v>235.2296</v>
      </c>
      <c r="S24" s="1385"/>
      <c r="T24" s="542"/>
      <c r="U24" s="1123">
        <f t="shared" si="2"/>
        <v>1062.0974000000001</v>
      </c>
      <c r="V24" s="1390"/>
      <c r="W24" s="506">
        <v>356.4085</v>
      </c>
      <c r="X24" s="1385"/>
      <c r="Y24" s="1629">
        <v>71.281710000000004</v>
      </c>
      <c r="Z24" s="1385"/>
      <c r="AA24" s="542"/>
      <c r="AB24" s="1123">
        <f t="shared" si="3"/>
        <v>427.69020999999998</v>
      </c>
      <c r="AC24" s="1390"/>
      <c r="AD24" s="84"/>
      <c r="AE24" s="84"/>
      <c r="AF24" s="84"/>
    </row>
    <row r="25" spans="1:32" ht="15" customHeight="1" x14ac:dyDescent="0.2">
      <c r="A25" s="197"/>
      <c r="B25" s="198"/>
      <c r="C25" s="198"/>
      <c r="D25" s="198"/>
      <c r="E25" s="198"/>
      <c r="F25" s="198"/>
      <c r="G25" s="198"/>
      <c r="H25" s="198"/>
      <c r="I25" s="198"/>
      <c r="J25" s="198"/>
      <c r="K25" s="198"/>
      <c r="L25" s="198"/>
      <c r="M25" s="198"/>
      <c r="N25" s="198"/>
      <c r="O25" s="198"/>
      <c r="P25" s="198"/>
      <c r="Q25" s="198"/>
      <c r="R25" s="198"/>
      <c r="S25" s="198"/>
      <c r="T25" s="198"/>
      <c r="U25" s="198"/>
      <c r="V25" s="198"/>
      <c r="W25" s="198"/>
      <c r="X25" s="198"/>
      <c r="Y25" s="198"/>
      <c r="Z25" s="198"/>
      <c r="AA25" s="198"/>
      <c r="AB25" s="198"/>
      <c r="AC25" s="198"/>
      <c r="AD25" s="84"/>
      <c r="AE25" s="84"/>
      <c r="AF25" s="84"/>
    </row>
    <row r="26" spans="1:32" ht="15" customHeight="1" x14ac:dyDescent="0.2">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row>
    <row r="27" spans="1:32" ht="15" customHeight="1" x14ac:dyDescent="0.2">
      <c r="A27" s="89" t="s">
        <v>32</v>
      </c>
      <c r="B27" s="56"/>
      <c r="C27" s="56"/>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84"/>
      <c r="AE27" s="84"/>
      <c r="AF27" s="84"/>
    </row>
    <row r="28" spans="1:32" ht="15" customHeight="1" x14ac:dyDescent="0.2">
      <c r="A28" s="84"/>
      <c r="B28" s="58"/>
      <c r="C28" s="58"/>
      <c r="D28" s="59"/>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84"/>
      <c r="AE28" s="84"/>
      <c r="AF28" s="84"/>
    </row>
    <row r="29" spans="1:32" ht="15" customHeight="1" x14ac:dyDescent="0.2">
      <c r="A29" s="84"/>
      <c r="B29" s="58"/>
      <c r="C29" s="58"/>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84"/>
      <c r="AE29" s="84"/>
      <c r="AF29" s="84"/>
    </row>
    <row r="30" spans="1:32" ht="15" customHeight="1" x14ac:dyDescent="0.2">
      <c r="A30" s="84"/>
      <c r="B30" s="58"/>
      <c r="C30" s="58"/>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84"/>
      <c r="AE30" s="84"/>
      <c r="AF30" s="84"/>
    </row>
    <row r="31" spans="1:32" ht="15" customHeight="1" x14ac:dyDescent="0.2">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row>
    <row r="32" spans="1:32" ht="15" customHeight="1" x14ac:dyDescent="0.2">
      <c r="A32" s="89" t="s">
        <v>33</v>
      </c>
      <c r="B32" s="56"/>
      <c r="C32" s="56"/>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84"/>
      <c r="AE32" s="84"/>
      <c r="AF32" s="84"/>
    </row>
    <row r="33" spans="1:32" ht="15" customHeight="1" x14ac:dyDescent="0.2">
      <c r="A33" s="89"/>
      <c r="B33" s="58"/>
      <c r="C33" s="58"/>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84"/>
      <c r="AE33" s="84"/>
      <c r="AF33" s="84"/>
    </row>
    <row r="34" spans="1:32" ht="15" customHeight="1" x14ac:dyDescent="0.2">
      <c r="A34" s="84"/>
      <c r="B34" s="58"/>
      <c r="C34" s="58"/>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84"/>
      <c r="AE34" s="84"/>
      <c r="AF34" s="84"/>
    </row>
    <row r="35" spans="1:32" ht="15" customHeight="1" x14ac:dyDescent="0.2">
      <c r="A35" s="84"/>
      <c r="B35" s="58"/>
      <c r="C35" s="58"/>
      <c r="D35" s="5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84"/>
      <c r="AE35" s="84"/>
      <c r="AF35" s="84"/>
    </row>
    <row r="36" spans="1:32" ht="15" customHeight="1" x14ac:dyDescent="0.2">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row>
    <row r="37" spans="1:32" ht="12.75" x14ac:dyDescent="0.2">
      <c r="A37" s="89" t="s">
        <v>670</v>
      </c>
      <c r="B37" s="84"/>
      <c r="C37" s="84"/>
      <c r="D37" s="84"/>
      <c r="E37" s="84"/>
      <c r="F37" s="84"/>
      <c r="G37" s="84"/>
      <c r="H37" s="84"/>
      <c r="I37" s="84"/>
      <c r="J37" s="84"/>
      <c r="K37" s="84"/>
      <c r="L37" s="84"/>
      <c r="M37" s="84"/>
      <c r="N37" s="84"/>
      <c r="O37" s="84"/>
      <c r="P37" s="84"/>
      <c r="Q37" s="84"/>
      <c r="R37" s="84"/>
      <c r="S37" s="84"/>
      <c r="T37" s="84"/>
      <c r="U37" s="84"/>
      <c r="V37" s="84"/>
      <c r="W37" s="84"/>
      <c r="X37" s="84"/>
      <c r="Y37" s="617"/>
      <c r="Z37" s="617"/>
      <c r="AA37" s="617"/>
      <c r="AB37" s="617"/>
      <c r="AC37" s="617"/>
      <c r="AD37" s="617"/>
      <c r="AE37" s="617"/>
      <c r="AF37" s="617"/>
    </row>
    <row r="38" spans="1:32" ht="12.75" x14ac:dyDescent="0.2">
      <c r="A38" s="616"/>
      <c r="B38" s="548"/>
      <c r="C38" s="84"/>
      <c r="D38" s="84"/>
      <c r="E38" s="84"/>
      <c r="F38" s="84"/>
      <c r="G38" s="84"/>
      <c r="H38" s="84"/>
      <c r="I38" s="84"/>
      <c r="J38" s="84"/>
      <c r="K38" s="84"/>
      <c r="L38" s="84"/>
      <c r="M38" s="84"/>
      <c r="N38" s="84"/>
      <c r="O38" s="84"/>
      <c r="P38" s="84"/>
      <c r="Q38" s="84"/>
      <c r="R38" s="84"/>
      <c r="S38" s="84"/>
      <c r="T38" s="84"/>
      <c r="U38" s="84"/>
      <c r="V38" s="84"/>
      <c r="W38" s="84"/>
      <c r="X38" s="84"/>
      <c r="Y38" s="617"/>
      <c r="Z38" s="617"/>
      <c r="AA38" s="617"/>
      <c r="AB38" s="617"/>
      <c r="AC38" s="617"/>
      <c r="AD38" s="617"/>
      <c r="AE38" s="617"/>
      <c r="AF38" s="617"/>
    </row>
    <row r="39" spans="1:32" ht="12.75" x14ac:dyDescent="0.2">
      <c r="A39" s="84"/>
      <c r="B39" s="549"/>
      <c r="C39" s="84"/>
      <c r="D39" s="84"/>
      <c r="E39" s="84"/>
      <c r="F39" s="84"/>
      <c r="G39" s="84"/>
      <c r="H39" s="84"/>
      <c r="I39" s="84"/>
      <c r="J39" s="84"/>
      <c r="K39" s="84"/>
      <c r="L39" s="84"/>
      <c r="M39" s="84"/>
      <c r="N39" s="84"/>
      <c r="O39" s="84"/>
      <c r="P39" s="84"/>
      <c r="Q39" s="84"/>
      <c r="R39" s="84"/>
      <c r="S39" s="84"/>
      <c r="T39" s="84"/>
      <c r="U39" s="84"/>
      <c r="V39" s="84"/>
      <c r="W39" s="84"/>
      <c r="X39" s="84"/>
      <c r="Y39" s="617"/>
      <c r="Z39" s="617"/>
      <c r="AA39" s="617"/>
      <c r="AB39" s="617"/>
      <c r="AC39" s="617"/>
      <c r="AD39" s="617"/>
      <c r="AE39" s="617"/>
      <c r="AF39" s="617"/>
    </row>
    <row r="40" spans="1:32" ht="12.75" x14ac:dyDescent="0.2">
      <c r="A40" s="84"/>
      <c r="B40" s="549"/>
      <c r="C40" s="84"/>
      <c r="D40" s="84"/>
      <c r="E40" s="84"/>
      <c r="F40" s="84"/>
      <c r="G40" s="84"/>
      <c r="H40" s="84"/>
      <c r="I40" s="84"/>
      <c r="J40" s="84"/>
      <c r="K40" s="84"/>
      <c r="L40" s="84"/>
      <c r="M40" s="84"/>
      <c r="N40" s="84"/>
      <c r="O40" s="84"/>
      <c r="P40" s="84"/>
      <c r="Q40" s="84"/>
      <c r="R40" s="84"/>
      <c r="S40" s="84"/>
      <c r="T40" s="84"/>
      <c r="U40" s="84"/>
      <c r="V40" s="84"/>
      <c r="W40" s="84"/>
      <c r="X40" s="84"/>
      <c r="Y40" s="617"/>
      <c r="Z40" s="617"/>
      <c r="AA40" s="617"/>
      <c r="AB40" s="617"/>
      <c r="AC40" s="617"/>
      <c r="AD40" s="617"/>
      <c r="AE40" s="617"/>
      <c r="AF40" s="617"/>
    </row>
    <row r="41" spans="1:32" ht="12.75" x14ac:dyDescent="0.2">
      <c r="A41" s="84"/>
      <c r="B41" s="549"/>
      <c r="C41" s="84"/>
      <c r="D41" s="84"/>
      <c r="E41" s="84"/>
      <c r="F41" s="84"/>
      <c r="G41" s="84"/>
      <c r="H41" s="84"/>
      <c r="I41" s="84"/>
      <c r="J41" s="84"/>
      <c r="K41" s="84"/>
      <c r="L41" s="84"/>
      <c r="M41" s="84"/>
      <c r="N41" s="84"/>
      <c r="O41" s="84"/>
      <c r="P41" s="84"/>
      <c r="Q41" s="84"/>
      <c r="R41" s="84"/>
      <c r="S41" s="84"/>
      <c r="T41" s="84"/>
      <c r="U41" s="84"/>
      <c r="V41" s="84"/>
      <c r="W41" s="84"/>
      <c r="X41" s="84"/>
      <c r="Y41" s="617"/>
      <c r="Z41" s="617"/>
      <c r="AA41" s="617"/>
      <c r="AB41" s="617"/>
      <c r="AC41" s="617"/>
      <c r="AD41" s="617"/>
      <c r="AE41" s="617"/>
      <c r="AF41" s="617"/>
    </row>
    <row r="42" spans="1:32" ht="15" customHeight="1" x14ac:dyDescent="0.2">
      <c r="A42" s="84"/>
      <c r="B42" s="84"/>
      <c r="C42" s="84"/>
      <c r="D42" s="84"/>
      <c r="E42" s="84"/>
      <c r="F42" s="84"/>
      <c r="G42" s="84"/>
      <c r="H42" s="84"/>
      <c r="I42" s="84"/>
      <c r="J42" s="84"/>
      <c r="K42" s="84"/>
      <c r="L42" s="84"/>
      <c r="M42" s="84"/>
      <c r="N42" s="84"/>
      <c r="O42" s="84"/>
      <c r="P42" s="84"/>
      <c r="Q42" s="84"/>
      <c r="R42" s="84"/>
      <c r="S42" s="84"/>
      <c r="T42" s="84"/>
      <c r="U42" s="84"/>
      <c r="V42" s="84"/>
      <c r="W42" s="84"/>
      <c r="X42" s="84"/>
      <c r="Y42" s="617"/>
      <c r="Z42" s="617"/>
      <c r="AA42" s="617"/>
      <c r="AB42" s="617"/>
      <c r="AC42" s="617"/>
      <c r="AD42" s="617"/>
      <c r="AE42" s="617"/>
      <c r="AF42" s="617"/>
    </row>
  </sheetData>
  <sheetProtection password="CD9E" sheet="1" objects="1" scenarios="1" selectLockedCells="1"/>
  <mergeCells count="12">
    <mergeCell ref="AB12:AC12"/>
    <mergeCell ref="B12:C12"/>
    <mergeCell ref="D12:E12"/>
    <mergeCell ref="G12:H12"/>
    <mergeCell ref="I12:J12"/>
    <mergeCell ref="K12:L12"/>
    <mergeCell ref="N12:O12"/>
    <mergeCell ref="P12:Q12"/>
    <mergeCell ref="R12:S12"/>
    <mergeCell ref="U12:V12"/>
    <mergeCell ref="W12:X12"/>
    <mergeCell ref="Y12:Z12"/>
  </mergeCells>
  <dataValidations disablePrompts="1" count="1">
    <dataValidation type="list" allowBlank="1" showInputMessage="1" showErrorMessage="1" sqref="B38:B41">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55118110236220474" right="0.55118110236220474" top="0.98425196850393704" bottom="0.98425196850393704" header="0.51181102362204722" footer="0.51181102362204722"/>
  <pageSetup paperSize="9" scale="73" orientation="landscape" r:id="rId1"/>
  <headerFooter alignWithMargins="0">
    <oddHeader>&amp;LCDH&amp;C &amp;F&amp;R&amp;A</oddHeader>
    <oddFooter>Page &amp;P of &amp;N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indexed="41"/>
  </sheetPr>
  <dimension ref="A1:J35"/>
  <sheetViews>
    <sheetView showGridLines="0" zoomScale="90" zoomScaleNormal="90" workbookViewId="0">
      <selection activeCell="E22" sqref="E22"/>
    </sheetView>
  </sheetViews>
  <sheetFormatPr baseColWidth="10" defaultColWidth="9.140625" defaultRowHeight="15" customHeight="1" x14ac:dyDescent="0.2"/>
  <cols>
    <col min="1" max="1" width="30.28515625" style="144" customWidth="1"/>
    <col min="2" max="2" width="27.7109375" style="144" customWidth="1"/>
    <col min="3" max="3" width="6.7109375" style="144" customWidth="1"/>
    <col min="4" max="4" width="26.28515625" style="144" customWidth="1"/>
    <col min="5" max="5" width="6.7109375" style="144" customWidth="1"/>
    <col min="6" max="7" width="21" style="144" customWidth="1"/>
    <col min="8" max="8" width="6.7109375" style="144" customWidth="1"/>
    <col min="9" max="9" width="13.28515625" style="144" customWidth="1"/>
    <col min="10" max="16384" width="9.140625" style="144"/>
  </cols>
  <sheetData>
    <row r="1" spans="1:10" s="679" customFormat="1" ht="12" customHeight="1" x14ac:dyDescent="0.2">
      <c r="A1" s="26" t="s">
        <v>6</v>
      </c>
    </row>
    <row r="2" spans="1:10" s="679" customFormat="1" ht="12" customHeight="1" x14ac:dyDescent="0.2">
      <c r="A2" s="28" t="s">
        <v>10</v>
      </c>
    </row>
    <row r="3" spans="1:10" s="679" customFormat="1" ht="12" customHeight="1" x14ac:dyDescent="0.2">
      <c r="A3" s="28" t="s">
        <v>7</v>
      </c>
    </row>
    <row r="4" spans="1:10" ht="15" customHeight="1" x14ac:dyDescent="0.2">
      <c r="A4" s="162"/>
      <c r="B4" s="870" t="s">
        <v>742</v>
      </c>
      <c r="C4" s="870"/>
      <c r="D4" s="870"/>
      <c r="E4" s="870"/>
      <c r="F4" s="162"/>
      <c r="G4" s="162"/>
      <c r="H4" s="162"/>
      <c r="I4" s="162"/>
      <c r="J4" s="162"/>
    </row>
    <row r="6" spans="1:10" ht="15" customHeight="1" x14ac:dyDescent="0.2">
      <c r="A6" s="162"/>
      <c r="B6" s="162"/>
      <c r="C6" s="162"/>
      <c r="D6" s="162"/>
      <c r="E6" s="162"/>
      <c r="F6" s="162"/>
      <c r="G6" s="162"/>
      <c r="H6" s="162"/>
      <c r="I6" s="162"/>
      <c r="J6" s="162"/>
    </row>
    <row r="7" spans="1:10" ht="15" customHeight="1" x14ac:dyDescent="0.25">
      <c r="A7" s="869" t="s">
        <v>755</v>
      </c>
      <c r="B7" s="162"/>
      <c r="C7" s="162"/>
      <c r="D7" s="162"/>
      <c r="E7" s="162"/>
      <c r="F7" s="162"/>
      <c r="G7" s="162"/>
      <c r="H7" s="162"/>
      <c r="I7" s="162"/>
      <c r="J7" s="162"/>
    </row>
    <row r="8" spans="1:10" ht="15" customHeight="1" x14ac:dyDescent="0.2">
      <c r="A8" s="868" t="s">
        <v>21</v>
      </c>
      <c r="B8" s="162"/>
      <c r="C8" s="162"/>
      <c r="D8" s="162"/>
      <c r="E8" s="162"/>
      <c r="F8" s="162"/>
      <c r="G8" s="162"/>
      <c r="H8" s="162"/>
      <c r="I8" s="162"/>
      <c r="J8" s="162"/>
    </row>
    <row r="9" spans="1:10" ht="15" customHeight="1" x14ac:dyDescent="0.2">
      <c r="A9" s="162"/>
      <c r="B9" s="867" t="s">
        <v>34</v>
      </c>
      <c r="C9" s="867"/>
      <c r="D9" s="763">
        <v>2014</v>
      </c>
      <c r="E9" s="162"/>
      <c r="F9" s="162"/>
      <c r="G9" s="162"/>
      <c r="H9" s="162"/>
      <c r="I9" s="162"/>
      <c r="J9" s="162"/>
    </row>
    <row r="10" spans="1:10" ht="15" customHeight="1" x14ac:dyDescent="0.2">
      <c r="A10" s="866"/>
      <c r="B10" s="162"/>
      <c r="C10" s="162"/>
      <c r="D10" s="162"/>
      <c r="E10" s="162"/>
      <c r="F10" s="162"/>
      <c r="G10" s="162"/>
      <c r="H10" s="162"/>
      <c r="I10" s="162"/>
      <c r="J10" s="162"/>
    </row>
    <row r="11" spans="1:10" ht="21" customHeight="1" x14ac:dyDescent="0.2">
      <c r="A11" s="877"/>
      <c r="B11" s="881" t="s">
        <v>750</v>
      </c>
      <c r="C11" s="871"/>
      <c r="D11" s="882"/>
      <c r="E11" s="882"/>
      <c r="F11" s="882"/>
      <c r="G11" s="882"/>
      <c r="H11" s="883"/>
      <c r="I11" s="162"/>
      <c r="J11" s="162"/>
    </row>
    <row r="12" spans="1:10" ht="30" customHeight="1" x14ac:dyDescent="0.2">
      <c r="A12" s="877"/>
      <c r="B12" s="1813" t="s">
        <v>754</v>
      </c>
      <c r="C12" s="1814"/>
      <c r="D12" s="1817" t="s">
        <v>751</v>
      </c>
      <c r="E12" s="1817"/>
      <c r="F12" s="885" t="s">
        <v>749</v>
      </c>
      <c r="G12" s="1818" t="s">
        <v>753</v>
      </c>
      <c r="H12" s="1819"/>
      <c r="I12" s="162"/>
      <c r="J12" s="162"/>
    </row>
    <row r="13" spans="1:10" ht="33" customHeight="1" x14ac:dyDescent="0.2">
      <c r="A13" s="865"/>
      <c r="B13" s="1815" t="str">
        <f>"(having returned to or arrived "&amp;Cntry!D8&amp;" in the last 10 years)"</f>
        <v>(having returned to or arrived Chile  in the last 10 years)</v>
      </c>
      <c r="C13" s="1816"/>
      <c r="D13" s="1816" t="s">
        <v>752</v>
      </c>
      <c r="E13" s="1816"/>
      <c r="F13" s="884"/>
      <c r="G13" s="875"/>
      <c r="H13" s="876"/>
      <c r="I13" s="162"/>
      <c r="J13" s="162"/>
    </row>
    <row r="14" spans="1:10" s="838" customFormat="1" ht="18" customHeight="1" x14ac:dyDescent="0.2">
      <c r="A14" s="878" t="s">
        <v>748</v>
      </c>
      <c r="B14" s="956">
        <f>SUM(B15:B16)</f>
        <v>7634.2710280400997</v>
      </c>
      <c r="C14" s="956"/>
      <c r="D14" s="957">
        <f>SUM(D15:D16)</f>
        <v>2951.0627503322999</v>
      </c>
      <c r="E14" s="1391"/>
      <c r="F14" s="958"/>
      <c r="G14" s="1395">
        <f>SUM(G15:G17)</f>
        <v>10592.46194926693</v>
      </c>
      <c r="H14" s="1535"/>
      <c r="I14" s="874"/>
      <c r="J14" s="874"/>
    </row>
    <row r="15" spans="1:10" ht="15" customHeight="1" x14ac:dyDescent="0.2">
      <c r="A15" s="879" t="s">
        <v>741</v>
      </c>
      <c r="B15" s="959">
        <f>6736.12149533+256.614152203</f>
        <v>6992.7356475329998</v>
      </c>
      <c r="C15" s="959"/>
      <c r="D15" s="960">
        <f>2616.03871829+71.2817089453</f>
        <v>2687.3204272353</v>
      </c>
      <c r="E15" s="1392"/>
      <c r="F15" s="961"/>
      <c r="G15" s="1396">
        <f t="shared" ref="G15:G16" si="0">SUM(D15,B15)</f>
        <v>9680.0560747682994</v>
      </c>
      <c r="H15" s="1536"/>
      <c r="I15" s="162"/>
      <c r="J15" s="162"/>
    </row>
    <row r="16" spans="1:10" ht="15" customHeight="1" x14ac:dyDescent="0.2">
      <c r="A16" s="879" t="s">
        <v>50</v>
      </c>
      <c r="B16" s="962">
        <f>613.022696929+28.5126835781</f>
        <v>641.53538050709994</v>
      </c>
      <c r="C16" s="962"/>
      <c r="D16" s="963">
        <v>263.742323097</v>
      </c>
      <c r="E16" s="1393"/>
      <c r="F16" s="964"/>
      <c r="G16" s="1397">
        <f t="shared" si="0"/>
        <v>905.2777036041</v>
      </c>
      <c r="H16" s="1537"/>
      <c r="I16" s="162"/>
      <c r="J16" s="162"/>
    </row>
    <row r="17" spans="1:10" ht="15" customHeight="1" x14ac:dyDescent="0.2">
      <c r="A17" s="880" t="s">
        <v>277</v>
      </c>
      <c r="B17" s="965">
        <v>0</v>
      </c>
      <c r="C17" s="965"/>
      <c r="D17" s="966">
        <v>7.1281708945300002</v>
      </c>
      <c r="E17" s="1394"/>
      <c r="F17" s="967"/>
      <c r="G17" s="1398">
        <v>7.1281708945300002</v>
      </c>
      <c r="H17" s="1538"/>
      <c r="I17" s="162"/>
      <c r="J17" s="162"/>
    </row>
    <row r="18" spans="1:10" ht="15" customHeight="1" x14ac:dyDescent="0.2">
      <c r="A18" s="887" t="s">
        <v>756</v>
      </c>
      <c r="B18" s="886"/>
      <c r="C18" s="886"/>
      <c r="D18" s="886"/>
      <c r="E18" s="886"/>
      <c r="F18" s="886"/>
      <c r="G18" s="886"/>
      <c r="H18" s="886"/>
      <c r="I18" s="886"/>
      <c r="J18" s="162"/>
    </row>
    <row r="19" spans="1:10" ht="15" customHeight="1" x14ac:dyDescent="0.2">
      <c r="A19" s="162"/>
      <c r="B19" s="162"/>
      <c r="C19" s="162"/>
      <c r="D19" s="162"/>
      <c r="E19" s="162"/>
      <c r="F19" s="162"/>
      <c r="G19" s="162"/>
      <c r="H19" s="162"/>
      <c r="I19" s="162"/>
      <c r="J19" s="162"/>
    </row>
    <row r="20" spans="1:10" ht="15" customHeight="1" x14ac:dyDescent="0.2">
      <c r="A20" s="864" t="s">
        <v>32</v>
      </c>
      <c r="B20" s="751"/>
      <c r="C20" s="751"/>
      <c r="D20" s="752"/>
      <c r="E20" s="752"/>
      <c r="F20" s="752"/>
      <c r="G20" s="752"/>
      <c r="H20" s="752"/>
      <c r="I20" s="162"/>
      <c r="J20" s="162"/>
    </row>
    <row r="21" spans="1:10" ht="15" customHeight="1" x14ac:dyDescent="0.2">
      <c r="A21" s="162"/>
      <c r="B21" s="753"/>
      <c r="C21" s="753"/>
      <c r="D21" s="754"/>
      <c r="E21" s="754"/>
      <c r="F21" s="754"/>
      <c r="G21" s="754"/>
      <c r="H21" s="754"/>
      <c r="I21" s="162"/>
      <c r="J21" s="162"/>
    </row>
    <row r="22" spans="1:10" ht="15" customHeight="1" x14ac:dyDescent="0.2">
      <c r="A22" s="162"/>
      <c r="B22" s="753"/>
      <c r="C22" s="753"/>
      <c r="D22" s="754"/>
      <c r="E22" s="754"/>
      <c r="F22" s="754"/>
      <c r="G22" s="754"/>
      <c r="H22" s="754"/>
      <c r="I22" s="162"/>
      <c r="J22" s="162"/>
    </row>
    <row r="23" spans="1:10" ht="15" customHeight="1" x14ac:dyDescent="0.2">
      <c r="A23" s="162"/>
      <c r="B23" s="753"/>
      <c r="C23" s="753"/>
      <c r="D23" s="754"/>
      <c r="E23" s="754"/>
      <c r="F23" s="754"/>
      <c r="G23" s="754"/>
      <c r="H23" s="754"/>
      <c r="I23" s="162"/>
      <c r="J23" s="162"/>
    </row>
    <row r="24" spans="1:10" ht="15" customHeight="1" x14ac:dyDescent="0.2">
      <c r="A24" s="162"/>
      <c r="B24" s="162"/>
      <c r="C24" s="162"/>
      <c r="D24" s="162"/>
      <c r="E24" s="162"/>
      <c r="F24" s="162"/>
      <c r="G24" s="162"/>
      <c r="H24" s="162"/>
      <c r="I24" s="162"/>
      <c r="J24" s="162"/>
    </row>
    <row r="25" spans="1:10" ht="15" customHeight="1" x14ac:dyDescent="0.2">
      <c r="A25" s="864" t="s">
        <v>33</v>
      </c>
      <c r="B25" s="751"/>
      <c r="C25" s="751"/>
      <c r="D25" s="752"/>
      <c r="E25" s="752"/>
      <c r="F25" s="752"/>
      <c r="G25" s="752"/>
      <c r="H25" s="752"/>
      <c r="I25" s="162"/>
      <c r="J25" s="162"/>
    </row>
    <row r="26" spans="1:10" ht="15" customHeight="1" x14ac:dyDescent="0.2">
      <c r="A26" s="864"/>
      <c r="B26" s="753"/>
      <c r="C26" s="753"/>
      <c r="D26" s="754"/>
      <c r="E26" s="754"/>
      <c r="F26" s="754"/>
      <c r="G26" s="754"/>
      <c r="H26" s="754"/>
      <c r="I26" s="162"/>
      <c r="J26" s="162"/>
    </row>
    <row r="27" spans="1:10" ht="15" customHeight="1" x14ac:dyDescent="0.2">
      <c r="A27" s="162"/>
      <c r="B27" s="753"/>
      <c r="C27" s="753"/>
      <c r="D27" s="754"/>
      <c r="E27" s="754"/>
      <c r="F27" s="754"/>
      <c r="G27" s="754"/>
      <c r="H27" s="754"/>
      <c r="I27" s="162"/>
      <c r="J27" s="162"/>
    </row>
    <row r="28" spans="1:10" ht="15" customHeight="1" x14ac:dyDescent="0.2">
      <c r="A28" s="162"/>
      <c r="B28" s="753"/>
      <c r="C28" s="753"/>
      <c r="D28" s="754"/>
      <c r="E28" s="754"/>
      <c r="F28" s="754"/>
      <c r="G28" s="754"/>
      <c r="H28" s="754"/>
      <c r="I28" s="162"/>
      <c r="J28" s="162"/>
    </row>
    <row r="29" spans="1:10" ht="15" customHeight="1" x14ac:dyDescent="0.2">
      <c r="A29" s="860"/>
      <c r="B29" s="860"/>
      <c r="C29" s="860"/>
      <c r="D29" s="860"/>
      <c r="E29" s="860"/>
      <c r="F29" s="162"/>
      <c r="G29" s="162"/>
      <c r="H29" s="162"/>
      <c r="I29" s="162"/>
      <c r="J29" s="162"/>
    </row>
    <row r="30" spans="1:10" ht="15" customHeight="1" x14ac:dyDescent="0.2">
      <c r="A30" s="863" t="s">
        <v>670</v>
      </c>
      <c r="B30" s="860"/>
      <c r="C30" s="860"/>
      <c r="D30" s="860"/>
      <c r="E30" s="860"/>
      <c r="F30" s="162"/>
      <c r="G30" s="162"/>
      <c r="H30" s="162"/>
      <c r="I30" s="162"/>
      <c r="J30" s="162"/>
    </row>
    <row r="31" spans="1:10" ht="15" customHeight="1" x14ac:dyDescent="0.2">
      <c r="A31" s="862"/>
      <c r="B31" s="861"/>
      <c r="C31" s="860"/>
      <c r="D31" s="860"/>
      <c r="E31" s="860"/>
      <c r="F31" s="162"/>
      <c r="G31" s="162"/>
      <c r="H31" s="162"/>
      <c r="I31" s="162"/>
      <c r="J31" s="162"/>
    </row>
    <row r="32" spans="1:10" ht="15" customHeight="1" x14ac:dyDescent="0.2">
      <c r="A32" s="860"/>
      <c r="B32" s="757"/>
      <c r="C32" s="860"/>
      <c r="D32" s="860"/>
      <c r="E32" s="860"/>
      <c r="F32" s="162"/>
      <c r="G32" s="162"/>
      <c r="H32" s="162"/>
      <c r="I32" s="162"/>
      <c r="J32" s="162"/>
    </row>
    <row r="33" spans="1:10" ht="15" customHeight="1" x14ac:dyDescent="0.2">
      <c r="A33" s="860"/>
      <c r="B33" s="757"/>
      <c r="C33" s="860"/>
      <c r="D33" s="860"/>
      <c r="E33" s="860"/>
      <c r="F33" s="162"/>
      <c r="G33" s="162"/>
      <c r="H33" s="162"/>
      <c r="I33" s="162"/>
      <c r="J33" s="162"/>
    </row>
    <row r="34" spans="1:10" ht="15" customHeight="1" x14ac:dyDescent="0.2">
      <c r="A34" s="860"/>
      <c r="B34" s="757"/>
      <c r="C34" s="860"/>
      <c r="D34" s="860"/>
      <c r="E34" s="860"/>
      <c r="F34" s="162"/>
      <c r="G34" s="162"/>
      <c r="H34" s="162"/>
      <c r="I34" s="162"/>
      <c r="J34" s="162"/>
    </row>
    <row r="35" spans="1:10" ht="15" customHeight="1" x14ac:dyDescent="0.2">
      <c r="A35" s="860"/>
      <c r="B35" s="860"/>
      <c r="C35" s="860"/>
      <c r="D35" s="860"/>
      <c r="E35" s="860"/>
      <c r="F35" s="162"/>
      <c r="G35" s="162"/>
      <c r="H35" s="162"/>
      <c r="I35" s="162"/>
      <c r="J35" s="162"/>
    </row>
  </sheetData>
  <sheetProtection password="CD9E" sheet="1" objects="1" scenarios="1" selectLockedCells="1"/>
  <mergeCells count="5">
    <mergeCell ref="B12:C12"/>
    <mergeCell ref="B13:C13"/>
    <mergeCell ref="D12:E12"/>
    <mergeCell ref="D13:E13"/>
    <mergeCell ref="G12:H12"/>
  </mergeCells>
  <dataValidations count="1">
    <dataValidation type="list" allowBlank="1" showInputMessage="1" showErrorMessage="1" sqref="B31:B34">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5" right="0.75" top="1" bottom="1" header="0.5" footer="0.5"/>
  <pageSetup paperSize="9" orientation="landscape" r:id="rId1"/>
  <headerFooter alignWithMargins="0">
    <oddHeader>&amp;LCDH&amp;C &amp;F&amp;R&amp;A</oddHeader>
    <oddFooter>Page &amp;P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indexed="41"/>
    <pageSetUpPr fitToPage="1"/>
  </sheetPr>
  <dimension ref="A1:I97"/>
  <sheetViews>
    <sheetView showGridLines="0" topLeftCell="A10" zoomScale="90" zoomScaleNormal="90" workbookViewId="0">
      <selection activeCell="B83" sqref="B83"/>
    </sheetView>
  </sheetViews>
  <sheetFormatPr baseColWidth="10" defaultColWidth="9.140625" defaultRowHeight="12.75" x14ac:dyDescent="0.2"/>
  <cols>
    <col min="1" max="1" width="51.85546875" style="31" customWidth="1"/>
    <col min="2" max="2" width="18.140625" style="31" customWidth="1"/>
    <col min="3" max="3" width="6.7109375" style="31" customWidth="1"/>
    <col min="4" max="4" width="18.140625" style="31" customWidth="1"/>
    <col min="5" max="5" width="6.7109375" style="31" customWidth="1"/>
    <col min="6" max="7" width="18.140625" style="31" customWidth="1"/>
    <col min="8" max="8" width="6.7109375" style="31" customWidth="1"/>
    <col min="9" max="16384" width="9.140625" style="31"/>
  </cols>
  <sheetData>
    <row r="1" spans="1:9" s="66" customFormat="1" ht="12" customHeight="1" x14ac:dyDescent="0.2">
      <c r="A1" s="26" t="s">
        <v>6</v>
      </c>
    </row>
    <row r="2" spans="1:9" s="66" customFormat="1" ht="12" customHeight="1" x14ac:dyDescent="0.2">
      <c r="A2" s="28" t="s">
        <v>10</v>
      </c>
    </row>
    <row r="3" spans="1:9" s="66" customFormat="1" ht="12" customHeight="1" x14ac:dyDescent="0.2">
      <c r="A3" s="28" t="s">
        <v>7</v>
      </c>
    </row>
    <row r="4" spans="1:9" ht="15" customHeight="1" x14ac:dyDescent="0.2">
      <c r="A4" s="90" t="s">
        <v>326</v>
      </c>
      <c r="B4" s="90"/>
      <c r="C4" s="90"/>
      <c r="D4" s="90"/>
      <c r="E4" s="90"/>
      <c r="F4" s="90"/>
      <c r="G4" s="90"/>
      <c r="H4" s="90"/>
      <c r="I4" s="91"/>
    </row>
    <row r="5" spans="1:9" s="131" customFormat="1" ht="15" customHeight="1" x14ac:dyDescent="0.2"/>
    <row r="6" spans="1:9" s="131" customFormat="1" ht="15" customHeight="1" x14ac:dyDescent="0.2">
      <c r="A6" s="162"/>
      <c r="B6" s="162"/>
      <c r="C6" s="162"/>
      <c r="D6" s="162"/>
      <c r="E6" s="162"/>
      <c r="F6" s="162"/>
      <c r="G6" s="162"/>
      <c r="H6" s="162"/>
      <c r="I6" s="162"/>
    </row>
    <row r="7" spans="1:9" ht="15.75" x14ac:dyDescent="0.25">
      <c r="A7" s="93" t="s">
        <v>760</v>
      </c>
      <c r="B7" s="92"/>
      <c r="C7" s="92"/>
      <c r="D7" s="92"/>
      <c r="E7" s="92"/>
      <c r="F7" s="92"/>
      <c r="G7" s="92"/>
      <c r="H7" s="92"/>
      <c r="I7" s="92"/>
    </row>
    <row r="8" spans="1:9" ht="15" customHeight="1" x14ac:dyDescent="0.2">
      <c r="A8" s="94" t="s">
        <v>21</v>
      </c>
      <c r="B8" s="92"/>
      <c r="C8" s="92"/>
      <c r="D8" s="92"/>
      <c r="E8" s="92"/>
      <c r="F8" s="92"/>
      <c r="G8" s="92"/>
      <c r="H8" s="92"/>
      <c r="I8" s="92"/>
    </row>
    <row r="9" spans="1:9" ht="15" customHeight="1" x14ac:dyDescent="0.2">
      <c r="A9" s="92"/>
      <c r="B9" s="163" t="s">
        <v>34</v>
      </c>
      <c r="C9" s="163"/>
      <c r="D9" s="503">
        <v>2014</v>
      </c>
      <c r="E9" s="92"/>
      <c r="F9" s="92"/>
      <c r="G9" s="92"/>
      <c r="H9" s="92"/>
      <c r="I9" s="92"/>
    </row>
    <row r="10" spans="1:9" ht="15" customHeight="1" x14ac:dyDescent="0.2">
      <c r="A10" s="172"/>
      <c r="B10" s="173"/>
      <c r="C10" s="173"/>
      <c r="D10" s="92"/>
      <c r="E10" s="92"/>
      <c r="F10" s="92"/>
      <c r="G10" s="92"/>
      <c r="H10" s="92"/>
      <c r="I10" s="92"/>
    </row>
    <row r="11" spans="1:9" ht="13.15" customHeight="1" x14ac:dyDescent="0.2">
      <c r="A11" s="174"/>
      <c r="B11" s="1826"/>
      <c r="C11" s="1827"/>
      <c r="D11" s="1824"/>
      <c r="E11" s="1825"/>
      <c r="F11" s="888"/>
      <c r="G11" s="1820"/>
      <c r="H11" s="1821"/>
      <c r="I11" s="92"/>
    </row>
    <row r="12" spans="1:9" ht="12.75" customHeight="1" x14ac:dyDescent="0.2">
      <c r="A12" s="175"/>
      <c r="B12" s="1828" t="s">
        <v>665</v>
      </c>
      <c r="C12" s="1829"/>
      <c r="D12" s="1832" t="s">
        <v>122</v>
      </c>
      <c r="E12" s="1829"/>
      <c r="F12" s="889" t="s">
        <v>24</v>
      </c>
      <c r="G12" s="1834" t="s">
        <v>25</v>
      </c>
      <c r="H12" s="1835"/>
      <c r="I12" s="92"/>
    </row>
    <row r="13" spans="1:9" ht="19.5" customHeight="1" x14ac:dyDescent="0.2">
      <c r="A13" s="912" t="s">
        <v>762</v>
      </c>
      <c r="B13" s="1830" t="str">
        <f>Cntry!$D$8</f>
        <v xml:space="preserve">Chile </v>
      </c>
      <c r="C13" s="1831"/>
      <c r="D13" s="1833" t="s">
        <v>123</v>
      </c>
      <c r="E13" s="1831"/>
      <c r="F13" s="165" t="s">
        <v>52</v>
      </c>
      <c r="G13" s="1822"/>
      <c r="H13" s="1823"/>
      <c r="I13" s="92"/>
    </row>
    <row r="14" spans="1:9" s="39" customFormat="1" ht="37.5" customHeight="1" x14ac:dyDescent="0.2">
      <c r="A14" s="916" t="str">
        <f>"Mobile Doctorate Holders having returned to or arrived "&amp;Cntry!D8&amp;" in the last 10 years (from IMOB1)"</f>
        <v>Mobile Doctorate Holders having returned to or arrived Chile  in the last 10 years (from IMOB1)</v>
      </c>
      <c r="B14" s="1408">
        <f>IMOB1!B15</f>
        <v>6992.7356475329998</v>
      </c>
      <c r="C14" s="1409"/>
      <c r="D14" s="890">
        <f>IMOB1!B16</f>
        <v>641.53538050709994</v>
      </c>
      <c r="E14" s="1409"/>
      <c r="F14" s="890">
        <f>IMOB1!B17</f>
        <v>0</v>
      </c>
      <c r="G14" s="1416">
        <f>IMOB1!B14</f>
        <v>7634.2710280400997</v>
      </c>
      <c r="H14" s="1417"/>
      <c r="I14" s="166"/>
    </row>
    <row r="15" spans="1:9" s="39" customFormat="1" ht="18.75" customHeight="1" x14ac:dyDescent="0.2">
      <c r="A15" s="905" t="s">
        <v>327</v>
      </c>
      <c r="B15" s="1400"/>
      <c r="C15" s="915"/>
      <c r="D15" s="915"/>
      <c r="E15" s="915"/>
      <c r="F15" s="915"/>
      <c r="G15" s="915"/>
      <c r="H15" s="1400"/>
      <c r="I15" s="166"/>
    </row>
    <row r="16" spans="1:9" ht="15" customHeight="1" x14ac:dyDescent="0.2">
      <c r="A16" s="897" t="s">
        <v>674</v>
      </c>
      <c r="B16" s="903"/>
      <c r="C16" s="904"/>
      <c r="D16" s="904"/>
      <c r="E16" s="904"/>
      <c r="F16" s="904"/>
      <c r="G16" s="904"/>
      <c r="H16" s="1401"/>
      <c r="I16" s="92"/>
    </row>
    <row r="17" spans="1:9" x14ac:dyDescent="0.2">
      <c r="A17" s="898" t="s">
        <v>64</v>
      </c>
      <c r="B17" s="1410"/>
      <c r="C17" s="1413"/>
      <c r="D17" s="899"/>
      <c r="E17" s="1413"/>
      <c r="F17" s="899"/>
      <c r="G17" s="1403"/>
      <c r="H17" s="1418"/>
      <c r="I17" s="92"/>
    </row>
    <row r="18" spans="1:9" x14ac:dyDescent="0.2">
      <c r="A18" s="898" t="s">
        <v>65</v>
      </c>
      <c r="B18" s="1410"/>
      <c r="C18" s="1413"/>
      <c r="D18" s="899"/>
      <c r="E18" s="1413"/>
      <c r="F18" s="899"/>
      <c r="G18" s="1403"/>
      <c r="H18" s="1418"/>
      <c r="I18" s="92"/>
    </row>
    <row r="19" spans="1:9" x14ac:dyDescent="0.2">
      <c r="A19" s="898" t="s">
        <v>66</v>
      </c>
      <c r="B19" s="1410"/>
      <c r="C19" s="1413"/>
      <c r="D19" s="899"/>
      <c r="E19" s="1413"/>
      <c r="F19" s="899"/>
      <c r="G19" s="1403"/>
      <c r="H19" s="1418"/>
      <c r="I19" s="92"/>
    </row>
    <row r="20" spans="1:9" x14ac:dyDescent="0.2">
      <c r="A20" s="898" t="s">
        <v>67</v>
      </c>
      <c r="B20" s="1411"/>
      <c r="C20" s="1414"/>
      <c r="D20" s="899"/>
      <c r="E20" s="1414"/>
      <c r="F20" s="899"/>
      <c r="G20" s="1403"/>
      <c r="H20" s="1418"/>
      <c r="I20" s="92"/>
    </row>
    <row r="21" spans="1:9" x14ac:dyDescent="0.2">
      <c r="A21" s="898" t="s">
        <v>68</v>
      </c>
      <c r="B21" s="1411"/>
      <c r="C21" s="1414"/>
      <c r="D21" s="899"/>
      <c r="E21" s="1414"/>
      <c r="F21" s="899"/>
      <c r="G21" s="1403"/>
      <c r="H21" s="1418"/>
      <c r="I21" s="92"/>
    </row>
    <row r="22" spans="1:9" x14ac:dyDescent="0.2">
      <c r="A22" s="900" t="s">
        <v>757</v>
      </c>
      <c r="B22" s="1411"/>
      <c r="C22" s="1414"/>
      <c r="D22" s="899"/>
      <c r="E22" s="1414"/>
      <c r="F22" s="899"/>
      <c r="G22" s="1403"/>
      <c r="H22" s="1418"/>
      <c r="I22" s="92"/>
    </row>
    <row r="23" spans="1:9" x14ac:dyDescent="0.2">
      <c r="A23" s="900" t="s">
        <v>69</v>
      </c>
      <c r="B23" s="1411"/>
      <c r="C23" s="1414"/>
      <c r="D23" s="899"/>
      <c r="E23" s="1414"/>
      <c r="F23" s="899"/>
      <c r="G23" s="1403"/>
      <c r="H23" s="1418"/>
      <c r="I23" s="92"/>
    </row>
    <row r="24" spans="1:9" x14ac:dyDescent="0.2">
      <c r="A24" s="898" t="s">
        <v>70</v>
      </c>
      <c r="B24" s="1411"/>
      <c r="C24" s="1414"/>
      <c r="D24" s="899"/>
      <c r="E24" s="1414"/>
      <c r="F24" s="899"/>
      <c r="G24" s="1403"/>
      <c r="H24" s="1418"/>
      <c r="I24" s="92"/>
    </row>
    <row r="25" spans="1:9" x14ac:dyDescent="0.2">
      <c r="A25" s="898" t="s">
        <v>71</v>
      </c>
      <c r="B25" s="1411"/>
      <c r="C25" s="1414"/>
      <c r="D25" s="899"/>
      <c r="E25" s="1414"/>
      <c r="F25" s="899"/>
      <c r="G25" s="1403"/>
      <c r="H25" s="1418"/>
      <c r="I25" s="92"/>
    </row>
    <row r="26" spans="1:9" x14ac:dyDescent="0.2">
      <c r="A26" s="901" t="s">
        <v>72</v>
      </c>
      <c r="B26" s="1412"/>
      <c r="C26" s="1415"/>
      <c r="D26" s="902"/>
      <c r="E26" s="1415"/>
      <c r="F26" s="902"/>
      <c r="G26" s="1404"/>
      <c r="H26" s="1419"/>
      <c r="I26" s="92"/>
    </row>
    <row r="27" spans="1:9" s="39" customFormat="1" ht="18" customHeight="1" x14ac:dyDescent="0.2">
      <c r="A27" s="906" t="s">
        <v>328</v>
      </c>
      <c r="B27" s="968"/>
      <c r="C27" s="1399"/>
      <c r="D27" s="969"/>
      <c r="E27" s="1399"/>
      <c r="F27" s="969"/>
      <c r="G27" s="1402"/>
      <c r="H27" s="1402"/>
      <c r="I27" s="166"/>
    </row>
    <row r="28" spans="1:9" x14ac:dyDescent="0.2">
      <c r="A28" s="176" t="s">
        <v>74</v>
      </c>
      <c r="B28" s="891"/>
      <c r="C28" s="1413"/>
      <c r="D28" s="892"/>
      <c r="E28" s="1413"/>
      <c r="F28" s="892"/>
      <c r="G28" s="1405"/>
      <c r="H28" s="1418"/>
      <c r="I28" s="92"/>
    </row>
    <row r="29" spans="1:9" x14ac:dyDescent="0.2">
      <c r="A29" s="176" t="s">
        <v>75</v>
      </c>
      <c r="B29" s="891"/>
      <c r="C29" s="1413"/>
      <c r="D29" s="892"/>
      <c r="E29" s="1413"/>
      <c r="F29" s="892"/>
      <c r="G29" s="1405"/>
      <c r="H29" s="1418"/>
      <c r="I29" s="92"/>
    </row>
    <row r="30" spans="1:9" x14ac:dyDescent="0.2">
      <c r="A30" s="176" t="s">
        <v>76</v>
      </c>
      <c r="B30" s="891"/>
      <c r="C30" s="1413"/>
      <c r="D30" s="892"/>
      <c r="E30" s="1413"/>
      <c r="F30" s="892"/>
      <c r="G30" s="1405"/>
      <c r="H30" s="1418"/>
      <c r="I30" s="92"/>
    </row>
    <row r="31" spans="1:9" x14ac:dyDescent="0.2">
      <c r="A31" s="176" t="s">
        <v>77</v>
      </c>
      <c r="B31" s="891"/>
      <c r="C31" s="1414"/>
      <c r="D31" s="892"/>
      <c r="E31" s="1414"/>
      <c r="F31" s="892"/>
      <c r="G31" s="1405"/>
      <c r="H31" s="1418"/>
      <c r="I31" s="92"/>
    </row>
    <row r="32" spans="1:9" x14ac:dyDescent="0.2">
      <c r="A32" s="176" t="s">
        <v>78</v>
      </c>
      <c r="B32" s="891"/>
      <c r="C32" s="1414"/>
      <c r="D32" s="892"/>
      <c r="E32" s="1414"/>
      <c r="F32" s="892"/>
      <c r="G32" s="1405"/>
      <c r="H32" s="1418"/>
      <c r="I32" s="92"/>
    </row>
    <row r="33" spans="1:9" x14ac:dyDescent="0.2">
      <c r="A33" s="176" t="s">
        <v>79</v>
      </c>
      <c r="B33" s="891"/>
      <c r="C33" s="1414"/>
      <c r="D33" s="892"/>
      <c r="E33" s="1414"/>
      <c r="F33" s="892"/>
      <c r="G33" s="1405"/>
      <c r="H33" s="1418"/>
      <c r="I33" s="92"/>
    </row>
    <row r="34" spans="1:9" x14ac:dyDescent="0.2">
      <c r="A34" s="176" t="s">
        <v>80</v>
      </c>
      <c r="B34" s="891"/>
      <c r="C34" s="1414"/>
      <c r="D34" s="892"/>
      <c r="E34" s="1414"/>
      <c r="F34" s="892"/>
      <c r="G34" s="1405"/>
      <c r="H34" s="1418"/>
      <c r="I34" s="92"/>
    </row>
    <row r="35" spans="1:9" x14ac:dyDescent="0.2">
      <c r="A35" s="176" t="s">
        <v>81</v>
      </c>
      <c r="B35" s="891"/>
      <c r="C35" s="1414"/>
      <c r="D35" s="892"/>
      <c r="E35" s="1414"/>
      <c r="F35" s="892"/>
      <c r="G35" s="1405"/>
      <c r="H35" s="1418"/>
      <c r="I35" s="92"/>
    </row>
    <row r="36" spans="1:9" x14ac:dyDescent="0.2">
      <c r="A36" s="176" t="s">
        <v>82</v>
      </c>
      <c r="B36" s="891"/>
      <c r="C36" s="1414"/>
      <c r="D36" s="892"/>
      <c r="E36" s="1414"/>
      <c r="F36" s="892"/>
      <c r="G36" s="1405"/>
      <c r="H36" s="1418"/>
      <c r="I36" s="92"/>
    </row>
    <row r="37" spans="1:9" x14ac:dyDescent="0.2">
      <c r="A37" s="176" t="s">
        <v>83</v>
      </c>
      <c r="B37" s="891"/>
      <c r="C37" s="1413"/>
      <c r="D37" s="892"/>
      <c r="E37" s="1413"/>
      <c r="F37" s="892"/>
      <c r="G37" s="1405"/>
      <c r="H37" s="1418"/>
      <c r="I37" s="92"/>
    </row>
    <row r="38" spans="1:9" x14ac:dyDescent="0.2">
      <c r="A38" s="176" t="s">
        <v>84</v>
      </c>
      <c r="B38" s="891"/>
      <c r="C38" s="1413"/>
      <c r="D38" s="892"/>
      <c r="E38" s="1413"/>
      <c r="F38" s="892"/>
      <c r="G38" s="1405"/>
      <c r="H38" s="1418"/>
      <c r="I38" s="92"/>
    </row>
    <row r="39" spans="1:9" x14ac:dyDescent="0.2">
      <c r="A39" s="176" t="s">
        <v>85</v>
      </c>
      <c r="B39" s="891"/>
      <c r="C39" s="1413"/>
      <c r="D39" s="892"/>
      <c r="E39" s="1413"/>
      <c r="F39" s="892"/>
      <c r="G39" s="1405"/>
      <c r="H39" s="1418"/>
      <c r="I39" s="92"/>
    </row>
    <row r="40" spans="1:9" x14ac:dyDescent="0.2">
      <c r="A40" s="176" t="s">
        <v>86</v>
      </c>
      <c r="B40" s="891"/>
      <c r="C40" s="1414"/>
      <c r="D40" s="892"/>
      <c r="E40" s="1414"/>
      <c r="F40" s="892"/>
      <c r="G40" s="1405"/>
      <c r="H40" s="1418"/>
      <c r="I40" s="92"/>
    </row>
    <row r="41" spans="1:9" x14ac:dyDescent="0.2">
      <c r="A41" s="176" t="s">
        <v>87</v>
      </c>
      <c r="B41" s="891"/>
      <c r="C41" s="1414"/>
      <c r="D41" s="892"/>
      <c r="E41" s="1414"/>
      <c r="F41" s="892"/>
      <c r="G41" s="1405"/>
      <c r="H41" s="1418"/>
      <c r="I41" s="92"/>
    </row>
    <row r="42" spans="1:9" x14ac:dyDescent="0.2">
      <c r="A42" s="176" t="s">
        <v>88</v>
      </c>
      <c r="B42" s="891"/>
      <c r="C42" s="1414"/>
      <c r="D42" s="892"/>
      <c r="E42" s="1414"/>
      <c r="F42" s="892"/>
      <c r="G42" s="1405"/>
      <c r="H42" s="1418"/>
      <c r="I42" s="92"/>
    </row>
    <row r="43" spans="1:9" x14ac:dyDescent="0.2">
      <c r="A43" s="176" t="s">
        <v>89</v>
      </c>
      <c r="B43" s="891"/>
      <c r="C43" s="1414"/>
      <c r="D43" s="892"/>
      <c r="E43" s="1414"/>
      <c r="F43" s="892"/>
      <c r="G43" s="1405"/>
      <c r="H43" s="1418"/>
      <c r="I43" s="92"/>
    </row>
    <row r="44" spans="1:9" x14ac:dyDescent="0.2">
      <c r="A44" s="176" t="s">
        <v>90</v>
      </c>
      <c r="B44" s="891"/>
      <c r="C44" s="1414"/>
      <c r="D44" s="892"/>
      <c r="E44" s="1414"/>
      <c r="F44" s="892"/>
      <c r="G44" s="1405"/>
      <c r="H44" s="1418"/>
      <c r="I44" s="92"/>
    </row>
    <row r="45" spans="1:9" x14ac:dyDescent="0.2">
      <c r="A45" s="176" t="s">
        <v>91</v>
      </c>
      <c r="B45" s="891"/>
      <c r="C45" s="1414"/>
      <c r="D45" s="892"/>
      <c r="E45" s="1414"/>
      <c r="F45" s="892"/>
      <c r="G45" s="1405"/>
      <c r="H45" s="1418"/>
      <c r="I45" s="92"/>
    </row>
    <row r="46" spans="1:9" x14ac:dyDescent="0.2">
      <c r="A46" s="176" t="s">
        <v>92</v>
      </c>
      <c r="B46" s="891"/>
      <c r="C46" s="1413"/>
      <c r="D46" s="892"/>
      <c r="E46" s="1413"/>
      <c r="F46" s="892"/>
      <c r="G46" s="1405"/>
      <c r="H46" s="1418"/>
      <c r="I46" s="92"/>
    </row>
    <row r="47" spans="1:9" x14ac:dyDescent="0.2">
      <c r="A47" s="176" t="s">
        <v>93</v>
      </c>
      <c r="B47" s="891"/>
      <c r="C47" s="1413"/>
      <c r="D47" s="892"/>
      <c r="E47" s="1413"/>
      <c r="F47" s="892"/>
      <c r="G47" s="1405"/>
      <c r="H47" s="1418"/>
      <c r="I47" s="92"/>
    </row>
    <row r="48" spans="1:9" x14ac:dyDescent="0.2">
      <c r="A48" s="176" t="s">
        <v>94</v>
      </c>
      <c r="B48" s="891"/>
      <c r="C48" s="1413"/>
      <c r="D48" s="892"/>
      <c r="E48" s="1413"/>
      <c r="F48" s="892"/>
      <c r="G48" s="1405"/>
      <c r="H48" s="1418"/>
      <c r="I48" s="92"/>
    </row>
    <row r="49" spans="1:9" x14ac:dyDescent="0.2">
      <c r="A49" s="176" t="s">
        <v>95</v>
      </c>
      <c r="B49" s="891"/>
      <c r="C49" s="1414"/>
      <c r="D49" s="892"/>
      <c r="E49" s="1414"/>
      <c r="F49" s="892"/>
      <c r="G49" s="1405"/>
      <c r="H49" s="1418"/>
      <c r="I49" s="92"/>
    </row>
    <row r="50" spans="1:9" x14ac:dyDescent="0.2">
      <c r="A50" s="176" t="s">
        <v>96</v>
      </c>
      <c r="B50" s="891"/>
      <c r="C50" s="1414"/>
      <c r="D50" s="892"/>
      <c r="E50" s="1414"/>
      <c r="F50" s="892"/>
      <c r="G50" s="1405"/>
      <c r="H50" s="1418"/>
      <c r="I50" s="92"/>
    </row>
    <row r="51" spans="1:9" x14ac:dyDescent="0.2">
      <c r="A51" s="176" t="s">
        <v>97</v>
      </c>
      <c r="B51" s="891"/>
      <c r="C51" s="1414"/>
      <c r="D51" s="892"/>
      <c r="E51" s="1414"/>
      <c r="F51" s="892"/>
      <c r="G51" s="1405"/>
      <c r="H51" s="1418"/>
      <c r="I51" s="92"/>
    </row>
    <row r="52" spans="1:9" x14ac:dyDescent="0.2">
      <c r="A52" s="176" t="s">
        <v>98</v>
      </c>
      <c r="B52" s="891"/>
      <c r="C52" s="1414"/>
      <c r="D52" s="892"/>
      <c r="E52" s="1414"/>
      <c r="F52" s="892"/>
      <c r="G52" s="1405"/>
      <c r="H52" s="1418"/>
      <c r="I52" s="92"/>
    </row>
    <row r="53" spans="1:9" x14ac:dyDescent="0.2">
      <c r="A53" s="176" t="s">
        <v>99</v>
      </c>
      <c r="B53" s="891"/>
      <c r="C53" s="1414"/>
      <c r="D53" s="892"/>
      <c r="E53" s="1414"/>
      <c r="F53" s="892"/>
      <c r="G53" s="1405"/>
      <c r="H53" s="1418"/>
      <c r="I53" s="92"/>
    </row>
    <row r="54" spans="1:9" x14ac:dyDescent="0.2">
      <c r="A54" s="176" t="s">
        <v>100</v>
      </c>
      <c r="B54" s="891"/>
      <c r="C54" s="1414"/>
      <c r="D54" s="892"/>
      <c r="E54" s="1414"/>
      <c r="F54" s="892"/>
      <c r="G54" s="1405"/>
      <c r="H54" s="1418"/>
      <c r="I54" s="92"/>
    </row>
    <row r="55" spans="1:9" x14ac:dyDescent="0.2">
      <c r="A55" s="176" t="s">
        <v>101</v>
      </c>
      <c r="B55" s="891"/>
      <c r="C55" s="1413"/>
      <c r="D55" s="892"/>
      <c r="E55" s="1413"/>
      <c r="F55" s="892"/>
      <c r="G55" s="1405"/>
      <c r="H55" s="1418"/>
      <c r="I55" s="92"/>
    </row>
    <row r="56" spans="1:9" x14ac:dyDescent="0.2">
      <c r="A56" s="176" t="s">
        <v>102</v>
      </c>
      <c r="B56" s="891"/>
      <c r="C56" s="1413"/>
      <c r="D56" s="892"/>
      <c r="E56" s="1413"/>
      <c r="F56" s="892"/>
      <c r="G56" s="1405"/>
      <c r="H56" s="1418"/>
      <c r="I56" s="92"/>
    </row>
    <row r="57" spans="1:9" x14ac:dyDescent="0.2">
      <c r="A57" s="176" t="s">
        <v>103</v>
      </c>
      <c r="B57" s="891"/>
      <c r="C57" s="1413"/>
      <c r="D57" s="892"/>
      <c r="E57" s="1413"/>
      <c r="F57" s="892"/>
      <c r="G57" s="1405"/>
      <c r="H57" s="1418"/>
      <c r="I57" s="92"/>
    </row>
    <row r="58" spans="1:9" x14ac:dyDescent="0.2">
      <c r="A58" s="176" t="s">
        <v>104</v>
      </c>
      <c r="B58" s="891"/>
      <c r="C58" s="1414"/>
      <c r="D58" s="892"/>
      <c r="E58" s="1414"/>
      <c r="F58" s="892"/>
      <c r="G58" s="1405"/>
      <c r="H58" s="1418"/>
      <c r="I58" s="92"/>
    </row>
    <row r="59" spans="1:9" x14ac:dyDescent="0.2">
      <c r="A59" s="176" t="s">
        <v>215</v>
      </c>
      <c r="B59" s="891"/>
      <c r="C59" s="1414"/>
      <c r="D59" s="892"/>
      <c r="E59" s="1414"/>
      <c r="F59" s="892"/>
      <c r="G59" s="1405"/>
      <c r="H59" s="1418"/>
      <c r="I59" s="92"/>
    </row>
    <row r="60" spans="1:9" x14ac:dyDescent="0.2">
      <c r="A60" s="176" t="s">
        <v>105</v>
      </c>
      <c r="B60" s="891"/>
      <c r="C60" s="1414"/>
      <c r="D60" s="892"/>
      <c r="E60" s="1414"/>
      <c r="F60" s="892"/>
      <c r="G60" s="1405"/>
      <c r="H60" s="1418"/>
      <c r="I60" s="92"/>
    </row>
    <row r="61" spans="1:9" x14ac:dyDescent="0.2">
      <c r="A61" s="176" t="s">
        <v>106</v>
      </c>
      <c r="B61" s="891"/>
      <c r="C61" s="1414"/>
      <c r="D61" s="892"/>
      <c r="E61" s="1414"/>
      <c r="F61" s="892"/>
      <c r="G61" s="1405"/>
      <c r="H61" s="1418"/>
      <c r="I61" s="92"/>
    </row>
    <row r="62" spans="1:9" x14ac:dyDescent="0.2">
      <c r="A62" s="176" t="s">
        <v>107</v>
      </c>
      <c r="B62" s="891"/>
      <c r="C62" s="1414"/>
      <c r="D62" s="892"/>
      <c r="E62" s="1414"/>
      <c r="F62" s="892"/>
      <c r="G62" s="1405"/>
      <c r="H62" s="1418"/>
      <c r="I62" s="92"/>
    </row>
    <row r="63" spans="1:9" x14ac:dyDescent="0.2">
      <c r="A63" s="176" t="s">
        <v>108</v>
      </c>
      <c r="B63" s="891"/>
      <c r="C63" s="1414"/>
      <c r="D63" s="892"/>
      <c r="E63" s="1414"/>
      <c r="F63" s="892"/>
      <c r="G63" s="1405"/>
      <c r="H63" s="1418"/>
      <c r="I63" s="92"/>
    </row>
    <row r="64" spans="1:9" x14ac:dyDescent="0.2">
      <c r="A64" s="176" t="s">
        <v>13</v>
      </c>
      <c r="B64" s="891"/>
      <c r="C64" s="1413"/>
      <c r="D64" s="892"/>
      <c r="E64" s="1413"/>
      <c r="F64" s="892"/>
      <c r="G64" s="1405"/>
      <c r="H64" s="1418"/>
      <c r="I64" s="92"/>
    </row>
    <row r="65" spans="1:9" x14ac:dyDescent="0.2">
      <c r="A65" s="176" t="s">
        <v>216</v>
      </c>
      <c r="B65" s="891"/>
      <c r="C65" s="1413"/>
      <c r="D65" s="892"/>
      <c r="E65" s="1413"/>
      <c r="F65" s="892"/>
      <c r="G65" s="1405"/>
      <c r="H65" s="1418"/>
      <c r="I65" s="92"/>
    </row>
    <row r="66" spans="1:9" x14ac:dyDescent="0.2">
      <c r="A66" s="176" t="s">
        <v>109</v>
      </c>
      <c r="B66" s="891"/>
      <c r="C66" s="1413"/>
      <c r="D66" s="892"/>
      <c r="E66" s="1413"/>
      <c r="F66" s="892"/>
      <c r="G66" s="1405"/>
      <c r="H66" s="1418"/>
      <c r="I66" s="92"/>
    </row>
    <row r="67" spans="1:9" x14ac:dyDescent="0.2">
      <c r="A67" s="176" t="s">
        <v>110</v>
      </c>
      <c r="B67" s="891"/>
      <c r="C67" s="1414"/>
      <c r="D67" s="892"/>
      <c r="E67" s="1414"/>
      <c r="F67" s="892"/>
      <c r="G67" s="1405"/>
      <c r="H67" s="1418"/>
      <c r="I67" s="92"/>
    </row>
    <row r="68" spans="1:9" x14ac:dyDescent="0.2">
      <c r="A68" s="176" t="s">
        <v>111</v>
      </c>
      <c r="B68" s="891"/>
      <c r="C68" s="1414"/>
      <c r="D68" s="892"/>
      <c r="E68" s="1414"/>
      <c r="F68" s="892"/>
      <c r="G68" s="1405"/>
      <c r="H68" s="1418"/>
      <c r="I68" s="92"/>
    </row>
    <row r="69" spans="1:9" x14ac:dyDescent="0.2">
      <c r="A69" s="176" t="s">
        <v>112</v>
      </c>
      <c r="B69" s="891"/>
      <c r="C69" s="1414"/>
      <c r="D69" s="892"/>
      <c r="E69" s="1414"/>
      <c r="F69" s="892"/>
      <c r="G69" s="1405"/>
      <c r="H69" s="1418"/>
      <c r="I69" s="92"/>
    </row>
    <row r="70" spans="1:9" x14ac:dyDescent="0.2">
      <c r="A70" s="176" t="s">
        <v>113</v>
      </c>
      <c r="B70" s="891"/>
      <c r="C70" s="1414"/>
      <c r="D70" s="892"/>
      <c r="E70" s="1414"/>
      <c r="F70" s="892"/>
      <c r="G70" s="1405"/>
      <c r="H70" s="1418"/>
      <c r="I70" s="92"/>
    </row>
    <row r="71" spans="1:9" x14ac:dyDescent="0.2">
      <c r="A71" s="176" t="s">
        <v>114</v>
      </c>
      <c r="B71" s="891"/>
      <c r="C71" s="1414"/>
      <c r="D71" s="892"/>
      <c r="E71" s="1414"/>
      <c r="F71" s="892"/>
      <c r="G71" s="1405"/>
      <c r="H71" s="1418"/>
      <c r="I71" s="92"/>
    </row>
    <row r="72" spans="1:9" x14ac:dyDescent="0.2">
      <c r="A72" s="176" t="s">
        <v>115</v>
      </c>
      <c r="B72" s="891"/>
      <c r="C72" s="1414"/>
      <c r="D72" s="892"/>
      <c r="E72" s="1414"/>
      <c r="F72" s="892"/>
      <c r="G72" s="1405"/>
      <c r="H72" s="1418"/>
      <c r="I72" s="92"/>
    </row>
    <row r="73" spans="1:9" x14ac:dyDescent="0.2">
      <c r="A73" s="176" t="s">
        <v>116</v>
      </c>
      <c r="B73" s="891"/>
      <c r="C73" s="1413"/>
      <c r="D73" s="892"/>
      <c r="E73" s="1413"/>
      <c r="F73" s="892"/>
      <c r="G73" s="1405"/>
      <c r="H73" s="1418"/>
      <c r="I73" s="92"/>
    </row>
    <row r="74" spans="1:9" x14ac:dyDescent="0.2">
      <c r="A74" s="176" t="s">
        <v>117</v>
      </c>
      <c r="B74" s="893"/>
      <c r="C74" s="1413"/>
      <c r="D74" s="894"/>
      <c r="E74" s="1413"/>
      <c r="F74" s="894"/>
      <c r="G74" s="1406"/>
      <c r="H74" s="1418"/>
      <c r="I74" s="92"/>
    </row>
    <row r="75" spans="1:9" x14ac:dyDescent="0.2">
      <c r="A75" s="177" t="s">
        <v>329</v>
      </c>
      <c r="B75" s="895"/>
      <c r="C75" s="1415"/>
      <c r="D75" s="896"/>
      <c r="E75" s="1415"/>
      <c r="F75" s="896"/>
      <c r="G75" s="1407"/>
      <c r="H75" s="1419"/>
      <c r="I75" s="92"/>
    </row>
    <row r="76" spans="1:9" x14ac:dyDescent="0.2">
      <c r="A76" s="178"/>
      <c r="B76" s="179"/>
      <c r="C76" s="179"/>
      <c r="D76" s="170"/>
      <c r="E76" s="170"/>
      <c r="F76" s="170"/>
      <c r="G76" s="170"/>
      <c r="H76" s="170"/>
      <c r="I76" s="92"/>
    </row>
    <row r="77" spans="1:9" x14ac:dyDescent="0.2">
      <c r="A77" s="180" t="s">
        <v>118</v>
      </c>
      <c r="B77" s="179"/>
      <c r="C77" s="179"/>
      <c r="D77" s="170"/>
      <c r="E77" s="170"/>
      <c r="F77" s="170"/>
      <c r="G77" s="170"/>
      <c r="H77" s="170"/>
      <c r="I77" s="92"/>
    </row>
    <row r="78" spans="1:9" ht="24.75" customHeight="1" x14ac:dyDescent="0.2">
      <c r="A78" s="181" t="s">
        <v>119</v>
      </c>
      <c r="B78" s="179"/>
      <c r="C78" s="179"/>
      <c r="D78" s="170"/>
      <c r="E78" s="170"/>
      <c r="F78" s="170"/>
      <c r="G78" s="92"/>
      <c r="H78" s="92"/>
      <c r="I78" s="92"/>
    </row>
    <row r="79" spans="1:9" x14ac:dyDescent="0.2">
      <c r="A79" s="182" t="s">
        <v>120</v>
      </c>
      <c r="B79" s="179"/>
      <c r="C79" s="179"/>
      <c r="D79" s="170"/>
      <c r="E79" s="170"/>
      <c r="F79" s="170"/>
      <c r="G79" s="92"/>
      <c r="H79" s="92"/>
      <c r="I79" s="92"/>
    </row>
    <row r="80" spans="1:9" x14ac:dyDescent="0.2">
      <c r="A80" s="183" t="s">
        <v>121</v>
      </c>
      <c r="B80" s="179"/>
      <c r="C80" s="179"/>
      <c r="D80" s="170"/>
      <c r="E80" s="170"/>
      <c r="F80" s="170"/>
      <c r="G80" s="92"/>
      <c r="H80" s="92"/>
      <c r="I80" s="92"/>
    </row>
    <row r="81" spans="1:9" ht="15" customHeight="1" x14ac:dyDescent="0.2">
      <c r="A81" s="92"/>
      <c r="B81" s="92"/>
      <c r="C81" s="92"/>
      <c r="D81" s="92"/>
      <c r="E81" s="92"/>
      <c r="F81" s="92"/>
      <c r="G81" s="92"/>
      <c r="H81" s="92"/>
      <c r="I81" s="92"/>
    </row>
    <row r="82" spans="1:9" ht="15" customHeight="1" x14ac:dyDescent="0.2">
      <c r="A82" s="95" t="s">
        <v>32</v>
      </c>
      <c r="B82" s="56" t="s">
        <v>1062</v>
      </c>
      <c r="C82" s="56"/>
      <c r="D82" s="57"/>
      <c r="E82" s="57"/>
      <c r="F82" s="57"/>
      <c r="G82" s="57"/>
      <c r="H82" s="57"/>
      <c r="I82" s="92"/>
    </row>
    <row r="83" spans="1:9" ht="15" customHeight="1" x14ac:dyDescent="0.2">
      <c r="A83" s="92"/>
      <c r="B83" s="58"/>
      <c r="C83" s="58"/>
      <c r="D83" s="59"/>
      <c r="E83" s="59"/>
      <c r="F83" s="59"/>
      <c r="G83" s="59"/>
      <c r="H83" s="59"/>
      <c r="I83" s="92"/>
    </row>
    <row r="84" spans="1:9" ht="15" customHeight="1" x14ac:dyDescent="0.2">
      <c r="A84" s="92"/>
      <c r="B84" s="58"/>
      <c r="C84" s="58"/>
      <c r="D84" s="59"/>
      <c r="E84" s="59"/>
      <c r="F84" s="59"/>
      <c r="G84" s="59"/>
      <c r="H84" s="59"/>
      <c r="I84" s="92"/>
    </row>
    <row r="85" spans="1:9" ht="15" customHeight="1" x14ac:dyDescent="0.2">
      <c r="A85" s="92"/>
      <c r="B85" s="58"/>
      <c r="C85" s="58"/>
      <c r="D85" s="59"/>
      <c r="E85" s="59"/>
      <c r="F85" s="59"/>
      <c r="G85" s="59"/>
      <c r="H85" s="59"/>
      <c r="I85" s="92"/>
    </row>
    <row r="86" spans="1:9" ht="15" customHeight="1" x14ac:dyDescent="0.2">
      <c r="A86" s="92"/>
      <c r="B86" s="92"/>
      <c r="C86" s="92"/>
      <c r="D86" s="92"/>
      <c r="E86" s="92"/>
      <c r="F86" s="92"/>
      <c r="G86" s="92"/>
      <c r="H86" s="92"/>
      <c r="I86" s="92"/>
    </row>
    <row r="87" spans="1:9" ht="15" customHeight="1" x14ac:dyDescent="0.2">
      <c r="A87" s="95" t="s">
        <v>33</v>
      </c>
      <c r="B87" s="56"/>
      <c r="C87" s="56"/>
      <c r="D87" s="57"/>
      <c r="E87" s="57"/>
      <c r="F87" s="57"/>
      <c r="G87" s="57"/>
      <c r="H87" s="57"/>
      <c r="I87" s="92"/>
    </row>
    <row r="88" spans="1:9" ht="15" customHeight="1" x14ac:dyDescent="0.2">
      <c r="A88" s="95"/>
      <c r="B88" s="58"/>
      <c r="C88" s="58"/>
      <c r="D88" s="59"/>
      <c r="E88" s="59"/>
      <c r="F88" s="59"/>
      <c r="G88" s="59"/>
      <c r="H88" s="59"/>
      <c r="I88" s="92"/>
    </row>
    <row r="89" spans="1:9" ht="15" customHeight="1" x14ac:dyDescent="0.2">
      <c r="A89" s="92"/>
      <c r="B89" s="58"/>
      <c r="C89" s="58"/>
      <c r="D89" s="59"/>
      <c r="E89" s="59"/>
      <c r="F89" s="59"/>
      <c r="G89" s="59"/>
      <c r="H89" s="59"/>
      <c r="I89" s="92"/>
    </row>
    <row r="90" spans="1:9" ht="15" customHeight="1" x14ac:dyDescent="0.2">
      <c r="A90" s="92"/>
      <c r="B90" s="58"/>
      <c r="C90" s="58"/>
      <c r="D90" s="59"/>
      <c r="E90" s="59"/>
      <c r="F90" s="59"/>
      <c r="G90" s="59"/>
      <c r="H90" s="59"/>
      <c r="I90" s="92"/>
    </row>
    <row r="91" spans="1:9" ht="15" customHeight="1" x14ac:dyDescent="0.2">
      <c r="A91" s="618"/>
      <c r="B91" s="618"/>
      <c r="C91" s="618"/>
      <c r="D91" s="618"/>
      <c r="E91" s="618"/>
      <c r="F91" s="618"/>
      <c r="G91" s="618"/>
      <c r="H91" s="618"/>
      <c r="I91" s="618"/>
    </row>
    <row r="92" spans="1:9" x14ac:dyDescent="0.2">
      <c r="A92" s="619" t="s">
        <v>670</v>
      </c>
      <c r="B92" s="621"/>
      <c r="C92" s="618"/>
      <c r="D92" s="618"/>
      <c r="E92" s="618"/>
      <c r="F92" s="618"/>
      <c r="G92" s="618"/>
      <c r="H92" s="618"/>
      <c r="I92" s="618"/>
    </row>
    <row r="93" spans="1:9" x14ac:dyDescent="0.2">
      <c r="A93" s="620"/>
      <c r="B93" s="549"/>
      <c r="C93" s="618"/>
      <c r="D93" s="618"/>
      <c r="E93" s="618"/>
      <c r="F93" s="618"/>
      <c r="G93" s="618"/>
      <c r="H93" s="618"/>
      <c r="I93" s="618"/>
    </row>
    <row r="94" spans="1:9" x14ac:dyDescent="0.2">
      <c r="A94" s="618"/>
      <c r="B94" s="549"/>
      <c r="C94" s="618"/>
      <c r="D94" s="618"/>
      <c r="E94" s="618"/>
      <c r="F94" s="618"/>
      <c r="G94" s="618"/>
      <c r="H94" s="618"/>
      <c r="I94" s="618"/>
    </row>
    <row r="95" spans="1:9" x14ac:dyDescent="0.2">
      <c r="A95" s="618"/>
      <c r="B95" s="549"/>
      <c r="C95" s="618"/>
      <c r="D95" s="618"/>
      <c r="E95" s="618"/>
      <c r="F95" s="618"/>
      <c r="G95" s="618"/>
      <c r="H95" s="618"/>
      <c r="I95" s="618"/>
    </row>
    <row r="96" spans="1:9" x14ac:dyDescent="0.2">
      <c r="A96" s="618"/>
      <c r="B96" s="618"/>
      <c r="C96" s="618"/>
      <c r="D96" s="618"/>
      <c r="E96" s="618"/>
      <c r="F96" s="618"/>
      <c r="G96" s="618"/>
      <c r="H96" s="618"/>
      <c r="I96" s="618"/>
    </row>
    <row r="97" spans="1:9" ht="15" customHeight="1" x14ac:dyDescent="0.2">
      <c r="A97" s="618"/>
      <c r="B97" s="618"/>
      <c r="C97" s="618"/>
      <c r="D97" s="618"/>
      <c r="E97" s="618"/>
      <c r="F97" s="618"/>
      <c r="G97" s="618"/>
      <c r="H97" s="618"/>
      <c r="I97" s="618"/>
    </row>
  </sheetData>
  <sheetProtection password="CD9E" sheet="1" objects="1" scenarios="1" selectLockedCells="1"/>
  <mergeCells count="9">
    <mergeCell ref="G11:H11"/>
    <mergeCell ref="G13:H13"/>
    <mergeCell ref="D11:E11"/>
    <mergeCell ref="B11:C11"/>
    <mergeCell ref="B12:C12"/>
    <mergeCell ref="B13:C13"/>
    <mergeCell ref="D12:E12"/>
    <mergeCell ref="D13:E13"/>
    <mergeCell ref="G12:H12"/>
  </mergeCells>
  <dataValidations count="1">
    <dataValidation type="list" allowBlank="1" showInputMessage="1" showErrorMessage="1" sqref="B92:B95">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35433070866141736" right="0.35433070866141736" top="0.98425196850393704" bottom="0.98425196850393704" header="0.51181102362204722" footer="0.51181102362204722"/>
  <pageSetup paperSize="9" scale="54" orientation="portrait" r:id="rId1"/>
  <headerFooter alignWithMargins="0">
    <oddHeader>&amp;LCDH&amp;C &amp;F&amp;R&amp;A</oddHeader>
    <oddFooter>Page &amp;P of &amp;N</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indexed="41"/>
    <pageSetUpPr fitToPage="1"/>
  </sheetPr>
  <dimension ref="A1:I43"/>
  <sheetViews>
    <sheetView showGridLines="0" topLeftCell="A4" zoomScale="90" zoomScaleNormal="90" workbookViewId="0">
      <selection activeCell="B16" sqref="B16"/>
    </sheetView>
  </sheetViews>
  <sheetFormatPr baseColWidth="10" defaultColWidth="9.140625" defaultRowHeight="12.75" x14ac:dyDescent="0.2"/>
  <cols>
    <col min="1" max="1" width="52.28515625" style="31" customWidth="1"/>
    <col min="2" max="2" width="21.28515625" style="31" customWidth="1"/>
    <col min="3" max="3" width="6.7109375" style="31" customWidth="1"/>
    <col min="4" max="4" width="21.28515625" style="31" customWidth="1"/>
    <col min="5" max="5" width="6.7109375" style="31" customWidth="1"/>
    <col min="6" max="7" width="20.7109375" style="31" customWidth="1"/>
    <col min="8" max="8" width="6.7109375" style="31" customWidth="1"/>
    <col min="9" max="16384" width="9.140625" style="31"/>
  </cols>
  <sheetData>
    <row r="1" spans="1:9" s="66" customFormat="1" ht="12" customHeight="1" x14ac:dyDescent="0.2">
      <c r="A1" s="26" t="s">
        <v>6</v>
      </c>
    </row>
    <row r="2" spans="1:9" s="66" customFormat="1" ht="12" customHeight="1" x14ac:dyDescent="0.2">
      <c r="A2" s="28" t="s">
        <v>10</v>
      </c>
    </row>
    <row r="3" spans="1:9" s="66" customFormat="1" ht="12" customHeight="1" x14ac:dyDescent="0.2">
      <c r="A3" s="28" t="s">
        <v>7</v>
      </c>
    </row>
    <row r="4" spans="1:9" ht="15" customHeight="1" x14ac:dyDescent="0.2">
      <c r="A4" s="90" t="s">
        <v>326</v>
      </c>
      <c r="B4" s="90"/>
      <c r="C4" s="90"/>
      <c r="D4" s="90"/>
      <c r="E4" s="90"/>
      <c r="F4" s="91"/>
      <c r="G4" s="91"/>
      <c r="H4" s="91"/>
      <c r="I4" s="92"/>
    </row>
    <row r="5" spans="1:9" s="131" customFormat="1" ht="15" customHeight="1" x14ac:dyDescent="0.2">
      <c r="I5" s="92"/>
    </row>
    <row r="6" spans="1:9" s="131" customFormat="1" ht="15" customHeight="1" x14ac:dyDescent="0.2">
      <c r="A6" s="162"/>
      <c r="B6" s="162"/>
      <c r="C6" s="162"/>
      <c r="D6" s="162"/>
      <c r="E6" s="162"/>
      <c r="F6" s="162"/>
      <c r="G6" s="162"/>
      <c r="H6" s="162"/>
      <c r="I6" s="92"/>
    </row>
    <row r="7" spans="1:9" ht="15.75" x14ac:dyDescent="0.25">
      <c r="A7" s="93" t="s">
        <v>787</v>
      </c>
      <c r="B7" s="92"/>
      <c r="C7" s="92"/>
      <c r="D7" s="92"/>
      <c r="E7" s="92"/>
      <c r="F7" s="92"/>
      <c r="G7" s="92"/>
      <c r="H7" s="92"/>
      <c r="I7" s="92"/>
    </row>
    <row r="8" spans="1:9" ht="15" customHeight="1" x14ac:dyDescent="0.2">
      <c r="A8" s="94" t="s">
        <v>21</v>
      </c>
      <c r="B8" s="92"/>
      <c r="C8" s="92"/>
      <c r="D8" s="92"/>
      <c r="E8" s="92"/>
      <c r="F8" s="92"/>
      <c r="G8" s="92"/>
      <c r="H8" s="92"/>
      <c r="I8" s="92"/>
    </row>
    <row r="9" spans="1:9" ht="15" customHeight="1" x14ac:dyDescent="0.2">
      <c r="A9" s="92"/>
      <c r="B9" s="163" t="s">
        <v>34</v>
      </c>
      <c r="C9" s="1539">
        <v>2014</v>
      </c>
      <c r="D9" s="92"/>
      <c r="E9" s="92"/>
      <c r="F9" s="92"/>
      <c r="G9" s="92"/>
      <c r="H9" s="92"/>
      <c r="I9" s="92"/>
    </row>
    <row r="10" spans="1:9" ht="15" customHeight="1" x14ac:dyDescent="0.2">
      <c r="A10" s="1003"/>
      <c r="B10" s="163"/>
      <c r="C10" s="92"/>
      <c r="D10" s="92"/>
      <c r="E10" s="92"/>
      <c r="F10" s="92"/>
      <c r="G10" s="92"/>
      <c r="H10" s="92"/>
      <c r="I10" s="92"/>
    </row>
    <row r="11" spans="1:9" ht="15" customHeight="1" x14ac:dyDescent="0.2">
      <c r="A11" s="164"/>
      <c r="B11" s="1826"/>
      <c r="C11" s="1827"/>
      <c r="D11" s="1824"/>
      <c r="E11" s="1825"/>
      <c r="F11" s="888"/>
      <c r="G11" s="1820"/>
      <c r="H11" s="1821"/>
      <c r="I11" s="92"/>
    </row>
    <row r="12" spans="1:9" s="122" customFormat="1" ht="15" customHeight="1" x14ac:dyDescent="0.2">
      <c r="A12" s="913" t="s">
        <v>758</v>
      </c>
      <c r="B12" s="1828" t="s">
        <v>665</v>
      </c>
      <c r="C12" s="1829"/>
      <c r="D12" s="1832" t="s">
        <v>122</v>
      </c>
      <c r="E12" s="1829"/>
      <c r="F12" s="889" t="s">
        <v>24</v>
      </c>
      <c r="G12" s="1834" t="s">
        <v>25</v>
      </c>
      <c r="H12" s="1835"/>
      <c r="I12" s="92"/>
    </row>
    <row r="13" spans="1:9" s="122" customFormat="1" ht="21" customHeight="1" x14ac:dyDescent="0.2">
      <c r="A13" s="914" t="s">
        <v>759</v>
      </c>
      <c r="B13" s="1830" t="str">
        <f>Cntry!$D$8</f>
        <v xml:space="preserve">Chile </v>
      </c>
      <c r="C13" s="1831"/>
      <c r="D13" s="1833" t="s">
        <v>123</v>
      </c>
      <c r="E13" s="1831"/>
      <c r="F13" s="165" t="s">
        <v>52</v>
      </c>
      <c r="G13" s="1822"/>
      <c r="H13" s="1823"/>
      <c r="I13" s="92"/>
    </row>
    <row r="14" spans="1:9" ht="31.5" customHeight="1" x14ac:dyDescent="0.2">
      <c r="A14" s="916" t="str">
        <f>"Mobile Doctorate Holders having returned to or arrived "&amp;Cntry!D8&amp;" in the last 10 years (from IMOB1)"</f>
        <v>Mobile Doctorate Holders having returned to or arrived Chile  in the last 10 years (from IMOB1)</v>
      </c>
      <c r="B14" s="1423">
        <f>IMOB1!B15</f>
        <v>6992.7356475329998</v>
      </c>
      <c r="C14" s="1424"/>
      <c r="D14" s="1425">
        <f>IMOB1!B16</f>
        <v>641.53538050709994</v>
      </c>
      <c r="E14" s="1424"/>
      <c r="F14" s="1425">
        <f>IMOB1!B17</f>
        <v>0</v>
      </c>
      <c r="G14" s="1426">
        <f>IMOB1!B14</f>
        <v>7634.2710280400997</v>
      </c>
      <c r="H14" s="1427"/>
      <c r="I14" s="166"/>
    </row>
    <row r="15" spans="1:9" x14ac:dyDescent="0.2">
      <c r="A15" s="1004" t="s">
        <v>788</v>
      </c>
      <c r="B15" s="1428">
        <f>SUM(B16:B22)</f>
        <v>12951.886515346201</v>
      </c>
      <c r="C15" s="1429"/>
      <c r="D15" s="1430">
        <f>SUM(D16:D22)</f>
        <v>1197.5327102803999</v>
      </c>
      <c r="E15" s="1429"/>
      <c r="F15" s="1430"/>
      <c r="G15" s="1431">
        <f>SUM(B15,D15)</f>
        <v>14149.419225626601</v>
      </c>
      <c r="H15" s="1432"/>
      <c r="I15" s="166"/>
    </row>
    <row r="16" spans="1:9" x14ac:dyDescent="0.2">
      <c r="A16" s="907" t="s">
        <v>331</v>
      </c>
      <c r="B16" s="1410">
        <v>3450.0347129500001</v>
      </c>
      <c r="C16" s="1413"/>
      <c r="D16" s="899">
        <v>128.30707610100001</v>
      </c>
      <c r="E16" s="1413"/>
      <c r="F16" s="899"/>
      <c r="G16" s="1403">
        <f t="shared" ref="G16:G22" si="0">SUM(B16,D16)</f>
        <v>3578.341789051</v>
      </c>
      <c r="H16" s="1418"/>
      <c r="I16" s="166"/>
    </row>
    <row r="17" spans="1:9" x14ac:dyDescent="0.2">
      <c r="A17" s="907" t="s">
        <v>332</v>
      </c>
      <c r="B17" s="1410">
        <v>541.74098798399996</v>
      </c>
      <c r="C17" s="1413"/>
      <c r="D17" s="899">
        <v>57.025367156199998</v>
      </c>
      <c r="E17" s="1413"/>
      <c r="F17" s="899"/>
      <c r="G17" s="1403">
        <f t="shared" si="0"/>
        <v>598.76635514019995</v>
      </c>
      <c r="H17" s="1418"/>
      <c r="I17" s="166"/>
    </row>
    <row r="18" spans="1:9" ht="14.25" x14ac:dyDescent="0.2">
      <c r="A18" s="907" t="s">
        <v>333</v>
      </c>
      <c r="B18" s="1410">
        <f>855.380507343+377.79305741</f>
        <v>1233.1735647529999</v>
      </c>
      <c r="C18" s="1413"/>
      <c r="D18" s="899">
        <f>114.050734312+ 57.0253671562</f>
        <v>171.07610146819999</v>
      </c>
      <c r="E18" s="1413"/>
      <c r="F18" s="899"/>
      <c r="G18" s="1403">
        <f t="shared" si="0"/>
        <v>1404.2496662212</v>
      </c>
      <c r="H18" s="1418"/>
      <c r="I18" s="166"/>
    </row>
    <row r="19" spans="1:9" ht="14.25" x14ac:dyDescent="0.2">
      <c r="A19" s="907" t="s">
        <v>334</v>
      </c>
      <c r="B19" s="1410">
        <v>1881.8371161499999</v>
      </c>
      <c r="C19" s="1413"/>
      <c r="D19" s="899">
        <v>185.33244325800001</v>
      </c>
      <c r="E19" s="1413"/>
      <c r="F19" s="899"/>
      <c r="G19" s="1403">
        <f t="shared" si="0"/>
        <v>2067.1695594080002</v>
      </c>
      <c r="H19" s="1418"/>
      <c r="I19" s="166"/>
    </row>
    <row r="20" spans="1:9" x14ac:dyDescent="0.2">
      <c r="A20" s="907" t="s">
        <v>335</v>
      </c>
      <c r="B20" s="1410">
        <v>2038.65687583</v>
      </c>
      <c r="C20" s="1413"/>
      <c r="D20" s="899">
        <v>270.87049399199998</v>
      </c>
      <c r="E20" s="1413"/>
      <c r="F20" s="899"/>
      <c r="G20" s="1403">
        <f t="shared" si="0"/>
        <v>2309.5273698219999</v>
      </c>
      <c r="H20" s="1418"/>
      <c r="I20" s="166"/>
    </row>
    <row r="21" spans="1:9" ht="14.25" x14ac:dyDescent="0.2">
      <c r="A21" s="907" t="s">
        <v>336</v>
      </c>
      <c r="B21" s="1410">
        <f>3571.21361816+57.0253671562</f>
        <v>3628.2389853161999</v>
      </c>
      <c r="C21" s="1413"/>
      <c r="D21" s="899">
        <f>213.845126836+0</f>
        <v>213.84512683599999</v>
      </c>
      <c r="E21" s="1413"/>
      <c r="F21" s="899"/>
      <c r="G21" s="1403">
        <f t="shared" si="0"/>
        <v>3842.0841121521999</v>
      </c>
      <c r="H21" s="1418"/>
      <c r="I21" s="166"/>
    </row>
    <row r="22" spans="1:9" x14ac:dyDescent="0.2">
      <c r="A22" s="1002" t="s">
        <v>346</v>
      </c>
      <c r="B22" s="1420">
        <v>178.204272363</v>
      </c>
      <c r="C22" s="1421"/>
      <c r="D22" s="902">
        <v>171.07610146900001</v>
      </c>
      <c r="E22" s="1421"/>
      <c r="F22" s="902"/>
      <c r="G22" s="1422">
        <f t="shared" si="0"/>
        <v>349.28037383200001</v>
      </c>
      <c r="H22" s="1419"/>
      <c r="I22" s="166"/>
    </row>
    <row r="23" spans="1:9" x14ac:dyDescent="0.2">
      <c r="A23" s="167" t="s">
        <v>337</v>
      </c>
      <c r="B23" s="168"/>
      <c r="C23" s="168"/>
      <c r="D23" s="168"/>
      <c r="E23" s="168"/>
      <c r="F23" s="168"/>
      <c r="G23" s="168"/>
      <c r="H23" s="168"/>
      <c r="I23" s="166"/>
    </row>
    <row r="24" spans="1:9" x14ac:dyDescent="0.2">
      <c r="A24" s="169" t="s">
        <v>338</v>
      </c>
      <c r="B24" s="170"/>
      <c r="C24" s="170"/>
      <c r="D24" s="170"/>
      <c r="E24" s="170"/>
      <c r="F24" s="170"/>
      <c r="G24" s="170"/>
      <c r="H24" s="170"/>
      <c r="I24" s="166"/>
    </row>
    <row r="25" spans="1:9" x14ac:dyDescent="0.2">
      <c r="A25" s="169" t="s">
        <v>339</v>
      </c>
      <c r="B25" s="170"/>
      <c r="C25" s="170"/>
      <c r="D25" s="170"/>
      <c r="E25" s="170"/>
      <c r="F25" s="170"/>
      <c r="G25" s="170"/>
      <c r="H25" s="170"/>
      <c r="I25" s="166"/>
    </row>
    <row r="26" spans="1:9" x14ac:dyDescent="0.2">
      <c r="A26" s="171"/>
      <c r="B26" s="170"/>
      <c r="C26" s="170"/>
      <c r="D26" s="170"/>
      <c r="E26" s="170"/>
      <c r="F26" s="170"/>
      <c r="G26" s="170"/>
      <c r="H26" s="170"/>
      <c r="I26" s="166"/>
    </row>
    <row r="27" spans="1:9" ht="15" customHeight="1" x14ac:dyDescent="0.2">
      <c r="A27" s="92"/>
      <c r="B27" s="92"/>
      <c r="C27" s="92"/>
      <c r="D27" s="92"/>
      <c r="E27" s="92"/>
      <c r="F27" s="92"/>
      <c r="G27" s="92"/>
      <c r="H27" s="92"/>
      <c r="I27" s="166"/>
    </row>
    <row r="28" spans="1:9" ht="15" customHeight="1" x14ac:dyDescent="0.2">
      <c r="A28" s="95" t="s">
        <v>32</v>
      </c>
      <c r="B28" s="56" t="s">
        <v>1058</v>
      </c>
      <c r="C28" s="57"/>
      <c r="D28" s="57"/>
      <c r="E28" s="57"/>
      <c r="F28" s="57"/>
      <c r="G28" s="57"/>
      <c r="H28" s="57"/>
      <c r="I28" s="166"/>
    </row>
    <row r="29" spans="1:9" ht="15" customHeight="1" x14ac:dyDescent="0.2">
      <c r="A29" s="92"/>
      <c r="B29" s="58" t="s">
        <v>1059</v>
      </c>
      <c r="C29" s="59"/>
      <c r="D29" s="59"/>
      <c r="E29" s="59"/>
      <c r="F29" s="59"/>
      <c r="G29" s="59"/>
      <c r="H29" s="59"/>
      <c r="I29" s="166"/>
    </row>
    <row r="30" spans="1:9" ht="15" customHeight="1" x14ac:dyDescent="0.2">
      <c r="A30" s="92"/>
      <c r="B30" s="58"/>
      <c r="C30" s="59"/>
      <c r="D30" s="59"/>
      <c r="E30" s="59"/>
      <c r="F30" s="59"/>
      <c r="G30" s="59"/>
      <c r="H30" s="59"/>
      <c r="I30" s="166"/>
    </row>
    <row r="31" spans="1:9" ht="15" customHeight="1" x14ac:dyDescent="0.2">
      <c r="A31" s="92"/>
      <c r="B31" s="58"/>
      <c r="C31" s="59"/>
      <c r="D31" s="59"/>
      <c r="E31" s="59"/>
      <c r="F31" s="59"/>
      <c r="G31" s="59"/>
      <c r="H31" s="59"/>
      <c r="I31" s="166"/>
    </row>
    <row r="32" spans="1:9" ht="15" customHeight="1" x14ac:dyDescent="0.2">
      <c r="A32" s="92"/>
      <c r="B32" s="92"/>
      <c r="C32" s="92"/>
      <c r="D32" s="92"/>
      <c r="E32" s="92"/>
      <c r="F32" s="92"/>
      <c r="G32" s="92"/>
      <c r="H32" s="92"/>
      <c r="I32" s="166"/>
    </row>
    <row r="33" spans="1:9" ht="15" customHeight="1" x14ac:dyDescent="0.2">
      <c r="A33" s="95" t="s">
        <v>33</v>
      </c>
      <c r="B33" s="56"/>
      <c r="C33" s="57"/>
      <c r="D33" s="57"/>
      <c r="E33" s="57"/>
      <c r="F33" s="57"/>
      <c r="G33" s="57"/>
      <c r="H33" s="57"/>
      <c r="I33" s="166"/>
    </row>
    <row r="34" spans="1:9" ht="15" customHeight="1" x14ac:dyDescent="0.2">
      <c r="A34" s="95"/>
      <c r="B34" s="58"/>
      <c r="C34" s="59"/>
      <c r="D34" s="59"/>
      <c r="E34" s="59"/>
      <c r="F34" s="59"/>
      <c r="G34" s="59"/>
      <c r="H34" s="59"/>
      <c r="I34" s="166"/>
    </row>
    <row r="35" spans="1:9" ht="15" customHeight="1" x14ac:dyDescent="0.2">
      <c r="A35" s="92"/>
      <c r="B35" s="58"/>
      <c r="C35" s="59"/>
      <c r="D35" s="59"/>
      <c r="E35" s="59"/>
      <c r="F35" s="59"/>
      <c r="G35" s="59"/>
      <c r="H35" s="59"/>
      <c r="I35" s="166"/>
    </row>
    <row r="36" spans="1:9" ht="15" customHeight="1" x14ac:dyDescent="0.2">
      <c r="A36" s="92"/>
      <c r="B36" s="58"/>
      <c r="C36" s="59"/>
      <c r="D36" s="59"/>
      <c r="E36" s="59"/>
      <c r="F36" s="59"/>
      <c r="G36" s="59"/>
      <c r="H36" s="59"/>
      <c r="I36" s="166"/>
    </row>
    <row r="37" spans="1:9" ht="15" customHeight="1" x14ac:dyDescent="0.2">
      <c r="A37" s="618"/>
      <c r="B37" s="618"/>
      <c r="C37" s="618"/>
      <c r="D37" s="618"/>
      <c r="E37" s="618"/>
      <c r="F37" s="618"/>
      <c r="G37" s="618"/>
      <c r="H37" s="618"/>
      <c r="I37" s="166"/>
    </row>
    <row r="38" spans="1:9" x14ac:dyDescent="0.2">
      <c r="A38" s="619" t="s">
        <v>670</v>
      </c>
      <c r="B38" s="621"/>
      <c r="C38" s="618"/>
      <c r="D38" s="618"/>
      <c r="E38" s="618"/>
      <c r="F38" s="618"/>
      <c r="G38" s="618"/>
      <c r="H38" s="618"/>
      <c r="I38" s="166"/>
    </row>
    <row r="39" spans="1:9" x14ac:dyDescent="0.2">
      <c r="A39" s="620"/>
      <c r="B39" s="549"/>
      <c r="C39" s="618"/>
      <c r="D39" s="618"/>
      <c r="E39" s="618"/>
      <c r="F39" s="618"/>
      <c r="G39" s="618"/>
      <c r="H39" s="618"/>
      <c r="I39" s="166"/>
    </row>
    <row r="40" spans="1:9" x14ac:dyDescent="0.2">
      <c r="A40" s="618"/>
      <c r="B40" s="549"/>
      <c r="C40" s="618"/>
      <c r="D40" s="618"/>
      <c r="E40" s="618"/>
      <c r="F40" s="618"/>
      <c r="G40" s="618"/>
      <c r="H40" s="618"/>
      <c r="I40" s="166"/>
    </row>
    <row r="41" spans="1:9" x14ac:dyDescent="0.2">
      <c r="A41" s="618"/>
      <c r="B41" s="549"/>
      <c r="C41" s="618"/>
      <c r="D41" s="618"/>
      <c r="E41" s="618"/>
      <c r="F41" s="618"/>
      <c r="G41" s="618"/>
      <c r="H41" s="618"/>
      <c r="I41" s="166"/>
    </row>
    <row r="42" spans="1:9" x14ac:dyDescent="0.2">
      <c r="A42" s="618"/>
      <c r="B42" s="618"/>
      <c r="C42" s="618"/>
      <c r="D42" s="618"/>
      <c r="E42" s="618"/>
      <c r="F42" s="618"/>
      <c r="G42" s="618"/>
      <c r="H42" s="618"/>
      <c r="I42" s="166"/>
    </row>
    <row r="43" spans="1:9" ht="15" customHeight="1" x14ac:dyDescent="0.2">
      <c r="A43" s="618"/>
      <c r="B43" s="618"/>
      <c r="C43" s="618"/>
      <c r="D43" s="618"/>
      <c r="E43" s="618"/>
      <c r="F43" s="618"/>
      <c r="G43" s="618"/>
      <c r="H43" s="618"/>
      <c r="I43" s="166"/>
    </row>
  </sheetData>
  <sheetProtection password="CD9E" sheet="1" objects="1" scenarios="1" selectLockedCells="1"/>
  <mergeCells count="9">
    <mergeCell ref="B13:C13"/>
    <mergeCell ref="D13:E13"/>
    <mergeCell ref="G13:H13"/>
    <mergeCell ref="B11:C11"/>
    <mergeCell ref="D11:E11"/>
    <mergeCell ref="G11:H11"/>
    <mergeCell ref="B12:C12"/>
    <mergeCell ref="D12:E12"/>
    <mergeCell ref="G12:H12"/>
  </mergeCells>
  <dataValidations count="1">
    <dataValidation type="list" allowBlank="1" showInputMessage="1" showErrorMessage="1" sqref="B38:B41">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4803149606299213" right="0.74803149606299213" top="0.98425196850393704" bottom="0.98425196850393704" header="0.51181102362204722" footer="0.51181102362204722"/>
  <pageSetup paperSize="9" scale="59" orientation="landscape" r:id="rId1"/>
  <headerFooter alignWithMargins="0">
    <oddHeader>&amp;LCDH&amp;C &amp;F&amp;R&amp;A</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B36" sqref="B36"/>
    </sheetView>
  </sheetViews>
  <sheetFormatPr baseColWidth="10" defaultColWidth="9.140625" defaultRowHeight="12.75" x14ac:dyDescent="0.2"/>
  <cols>
    <col min="1" max="1" width="18.7109375" customWidth="1"/>
    <col min="2" max="2" width="84.7109375" customWidth="1"/>
  </cols>
  <sheetData>
    <row r="1" spans="1:2" x14ac:dyDescent="0.2">
      <c r="A1" s="26" t="s">
        <v>6</v>
      </c>
    </row>
    <row r="2" spans="1:2" x14ac:dyDescent="0.2">
      <c r="A2" s="26" t="s">
        <v>10</v>
      </c>
    </row>
    <row r="3" spans="1:2" x14ac:dyDescent="0.2">
      <c r="A3" s="31"/>
    </row>
    <row r="4" spans="1:2" x14ac:dyDescent="0.2">
      <c r="A4" s="1641" t="s">
        <v>895</v>
      </c>
      <c r="B4" s="1642"/>
    </row>
    <row r="5" spans="1:2" x14ac:dyDescent="0.2">
      <c r="A5" s="1643"/>
      <c r="B5" s="1644"/>
    </row>
    <row r="6" spans="1:2" x14ac:dyDescent="0.2">
      <c r="A6" s="1645" t="s">
        <v>937</v>
      </c>
      <c r="B6" s="1646"/>
    </row>
    <row r="7" spans="1:2" x14ac:dyDescent="0.2">
      <c r="A7" s="1647"/>
      <c r="B7" s="1648"/>
    </row>
    <row r="8" spans="1:2" x14ac:dyDescent="0.2">
      <c r="A8" s="1647"/>
      <c r="B8" s="1648"/>
    </row>
    <row r="9" spans="1:2" x14ac:dyDescent="0.2">
      <c r="A9" s="1647"/>
      <c r="B9" s="1648"/>
    </row>
    <row r="10" spans="1:2" x14ac:dyDescent="0.2">
      <c r="A10" s="1649"/>
      <c r="B10" s="1650"/>
    </row>
    <row r="11" spans="1:2" ht="15" x14ac:dyDescent="0.25">
      <c r="A11" s="1490" t="s">
        <v>896</v>
      </c>
      <c r="B11" s="1491" t="s">
        <v>897</v>
      </c>
    </row>
    <row r="12" spans="1:2" ht="15" x14ac:dyDescent="0.25">
      <c r="A12" s="1492" t="s">
        <v>898</v>
      </c>
      <c r="B12" s="1493" t="s">
        <v>899</v>
      </c>
    </row>
    <row r="13" spans="1:2" ht="15" x14ac:dyDescent="0.25">
      <c r="A13" s="1490" t="s">
        <v>900</v>
      </c>
      <c r="B13" s="1491" t="s">
        <v>901</v>
      </c>
    </row>
    <row r="14" spans="1:2" ht="15" x14ac:dyDescent="0.25">
      <c r="A14" s="1492" t="s">
        <v>902</v>
      </c>
      <c r="B14" s="1493" t="s">
        <v>903</v>
      </c>
    </row>
    <row r="15" spans="1:2" ht="15" x14ac:dyDescent="0.25">
      <c r="A15" s="1490" t="s">
        <v>904</v>
      </c>
      <c r="B15" s="1491" t="s">
        <v>905</v>
      </c>
    </row>
    <row r="16" spans="1:2" ht="15" x14ac:dyDescent="0.25">
      <c r="A16" s="1492" t="s">
        <v>906</v>
      </c>
      <c r="B16" s="1493" t="s">
        <v>907</v>
      </c>
    </row>
    <row r="17" spans="1:2" ht="15" x14ac:dyDescent="0.25">
      <c r="A17" s="1490" t="s">
        <v>908</v>
      </c>
      <c r="B17" s="1491" t="s">
        <v>909</v>
      </c>
    </row>
    <row r="18" spans="1:2" ht="15" x14ac:dyDescent="0.25">
      <c r="A18" s="1492" t="s">
        <v>910</v>
      </c>
      <c r="B18" s="1493" t="s">
        <v>911</v>
      </c>
    </row>
    <row r="19" spans="1:2" ht="15" x14ac:dyDescent="0.25">
      <c r="A19" s="1490" t="s">
        <v>912</v>
      </c>
      <c r="B19" s="1491" t="s">
        <v>913</v>
      </c>
    </row>
    <row r="20" spans="1:2" ht="15" x14ac:dyDescent="0.25">
      <c r="A20" s="1492" t="s">
        <v>914</v>
      </c>
      <c r="B20" s="1493" t="s">
        <v>915</v>
      </c>
    </row>
    <row r="21" spans="1:2" ht="15" x14ac:dyDescent="0.25">
      <c r="A21" s="1490" t="s">
        <v>916</v>
      </c>
      <c r="B21" s="1491" t="s">
        <v>917</v>
      </c>
    </row>
    <row r="22" spans="1:2" ht="15" x14ac:dyDescent="0.25">
      <c r="A22" s="1492" t="s">
        <v>918</v>
      </c>
      <c r="B22" s="1493" t="s">
        <v>919</v>
      </c>
    </row>
    <row r="23" spans="1:2" ht="15" x14ac:dyDescent="0.25">
      <c r="A23" s="1490" t="s">
        <v>920</v>
      </c>
      <c r="B23" s="1491" t="s">
        <v>921</v>
      </c>
    </row>
    <row r="24" spans="1:2" ht="15" x14ac:dyDescent="0.25">
      <c r="A24" s="1492" t="s">
        <v>922</v>
      </c>
      <c r="B24" s="1493" t="s">
        <v>923</v>
      </c>
    </row>
    <row r="25" spans="1:2" ht="15" x14ac:dyDescent="0.25">
      <c r="A25" s="1490" t="s">
        <v>924</v>
      </c>
      <c r="B25" s="1491" t="s">
        <v>925</v>
      </c>
    </row>
    <row r="26" spans="1:2" ht="15" x14ac:dyDescent="0.25">
      <c r="A26" s="1492" t="s">
        <v>926</v>
      </c>
      <c r="B26" s="1493" t="s">
        <v>927</v>
      </c>
    </row>
    <row r="27" spans="1:2" ht="15" x14ac:dyDescent="0.25">
      <c r="A27" s="1490" t="s">
        <v>928</v>
      </c>
      <c r="B27" s="1491" t="s">
        <v>929</v>
      </c>
    </row>
    <row r="28" spans="1:2" ht="15" x14ac:dyDescent="0.25">
      <c r="A28" s="1492" t="s">
        <v>930</v>
      </c>
      <c r="B28" s="1493" t="s">
        <v>931</v>
      </c>
    </row>
    <row r="29" spans="1:2" ht="15" x14ac:dyDescent="0.25">
      <c r="A29" s="1490" t="s">
        <v>932</v>
      </c>
      <c r="B29" s="1491" t="s">
        <v>933</v>
      </c>
    </row>
    <row r="30" spans="1:2" ht="15" x14ac:dyDescent="0.25">
      <c r="A30" s="1494" t="s">
        <v>934</v>
      </c>
      <c r="B30" s="1495" t="s">
        <v>935</v>
      </c>
    </row>
  </sheetData>
  <mergeCells count="2">
    <mergeCell ref="A4:B5"/>
    <mergeCell ref="A6:B10"/>
  </mergeCells>
  <conditionalFormatting sqref="A2">
    <cfRule type="expression" dxfId="2" priority="3" stopIfTrue="1">
      <formula>XEW2&lt;&gt;SUM(XEX1:XEX1048575)</formula>
    </cfRule>
  </conditionalFormatting>
  <conditionalFormatting sqref="A1">
    <cfRule type="expression" dxfId="1" priority="2" stopIfTrue="1">
      <formula>XEW1&lt;&gt;SUM(#REF!)</formula>
    </cfRule>
  </conditionalFormatting>
  <conditionalFormatting sqref="A2">
    <cfRule type="expression" dxfId="0" priority="1" stopIfTrue="1">
      <formula>XEW2&lt;&gt;SUM(#REF!)</formula>
    </cfRule>
  </conditionalFormatting>
  <hyperlinks>
    <hyperlink ref="A1" location="'List of tables'!A9" display="'List of tables'!A9"/>
    <hyperlink ref="A2" location="ExplNote!A1" display="Go to explanatory note"/>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indexed="41"/>
  </sheetPr>
  <dimension ref="A1:AH38"/>
  <sheetViews>
    <sheetView showGridLines="0" zoomScale="90" zoomScaleNormal="90" workbookViewId="0">
      <selection activeCell="I14" sqref="I14"/>
    </sheetView>
  </sheetViews>
  <sheetFormatPr baseColWidth="10" defaultColWidth="9.140625" defaultRowHeight="15" customHeight="1" x14ac:dyDescent="0.2"/>
  <cols>
    <col min="1" max="1" width="48.5703125" style="144" customWidth="1"/>
    <col min="2" max="2" width="9.7109375" style="144" customWidth="1"/>
    <col min="3" max="3" width="5.7109375" style="144" customWidth="1"/>
    <col min="4" max="4" width="9.7109375" style="144" customWidth="1"/>
    <col min="5" max="5" width="5.7109375" style="144" customWidth="1"/>
    <col min="6" max="6" width="9.7109375" style="144" customWidth="1"/>
    <col min="7" max="7" width="5.7109375" style="144" customWidth="1"/>
    <col min="8" max="9" width="9.7109375" style="144" customWidth="1"/>
    <col min="10" max="10" width="5.7109375" style="144" customWidth="1"/>
    <col min="11" max="11" width="9.7109375" style="144" customWidth="1"/>
    <col min="12" max="12" width="5.7109375" style="144" customWidth="1"/>
    <col min="13" max="13" width="9.7109375" style="144" customWidth="1"/>
    <col min="14" max="14" width="5.7109375" style="144" customWidth="1"/>
    <col min="15" max="15" width="9.7109375" style="144" customWidth="1"/>
    <col min="16" max="16" width="5.7109375" style="144" customWidth="1"/>
    <col min="17" max="18" width="9.7109375" style="144" customWidth="1"/>
    <col min="19" max="19" width="5.7109375" style="144" customWidth="1"/>
    <col min="20" max="25" width="9.7109375" style="144" customWidth="1"/>
    <col min="26" max="26" width="5.7109375" style="144" customWidth="1"/>
    <col min="27" max="27" width="9.7109375" style="144" customWidth="1"/>
    <col min="28" max="28" width="5.7109375" style="144" customWidth="1"/>
    <col min="29" max="29" width="9.7109375" style="144" customWidth="1"/>
    <col min="30" max="30" width="5.7109375" style="144" customWidth="1"/>
    <col min="31" max="32" width="9.7109375" style="144" customWidth="1"/>
    <col min="33" max="33" width="5.7109375" style="144" customWidth="1"/>
    <col min="34" max="16384" width="9.140625" style="144"/>
  </cols>
  <sheetData>
    <row r="1" spans="1:34" s="679" customFormat="1" ht="12" customHeight="1" x14ac:dyDescent="0.2">
      <c r="A1" s="26" t="s">
        <v>6</v>
      </c>
    </row>
    <row r="2" spans="1:34" s="679" customFormat="1" ht="12" customHeight="1" x14ac:dyDescent="0.2">
      <c r="A2" s="28" t="s">
        <v>10</v>
      </c>
    </row>
    <row r="3" spans="1:34" s="679" customFormat="1" ht="12" customHeight="1" x14ac:dyDescent="0.2">
      <c r="A3" s="28" t="s">
        <v>7</v>
      </c>
    </row>
    <row r="4" spans="1:34" ht="15" customHeight="1" x14ac:dyDescent="0.2">
      <c r="A4" s="162"/>
      <c r="B4" s="870" t="s">
        <v>742</v>
      </c>
      <c r="C4" s="870"/>
      <c r="D4" s="870"/>
      <c r="E4" s="870"/>
      <c r="F4" s="162"/>
      <c r="G4" s="162"/>
      <c r="H4" s="162"/>
      <c r="I4" s="162"/>
      <c r="J4" s="162"/>
      <c r="K4" s="870"/>
      <c r="L4" s="870"/>
      <c r="M4" s="870"/>
      <c r="N4" s="870"/>
      <c r="O4" s="162"/>
      <c r="P4" s="162"/>
      <c r="Q4" s="162"/>
      <c r="R4" s="162"/>
      <c r="S4" s="162"/>
      <c r="T4" s="870"/>
      <c r="U4" s="870"/>
      <c r="V4" s="162"/>
      <c r="W4" s="162"/>
      <c r="X4" s="162"/>
      <c r="Y4" s="870"/>
      <c r="Z4" s="870"/>
      <c r="AA4" s="870"/>
      <c r="AB4" s="870"/>
      <c r="AC4" s="162"/>
      <c r="AD4" s="162"/>
      <c r="AE4" s="162"/>
      <c r="AF4" s="162"/>
      <c r="AG4" s="162"/>
      <c r="AH4" s="162"/>
    </row>
    <row r="5" spans="1:34" ht="15" customHeight="1" x14ac:dyDescent="0.2">
      <c r="AH5" s="162"/>
    </row>
    <row r="6" spans="1:34" ht="15" customHeight="1" x14ac:dyDescent="0.2">
      <c r="A6" s="162"/>
      <c r="B6" s="162"/>
      <c r="C6" s="162"/>
      <c r="D6" s="162"/>
      <c r="E6" s="162"/>
      <c r="F6" s="162"/>
      <c r="G6" s="162"/>
      <c r="H6" s="162"/>
      <c r="I6" s="162"/>
      <c r="J6" s="162"/>
      <c r="K6" s="162"/>
      <c r="L6" s="162"/>
      <c r="M6" s="162"/>
      <c r="N6" s="162"/>
      <c r="O6" s="162"/>
      <c r="P6" s="162"/>
      <c r="Q6" s="162"/>
      <c r="R6" s="162"/>
      <c r="S6" s="162"/>
      <c r="T6" s="162"/>
      <c r="U6" s="162"/>
      <c r="V6" s="162"/>
      <c r="W6" s="162"/>
      <c r="X6" s="162"/>
      <c r="Y6" s="162"/>
      <c r="Z6" s="162"/>
      <c r="AA6" s="162"/>
      <c r="AB6" s="162"/>
      <c r="AC6" s="162"/>
      <c r="AD6" s="162"/>
      <c r="AE6" s="162"/>
      <c r="AF6" s="162"/>
      <c r="AG6" s="162"/>
      <c r="AH6" s="162"/>
    </row>
    <row r="7" spans="1:34" ht="15" customHeight="1" x14ac:dyDescent="0.25">
      <c r="A7" s="869" t="s">
        <v>816</v>
      </c>
      <c r="B7" s="162"/>
      <c r="C7" s="162"/>
      <c r="D7" s="162"/>
      <c r="E7" s="162"/>
      <c r="F7" s="162"/>
      <c r="G7" s="162"/>
      <c r="H7" s="162"/>
      <c r="I7" s="162"/>
      <c r="J7" s="162"/>
      <c r="K7" s="162"/>
      <c r="L7" s="162"/>
      <c r="M7" s="162"/>
      <c r="N7" s="162"/>
      <c r="O7" s="162"/>
      <c r="P7" s="162"/>
      <c r="Q7" s="162"/>
      <c r="R7" s="162"/>
      <c r="S7" s="162"/>
      <c r="T7" s="162"/>
      <c r="U7" s="162"/>
      <c r="V7" s="162"/>
      <c r="W7" s="162"/>
      <c r="X7" s="162"/>
      <c r="Y7" s="162"/>
      <c r="Z7" s="162"/>
      <c r="AA7" s="162"/>
      <c r="AB7" s="162"/>
      <c r="AC7" s="162"/>
      <c r="AD7" s="162"/>
      <c r="AE7" s="162"/>
      <c r="AF7" s="162"/>
      <c r="AG7" s="162"/>
      <c r="AH7" s="162"/>
    </row>
    <row r="8" spans="1:34" ht="15" customHeight="1" x14ac:dyDescent="0.2">
      <c r="A8" s="868" t="s">
        <v>21</v>
      </c>
      <c r="B8" s="162"/>
      <c r="C8" s="162"/>
      <c r="D8" s="162"/>
      <c r="E8" s="162"/>
      <c r="F8" s="162"/>
      <c r="G8" s="162"/>
      <c r="H8" s="162"/>
      <c r="I8" s="162"/>
      <c r="J8" s="162"/>
      <c r="K8" s="162"/>
      <c r="L8" s="162"/>
      <c r="M8" s="162"/>
      <c r="N8" s="162"/>
      <c r="O8" s="162"/>
      <c r="P8" s="162"/>
      <c r="Q8" s="162"/>
      <c r="R8" s="162"/>
      <c r="S8" s="162"/>
      <c r="T8" s="162"/>
      <c r="U8" s="162"/>
      <c r="V8" s="162"/>
      <c r="W8" s="162"/>
      <c r="X8" s="162"/>
      <c r="Y8" s="162"/>
      <c r="Z8" s="162"/>
      <c r="AA8" s="162"/>
      <c r="AB8" s="162"/>
      <c r="AC8" s="162"/>
      <c r="AD8" s="162"/>
      <c r="AE8" s="162"/>
      <c r="AF8" s="162"/>
      <c r="AG8" s="162"/>
      <c r="AH8" s="162"/>
    </row>
    <row r="9" spans="1:34" ht="15" customHeight="1" x14ac:dyDescent="0.2">
      <c r="A9" s="162"/>
      <c r="B9" s="867" t="s">
        <v>34</v>
      </c>
      <c r="C9" s="867"/>
      <c r="D9" s="763">
        <v>2014</v>
      </c>
      <c r="E9" s="162"/>
      <c r="F9" s="162"/>
      <c r="G9" s="162"/>
      <c r="H9" s="162"/>
      <c r="I9" s="162"/>
      <c r="J9" s="162"/>
      <c r="K9" s="867"/>
      <c r="L9" s="867"/>
      <c r="M9" s="970"/>
      <c r="N9" s="970"/>
      <c r="O9" s="162"/>
      <c r="P9" s="162"/>
      <c r="Q9" s="162"/>
      <c r="R9" s="162"/>
      <c r="S9" s="162"/>
      <c r="T9" s="867"/>
      <c r="U9" s="970"/>
      <c r="V9" s="162"/>
      <c r="W9" s="162"/>
      <c r="X9" s="162"/>
      <c r="Y9" s="867"/>
      <c r="Z9" s="867"/>
      <c r="AA9" s="970"/>
      <c r="AB9" s="970"/>
      <c r="AC9" s="162"/>
      <c r="AD9" s="162"/>
      <c r="AE9" s="162"/>
      <c r="AF9" s="162"/>
      <c r="AG9" s="162"/>
      <c r="AH9" s="162"/>
    </row>
    <row r="10" spans="1:34" ht="15" customHeight="1" x14ac:dyDescent="0.2">
      <c r="A10" s="162"/>
      <c r="B10" s="867"/>
      <c r="C10" s="867"/>
      <c r="D10" s="970"/>
      <c r="E10" s="970"/>
      <c r="F10" s="162"/>
      <c r="G10" s="162"/>
      <c r="H10" s="162"/>
      <c r="I10" s="162"/>
      <c r="J10" s="162"/>
      <c r="K10" s="867"/>
      <c r="L10" s="867"/>
      <c r="M10" s="970"/>
      <c r="N10" s="970"/>
      <c r="O10" s="162"/>
      <c r="P10" s="162"/>
      <c r="Q10" s="162"/>
      <c r="R10" s="162"/>
      <c r="S10" s="162"/>
      <c r="T10" s="867"/>
      <c r="U10" s="970"/>
      <c r="V10" s="162"/>
      <c r="W10" s="162"/>
      <c r="X10" s="162"/>
      <c r="Y10" s="867"/>
      <c r="Z10" s="867"/>
      <c r="AA10" s="970"/>
      <c r="AB10" s="970"/>
      <c r="AC10" s="162"/>
      <c r="AD10" s="162"/>
      <c r="AE10" s="162"/>
      <c r="AF10" s="162"/>
      <c r="AG10" s="162"/>
      <c r="AH10" s="162"/>
    </row>
    <row r="11" spans="1:34" ht="18" customHeight="1" x14ac:dyDescent="0.2">
      <c r="A11" s="877"/>
      <c r="B11" s="881" t="str">
        <f>"Citizens of "&amp;Cntry!D8</f>
        <v xml:space="preserve">Citizens of Chile </v>
      </c>
      <c r="C11" s="871"/>
      <c r="D11" s="871"/>
      <c r="E11" s="871"/>
      <c r="F11" s="871"/>
      <c r="G11" s="871"/>
      <c r="H11" s="871"/>
      <c r="I11" s="871"/>
      <c r="J11" s="924"/>
      <c r="K11" s="881" t="s">
        <v>50</v>
      </c>
      <c r="L11" s="871"/>
      <c r="M11" s="871"/>
      <c r="N11" s="871"/>
      <c r="O11" s="871"/>
      <c r="P11" s="871"/>
      <c r="Q11" s="871"/>
      <c r="R11" s="871"/>
      <c r="S11" s="924"/>
      <c r="T11" s="925" t="s">
        <v>277</v>
      </c>
      <c r="U11" s="926"/>
      <c r="V11" s="926"/>
      <c r="W11" s="926"/>
      <c r="X11" s="927"/>
      <c r="Y11" s="881" t="s">
        <v>42</v>
      </c>
      <c r="Z11" s="871"/>
      <c r="AA11" s="871"/>
      <c r="AB11" s="871"/>
      <c r="AC11" s="871"/>
      <c r="AD11" s="871"/>
      <c r="AE11" s="871"/>
      <c r="AF11" s="871"/>
      <c r="AG11" s="924"/>
      <c r="AH11" s="162"/>
    </row>
    <row r="12" spans="1:34" s="281" customFormat="1" ht="21" customHeight="1" x14ac:dyDescent="0.2">
      <c r="A12" s="865"/>
      <c r="B12" s="881" t="s">
        <v>747</v>
      </c>
      <c r="C12" s="871"/>
      <c r="D12" s="871"/>
      <c r="E12" s="871"/>
      <c r="F12" s="871"/>
      <c r="G12" s="871"/>
      <c r="H12" s="871"/>
      <c r="I12" s="871"/>
      <c r="J12" s="924"/>
      <c r="K12" s="881" t="s">
        <v>747</v>
      </c>
      <c r="L12" s="871"/>
      <c r="M12" s="871"/>
      <c r="N12" s="871"/>
      <c r="O12" s="871"/>
      <c r="P12" s="871"/>
      <c r="Q12" s="871"/>
      <c r="R12" s="871"/>
      <c r="S12" s="924"/>
      <c r="T12" s="925" t="s">
        <v>747</v>
      </c>
      <c r="U12" s="926"/>
      <c r="V12" s="926"/>
      <c r="W12" s="926"/>
      <c r="X12" s="927"/>
      <c r="Y12" s="881" t="s">
        <v>747</v>
      </c>
      <c r="Z12" s="871"/>
      <c r="AA12" s="871"/>
      <c r="AB12" s="871"/>
      <c r="AC12" s="871"/>
      <c r="AD12" s="871"/>
      <c r="AE12" s="871"/>
      <c r="AF12" s="871"/>
      <c r="AG12" s="924"/>
      <c r="AH12" s="178"/>
    </row>
    <row r="13" spans="1:34" s="281" customFormat="1" ht="40.5" customHeight="1" x14ac:dyDescent="0.2">
      <c r="A13" s="947" t="s">
        <v>761</v>
      </c>
      <c r="B13" s="1838" t="s">
        <v>744</v>
      </c>
      <c r="C13" s="1839"/>
      <c r="D13" s="1839" t="s">
        <v>746</v>
      </c>
      <c r="E13" s="1839"/>
      <c r="F13" s="1839" t="s">
        <v>745</v>
      </c>
      <c r="G13" s="1839"/>
      <c r="H13" s="944" t="s">
        <v>24</v>
      </c>
      <c r="I13" s="1836" t="s">
        <v>42</v>
      </c>
      <c r="J13" s="1837"/>
      <c r="K13" s="1838" t="s">
        <v>744</v>
      </c>
      <c r="L13" s="1839"/>
      <c r="M13" s="1839" t="s">
        <v>746</v>
      </c>
      <c r="N13" s="1839"/>
      <c r="O13" s="1839" t="s">
        <v>745</v>
      </c>
      <c r="P13" s="1839"/>
      <c r="Q13" s="944" t="s">
        <v>24</v>
      </c>
      <c r="R13" s="1836" t="s">
        <v>42</v>
      </c>
      <c r="S13" s="1837"/>
      <c r="T13" s="945" t="s">
        <v>744</v>
      </c>
      <c r="U13" s="875" t="s">
        <v>746</v>
      </c>
      <c r="V13" s="875" t="s">
        <v>745</v>
      </c>
      <c r="W13" s="884" t="s">
        <v>24</v>
      </c>
      <c r="X13" s="946" t="s">
        <v>42</v>
      </c>
      <c r="Y13" s="1838" t="s">
        <v>744</v>
      </c>
      <c r="Z13" s="1839"/>
      <c r="AA13" s="1839" t="s">
        <v>746</v>
      </c>
      <c r="AB13" s="1839"/>
      <c r="AC13" s="1839" t="s">
        <v>745</v>
      </c>
      <c r="AD13" s="1839"/>
      <c r="AE13" s="944" t="s">
        <v>24</v>
      </c>
      <c r="AF13" s="1836" t="s">
        <v>42</v>
      </c>
      <c r="AG13" s="1837"/>
      <c r="AH13" s="178"/>
    </row>
    <row r="14" spans="1:34" s="873" customFormat="1" ht="38.25" customHeight="1" x14ac:dyDescent="0.2">
      <c r="A14" s="916" t="str">
        <f>"Mobile Doctorate Holders having returned to or arrived "&amp;Cntry!D8&amp;" in the last 10 years"</f>
        <v>Mobile Doctorate Holders having returned to or arrived Chile  in the last 10 years</v>
      </c>
      <c r="B14" s="1630">
        <f xml:space="preserve">  3728.03337784</f>
        <v>3728.03337784</v>
      </c>
      <c r="C14" s="1433"/>
      <c r="D14" s="1631">
        <f>2886.90921228+1297.3271028+392.049399199</f>
        <v>4576.285714278999</v>
      </c>
      <c r="E14" s="972"/>
      <c r="F14" s="1631">
        <f>106.922563418+ 85.5380507343</f>
        <v>192.4606141523</v>
      </c>
      <c r="G14" s="1437"/>
      <c r="H14" s="1633"/>
      <c r="I14" s="1632">
        <f>SUM(B14,D14,F14,H14)</f>
        <v>8496.7797062712998</v>
      </c>
      <c r="J14" s="1448"/>
      <c r="K14" s="971">
        <v>256.614152203</v>
      </c>
      <c r="L14" s="1433"/>
      <c r="M14" s="972">
        <f>213.845126836+206.716955941+85.5380507343</f>
        <v>506.10013351129999</v>
      </c>
      <c r="N14" s="972"/>
      <c r="O14" s="972">
        <f>28.5126835781+7.12817089453</f>
        <v>35.640854472629997</v>
      </c>
      <c r="P14" s="1437"/>
      <c r="Q14" s="973"/>
      <c r="R14" s="1441">
        <f>SUM(O14,M14,K14)</f>
        <v>798.35514018692993</v>
      </c>
      <c r="S14" s="1448"/>
      <c r="T14" s="974"/>
      <c r="U14" s="975"/>
      <c r="V14" s="975"/>
      <c r="W14" s="976"/>
      <c r="X14" s="977"/>
      <c r="Y14" s="1630">
        <f>SUM(B14,K14)</f>
        <v>3984.6475300430002</v>
      </c>
      <c r="Z14" s="1433"/>
      <c r="AA14" s="1631">
        <f>SUM(D14,M14)</f>
        <v>5082.3858477902986</v>
      </c>
      <c r="AB14" s="972"/>
      <c r="AC14" s="1631">
        <f>SUM(F14,O14)</f>
        <v>228.10146862492999</v>
      </c>
      <c r="AD14" s="1437"/>
      <c r="AE14" s="973"/>
      <c r="AF14" s="1632">
        <f>SUM(AC14,AA14,Y14)</f>
        <v>9295.1348464582297</v>
      </c>
      <c r="AG14" s="1448"/>
      <c r="AH14" s="872"/>
    </row>
    <row r="15" spans="1:34" s="873" customFormat="1" ht="18" customHeight="1" x14ac:dyDescent="0.2">
      <c r="A15" s="184" t="s">
        <v>815</v>
      </c>
      <c r="B15" s="940"/>
      <c r="C15" s="941"/>
      <c r="D15" s="941"/>
      <c r="E15" s="941"/>
      <c r="F15" s="941"/>
      <c r="G15" s="941"/>
      <c r="H15" s="942"/>
      <c r="I15" s="942"/>
      <c r="J15" s="941"/>
      <c r="K15" s="941"/>
      <c r="L15" s="941"/>
      <c r="M15" s="941"/>
      <c r="N15" s="941"/>
      <c r="O15" s="941"/>
      <c r="P15" s="941"/>
      <c r="Q15" s="942"/>
      <c r="R15" s="942"/>
      <c r="S15" s="941"/>
      <c r="T15" s="943"/>
      <c r="U15" s="943"/>
      <c r="V15" s="943"/>
      <c r="W15" s="943"/>
      <c r="X15" s="943"/>
      <c r="Y15" s="941"/>
      <c r="Z15" s="941"/>
      <c r="AA15" s="941"/>
      <c r="AB15" s="941"/>
      <c r="AC15" s="941"/>
      <c r="AD15" s="941"/>
      <c r="AE15" s="942"/>
      <c r="AF15" s="942"/>
      <c r="AG15" s="941"/>
      <c r="AH15" s="872"/>
    </row>
    <row r="16" spans="1:34" s="281" customFormat="1" ht="15" customHeight="1" x14ac:dyDescent="0.2">
      <c r="A16" s="920" t="s">
        <v>301</v>
      </c>
      <c r="B16" s="921">
        <f>1197.533+ 21.384513</f>
        <v>1218.9175129999999</v>
      </c>
      <c r="C16" s="1434"/>
      <c r="D16" s="922">
        <f>1447.019+ 755.58611+256.61415+35.640854+ 42.769025</f>
        <v>2537.6291390000001</v>
      </c>
      <c r="E16" s="922"/>
      <c r="F16" s="922">
        <f>64.153538+ 49.897196</f>
        <v>114.05073400000001</v>
      </c>
      <c r="G16" s="1438"/>
      <c r="H16" s="923"/>
      <c r="I16" s="1442">
        <f>SUM(H16,F16,D16,B16)</f>
        <v>3870.5973859999999</v>
      </c>
      <c r="J16" s="1445"/>
      <c r="K16" s="921">
        <v>106.92256</v>
      </c>
      <c r="L16" s="1434"/>
      <c r="M16" s="922">
        <f>106.92256+ 128.30708+49.897196+14.256342</f>
        <v>299.38317800000004</v>
      </c>
      <c r="N16" s="922"/>
      <c r="O16" s="922">
        <f>14.256342+ 7.1281709</f>
        <v>21.384512900000001</v>
      </c>
      <c r="P16" s="1438"/>
      <c r="Q16" s="923"/>
      <c r="R16" s="1442">
        <f>SUM(K16,M16,O16)</f>
        <v>427.69025090000002</v>
      </c>
      <c r="S16" s="1445"/>
      <c r="T16" s="928"/>
      <c r="U16" s="929"/>
      <c r="V16" s="929"/>
      <c r="W16" s="930"/>
      <c r="X16" s="931"/>
      <c r="Y16" s="921">
        <f>SUM(B16,K16)</f>
        <v>1325.8400729999998</v>
      </c>
      <c r="Z16" s="1434"/>
      <c r="AA16" s="922">
        <f>SUM(D16,M16)</f>
        <v>2837.0123170000002</v>
      </c>
      <c r="AB16" s="922"/>
      <c r="AC16" s="922">
        <f>SUM(F16,O16)</f>
        <v>135.43524690000001</v>
      </c>
      <c r="AD16" s="1438"/>
      <c r="AE16" s="923"/>
      <c r="AF16" s="1442">
        <f>SUM(Y16,AA16,AC16)</f>
        <v>4298.2876368999996</v>
      </c>
      <c r="AG16" s="1445"/>
      <c r="AH16" s="178"/>
    </row>
    <row r="17" spans="1:34" s="281" customFormat="1" ht="15" customHeight="1" x14ac:dyDescent="0.2">
      <c r="A17" s="176" t="s">
        <v>302</v>
      </c>
      <c r="B17" s="908">
        <f>242.35781+7.1281709</f>
        <v>249.48598089999999</v>
      </c>
      <c r="C17" s="1435"/>
      <c r="D17" s="909">
        <f>256.61415+156.81976+78.40988+7.1281709+21.384513</f>
        <v>520.35647389999997</v>
      </c>
      <c r="E17" s="909"/>
      <c r="F17" s="909">
        <f>28.512684+ 14.256342+ 7.1281709+14.256342</f>
        <v>64.153538900000001</v>
      </c>
      <c r="G17" s="1439"/>
      <c r="H17" s="917"/>
      <c r="I17" s="1442">
        <f t="shared" ref="I17:I20" si="0">SUM(H17,F17,D17,B17)</f>
        <v>833.99599369999987</v>
      </c>
      <c r="J17" s="1446"/>
      <c r="K17" s="908">
        <v>21.384512999999998</v>
      </c>
      <c r="L17" s="1435"/>
      <c r="M17" s="909">
        <f>14.256342+49.897196+7.1281709</f>
        <v>71.281708899999998</v>
      </c>
      <c r="N17" s="909"/>
      <c r="O17" s="909">
        <v>0</v>
      </c>
      <c r="P17" s="1439"/>
      <c r="Q17" s="917"/>
      <c r="R17" s="1443">
        <f t="shared" ref="R17:R20" si="1">SUM(K17,M17,O17)</f>
        <v>92.666221899999996</v>
      </c>
      <c r="S17" s="1446"/>
      <c r="T17" s="932"/>
      <c r="U17" s="933"/>
      <c r="V17" s="933"/>
      <c r="W17" s="934"/>
      <c r="X17" s="935"/>
      <c r="Y17" s="908">
        <f t="shared" ref="Y17:Y19" si="2">SUM(B17,K17)</f>
        <v>270.87049389999999</v>
      </c>
      <c r="Z17" s="1435"/>
      <c r="AA17" s="909">
        <f t="shared" ref="AA17:AA20" si="3">SUM(D17,M17)</f>
        <v>591.63818279999998</v>
      </c>
      <c r="AB17" s="909"/>
      <c r="AC17" s="909">
        <f t="shared" ref="AC17:AC20" si="4">SUM(F17,O17)</f>
        <v>64.153538900000001</v>
      </c>
      <c r="AD17" s="1439"/>
      <c r="AE17" s="917"/>
      <c r="AF17" s="1443">
        <f t="shared" ref="AF17:AF20" si="5">SUM(Y17,AA17,AC17)</f>
        <v>926.66221560000008</v>
      </c>
      <c r="AG17" s="1446"/>
      <c r="AH17" s="178"/>
    </row>
    <row r="18" spans="1:34" s="281" customFormat="1" ht="15" customHeight="1" x14ac:dyDescent="0.2">
      <c r="A18" s="176" t="s">
        <v>743</v>
      </c>
      <c r="B18" s="908">
        <f>299.38318+14.256342</f>
        <v>313.639522</v>
      </c>
      <c r="C18" s="1435"/>
      <c r="D18" s="909">
        <f>677.176235+213.84513+ 28.512684+21.384513+7.1281709</f>
        <v>948.04673290000005</v>
      </c>
      <c r="E18" s="909"/>
      <c r="F18" s="909">
        <f>7.1281709</f>
        <v>7.1281708999999998</v>
      </c>
      <c r="G18" s="1439"/>
      <c r="H18" s="917"/>
      <c r="I18" s="1442">
        <f t="shared" si="0"/>
        <v>1268.8144258</v>
      </c>
      <c r="J18" s="1446"/>
      <c r="K18" s="908">
        <v>21.384512999999998</v>
      </c>
      <c r="L18" s="1435"/>
      <c r="M18" s="909">
        <f>21.384513+7.1281709+ 14.256342</f>
        <v>42.769025900000003</v>
      </c>
      <c r="N18" s="909"/>
      <c r="O18" s="909">
        <f>7.1281709+7.1281709</f>
        <v>14.2563418</v>
      </c>
      <c r="P18" s="1439"/>
      <c r="Q18" s="917"/>
      <c r="R18" s="1443">
        <f t="shared" si="1"/>
        <v>78.409880700000002</v>
      </c>
      <c r="S18" s="1446"/>
      <c r="T18" s="932"/>
      <c r="U18" s="933"/>
      <c r="V18" s="933"/>
      <c r="W18" s="934"/>
      <c r="X18" s="935"/>
      <c r="Y18" s="908">
        <f t="shared" si="2"/>
        <v>335.02403500000003</v>
      </c>
      <c r="Z18" s="1435"/>
      <c r="AA18" s="909">
        <f t="shared" si="3"/>
        <v>990.81575880000003</v>
      </c>
      <c r="AB18" s="909"/>
      <c r="AC18" s="909">
        <f t="shared" si="4"/>
        <v>21.384512699999998</v>
      </c>
      <c r="AD18" s="1439"/>
      <c r="AE18" s="917"/>
      <c r="AF18" s="1443">
        <f t="shared" si="5"/>
        <v>1347.2243065</v>
      </c>
      <c r="AG18" s="1446"/>
      <c r="AH18" s="178"/>
    </row>
    <row r="19" spans="1:34" s="281" customFormat="1" ht="15" customHeight="1" x14ac:dyDescent="0.2">
      <c r="A19" s="176" t="s">
        <v>303</v>
      </c>
      <c r="B19" s="908">
        <f>142.56342+14.256342</f>
        <v>156.819762</v>
      </c>
      <c r="C19" s="1435"/>
      <c r="D19" s="909">
        <f>206.71696+ 35.640854+7.1281709+7.1281709</f>
        <v>256.61415579999999</v>
      </c>
      <c r="E19" s="909"/>
      <c r="F19" s="909">
        <v>7.1281708999999998</v>
      </c>
      <c r="G19" s="1439"/>
      <c r="H19" s="917"/>
      <c r="I19" s="1442">
        <f t="shared" si="0"/>
        <v>420.5620887</v>
      </c>
      <c r="J19" s="1446"/>
      <c r="K19" s="908">
        <v>0</v>
      </c>
      <c r="L19" s="1435"/>
      <c r="M19" s="909">
        <f>14.256342+ 7.1281709</f>
        <v>21.384512900000001</v>
      </c>
      <c r="N19" s="909"/>
      <c r="O19" s="909">
        <v>0</v>
      </c>
      <c r="P19" s="1439"/>
      <c r="Q19" s="917"/>
      <c r="R19" s="1443">
        <f t="shared" si="1"/>
        <v>21.384512900000001</v>
      </c>
      <c r="S19" s="1446"/>
      <c r="T19" s="932"/>
      <c r="U19" s="933"/>
      <c r="V19" s="933"/>
      <c r="W19" s="934"/>
      <c r="X19" s="935"/>
      <c r="Y19" s="908">
        <f t="shared" si="2"/>
        <v>156.819762</v>
      </c>
      <c r="Z19" s="1435"/>
      <c r="AA19" s="909">
        <f t="shared" si="3"/>
        <v>277.9986687</v>
      </c>
      <c r="AB19" s="909"/>
      <c r="AC19" s="909">
        <f t="shared" si="4"/>
        <v>7.1281708999999998</v>
      </c>
      <c r="AD19" s="1439"/>
      <c r="AE19" s="917"/>
      <c r="AF19" s="1443">
        <f t="shared" si="5"/>
        <v>441.94660160000001</v>
      </c>
      <c r="AG19" s="1446"/>
      <c r="AH19" s="178"/>
    </row>
    <row r="20" spans="1:34" s="281" customFormat="1" ht="15" customHeight="1" x14ac:dyDescent="0.2">
      <c r="A20" s="919" t="s">
        <v>304</v>
      </c>
      <c r="B20" s="910">
        <f>1717.889+ 71.281709</f>
        <v>1789.170709</v>
      </c>
      <c r="C20" s="1436"/>
      <c r="D20" s="911">
        <f>220.9733+64.153538+21.384513+7.1281709</f>
        <v>313.63952189999998</v>
      </c>
      <c r="E20" s="911"/>
      <c r="F20" s="911">
        <v>0</v>
      </c>
      <c r="G20" s="1440"/>
      <c r="H20" s="918"/>
      <c r="I20" s="1444">
        <f t="shared" si="0"/>
        <v>2102.8102309000001</v>
      </c>
      <c r="J20" s="1447"/>
      <c r="K20" s="910">
        <v>106.92256</v>
      </c>
      <c r="L20" s="1436"/>
      <c r="M20" s="911">
        <f>57.025367+ 7.1281709+7.1281709</f>
        <v>71.281708800000004</v>
      </c>
      <c r="N20" s="911"/>
      <c r="O20" s="911">
        <v>0</v>
      </c>
      <c r="P20" s="1440"/>
      <c r="Q20" s="918"/>
      <c r="R20" s="1444">
        <f t="shared" si="1"/>
        <v>178.20426880000002</v>
      </c>
      <c r="S20" s="1447"/>
      <c r="T20" s="936"/>
      <c r="U20" s="937"/>
      <c r="V20" s="937"/>
      <c r="W20" s="938"/>
      <c r="X20" s="939"/>
      <c r="Y20" s="910">
        <f>SUM(B20,K20)</f>
        <v>1896.093269</v>
      </c>
      <c r="Z20" s="1436"/>
      <c r="AA20" s="911">
        <f t="shared" si="3"/>
        <v>384.92123069999997</v>
      </c>
      <c r="AB20" s="911"/>
      <c r="AC20" s="911">
        <f t="shared" si="4"/>
        <v>0</v>
      </c>
      <c r="AD20" s="1440"/>
      <c r="AE20" s="918"/>
      <c r="AF20" s="1444">
        <f t="shared" si="5"/>
        <v>2281.0144996999998</v>
      </c>
      <c r="AG20" s="1447"/>
      <c r="AH20" s="178"/>
    </row>
    <row r="21" spans="1:34" ht="15" customHeight="1" x14ac:dyDescent="0.2">
      <c r="A21" s="162"/>
      <c r="B21" s="162"/>
      <c r="C21" s="162"/>
      <c r="D21" s="162"/>
      <c r="E21" s="162"/>
      <c r="F21" s="162"/>
      <c r="G21" s="162"/>
      <c r="H21" s="162"/>
      <c r="I21" s="162"/>
      <c r="J21" s="162"/>
      <c r="K21" s="162"/>
      <c r="L21" s="162"/>
      <c r="M21" s="162"/>
      <c r="N21" s="162"/>
      <c r="O21" s="162"/>
      <c r="P21" s="162"/>
      <c r="Q21" s="162"/>
      <c r="R21" s="162"/>
      <c r="S21" s="162"/>
      <c r="T21" s="162"/>
      <c r="U21" s="162"/>
      <c r="V21" s="162"/>
      <c r="W21" s="162"/>
      <c r="X21" s="162"/>
      <c r="Y21" s="162"/>
      <c r="Z21" s="162"/>
      <c r="AA21" s="162"/>
      <c r="AB21" s="162"/>
      <c r="AC21" s="162"/>
      <c r="AD21" s="162"/>
      <c r="AE21" s="162"/>
      <c r="AF21" s="162"/>
      <c r="AG21" s="162"/>
      <c r="AH21" s="162"/>
    </row>
    <row r="22" spans="1:34" ht="15" customHeight="1" x14ac:dyDescent="0.2">
      <c r="A22" s="162"/>
      <c r="B22" s="162"/>
      <c r="C22" s="162"/>
      <c r="D22" s="162"/>
      <c r="E22" s="162"/>
      <c r="F22" s="162"/>
      <c r="G22" s="162"/>
      <c r="H22" s="162"/>
      <c r="I22" s="162"/>
      <c r="J22" s="162"/>
      <c r="K22" s="162"/>
      <c r="L22" s="162"/>
      <c r="M22" s="162"/>
      <c r="N22" s="162"/>
      <c r="O22" s="162"/>
      <c r="P22" s="162"/>
      <c r="Q22" s="162"/>
      <c r="R22" s="162"/>
      <c r="S22" s="162"/>
      <c r="T22" s="162"/>
      <c r="U22" s="162"/>
      <c r="V22" s="162"/>
      <c r="W22" s="162"/>
      <c r="X22" s="162"/>
      <c r="Y22" s="162"/>
      <c r="Z22" s="162"/>
      <c r="AA22" s="162"/>
      <c r="AB22" s="162"/>
      <c r="AC22" s="162"/>
      <c r="AD22" s="162"/>
      <c r="AE22" s="162"/>
      <c r="AF22" s="162"/>
      <c r="AG22" s="162"/>
      <c r="AH22" s="162"/>
    </row>
    <row r="23" spans="1:34" ht="15" customHeight="1" x14ac:dyDescent="0.2">
      <c r="A23" s="864" t="s">
        <v>32</v>
      </c>
      <c r="B23" s="753" t="s">
        <v>1061</v>
      </c>
      <c r="C23" s="751"/>
      <c r="D23" s="752"/>
      <c r="E23" s="752"/>
      <c r="F23" s="752"/>
      <c r="G23" s="752"/>
      <c r="H23" s="752"/>
      <c r="I23" s="752"/>
      <c r="J23" s="752"/>
      <c r="K23" s="751"/>
      <c r="L23" s="751"/>
      <c r="M23" s="752"/>
      <c r="N23" s="752"/>
      <c r="O23" s="752"/>
      <c r="P23" s="752"/>
      <c r="Q23" s="752"/>
      <c r="R23" s="752"/>
      <c r="S23" s="752"/>
      <c r="T23" s="751"/>
      <c r="U23" s="752"/>
      <c r="V23" s="752"/>
      <c r="W23" s="752"/>
      <c r="X23" s="752"/>
      <c r="Y23" s="751"/>
      <c r="Z23" s="751"/>
      <c r="AA23" s="752"/>
      <c r="AB23" s="752"/>
      <c r="AC23" s="752"/>
      <c r="AD23" s="752"/>
      <c r="AE23" s="752"/>
      <c r="AF23" s="752"/>
      <c r="AG23" s="752"/>
      <c r="AH23" s="162"/>
    </row>
    <row r="24" spans="1:34" ht="15" customHeight="1" x14ac:dyDescent="0.2">
      <c r="A24" s="162"/>
      <c r="B24" s="751" t="s">
        <v>1060</v>
      </c>
      <c r="C24" s="753"/>
      <c r="D24" s="754"/>
      <c r="E24" s="754"/>
      <c r="F24" s="754"/>
      <c r="G24" s="754"/>
      <c r="H24" s="754"/>
      <c r="I24" s="754"/>
      <c r="J24" s="754"/>
      <c r="K24" s="753"/>
      <c r="L24" s="753"/>
      <c r="M24" s="754"/>
      <c r="N24" s="754"/>
      <c r="O24" s="754"/>
      <c r="P24" s="754"/>
      <c r="Q24" s="754"/>
      <c r="R24" s="754"/>
      <c r="S24" s="754"/>
      <c r="T24" s="753"/>
      <c r="U24" s="754"/>
      <c r="V24" s="754"/>
      <c r="W24" s="754"/>
      <c r="X24" s="754"/>
      <c r="Y24" s="753"/>
      <c r="Z24" s="753"/>
      <c r="AA24" s="754"/>
      <c r="AB24" s="754"/>
      <c r="AC24" s="754"/>
      <c r="AD24" s="754"/>
      <c r="AE24" s="754"/>
      <c r="AF24" s="754"/>
      <c r="AG24" s="754"/>
      <c r="AH24" s="162"/>
    </row>
    <row r="25" spans="1:34" ht="15" customHeight="1" x14ac:dyDescent="0.2">
      <c r="A25" s="162"/>
      <c r="B25" s="751"/>
      <c r="C25" s="753"/>
      <c r="D25" s="754"/>
      <c r="E25" s="754"/>
      <c r="F25" s="754"/>
      <c r="G25" s="754"/>
      <c r="H25" s="754"/>
      <c r="I25" s="754"/>
      <c r="J25" s="754"/>
      <c r="K25" s="753"/>
      <c r="L25" s="753"/>
      <c r="M25" s="754"/>
      <c r="N25" s="754"/>
      <c r="O25" s="754"/>
      <c r="P25" s="754"/>
      <c r="Q25" s="754"/>
      <c r="R25" s="754"/>
      <c r="S25" s="754"/>
      <c r="T25" s="753"/>
      <c r="U25" s="754"/>
      <c r="V25" s="754"/>
      <c r="W25" s="754"/>
      <c r="X25" s="754"/>
      <c r="Y25" s="753"/>
      <c r="Z25" s="753"/>
      <c r="AA25" s="754"/>
      <c r="AB25" s="754"/>
      <c r="AC25" s="754"/>
      <c r="AD25" s="754"/>
      <c r="AE25" s="754"/>
      <c r="AF25" s="754"/>
      <c r="AG25" s="754"/>
      <c r="AH25" s="162"/>
    </row>
    <row r="26" spans="1:34" ht="15" customHeight="1" x14ac:dyDescent="0.2">
      <c r="A26" s="162"/>
      <c r="B26" s="753"/>
      <c r="C26" s="753"/>
      <c r="D26" s="754"/>
      <c r="E26" s="754"/>
      <c r="F26" s="754"/>
      <c r="G26" s="754"/>
      <c r="H26" s="754"/>
      <c r="I26" s="754"/>
      <c r="J26" s="754"/>
      <c r="K26" s="753"/>
      <c r="L26" s="753"/>
      <c r="M26" s="754"/>
      <c r="N26" s="754"/>
      <c r="O26" s="754"/>
      <c r="P26" s="754"/>
      <c r="Q26" s="754"/>
      <c r="R26" s="754"/>
      <c r="S26" s="754"/>
      <c r="T26" s="753"/>
      <c r="U26" s="754"/>
      <c r="V26" s="754"/>
      <c r="W26" s="754"/>
      <c r="X26" s="754"/>
      <c r="Y26" s="753"/>
      <c r="Z26" s="753"/>
      <c r="AA26" s="754"/>
      <c r="AB26" s="754"/>
      <c r="AC26" s="754"/>
      <c r="AD26" s="754"/>
      <c r="AE26" s="754"/>
      <c r="AF26" s="754"/>
      <c r="AG26" s="754"/>
      <c r="AH26" s="162"/>
    </row>
    <row r="27" spans="1:34" ht="15" customHeight="1" x14ac:dyDescent="0.2">
      <c r="A27" s="162"/>
      <c r="B27" s="162"/>
      <c r="C27" s="162"/>
      <c r="D27" s="162"/>
      <c r="E27" s="162"/>
      <c r="F27" s="162"/>
      <c r="G27" s="162"/>
      <c r="H27" s="162"/>
      <c r="I27" s="162"/>
      <c r="J27" s="162"/>
      <c r="K27" s="162"/>
      <c r="L27" s="162"/>
      <c r="M27" s="162"/>
      <c r="N27" s="162"/>
      <c r="O27" s="162"/>
      <c r="P27" s="162"/>
      <c r="Q27" s="162"/>
      <c r="R27" s="162"/>
      <c r="S27" s="162"/>
      <c r="T27" s="162"/>
      <c r="U27" s="162"/>
      <c r="V27" s="162"/>
      <c r="W27" s="162"/>
      <c r="X27" s="162"/>
      <c r="Y27" s="162"/>
      <c r="Z27" s="162"/>
      <c r="AA27" s="162"/>
      <c r="AB27" s="162"/>
      <c r="AC27" s="162"/>
      <c r="AD27" s="162"/>
      <c r="AE27" s="162"/>
      <c r="AF27" s="162"/>
      <c r="AG27" s="162"/>
      <c r="AH27" s="162"/>
    </row>
    <row r="28" spans="1:34" ht="15" customHeight="1" x14ac:dyDescent="0.2">
      <c r="A28" s="864" t="s">
        <v>33</v>
      </c>
      <c r="B28" s="751"/>
      <c r="C28" s="751"/>
      <c r="D28" s="752"/>
      <c r="E28" s="752"/>
      <c r="F28" s="752"/>
      <c r="G28" s="752"/>
      <c r="H28" s="752"/>
      <c r="I28" s="752"/>
      <c r="J28" s="752"/>
      <c r="K28" s="751"/>
      <c r="L28" s="751"/>
      <c r="M28" s="752"/>
      <c r="N28" s="752"/>
      <c r="O28" s="752"/>
      <c r="P28" s="752"/>
      <c r="Q28" s="752"/>
      <c r="R28" s="752"/>
      <c r="S28" s="752"/>
      <c r="T28" s="751"/>
      <c r="U28" s="752"/>
      <c r="V28" s="752"/>
      <c r="W28" s="752"/>
      <c r="X28" s="752"/>
      <c r="Y28" s="751"/>
      <c r="Z28" s="751"/>
      <c r="AA28" s="752"/>
      <c r="AB28" s="752"/>
      <c r="AC28" s="752"/>
      <c r="AD28" s="752"/>
      <c r="AE28" s="752"/>
      <c r="AF28" s="752"/>
      <c r="AG28" s="752"/>
      <c r="AH28" s="162"/>
    </row>
    <row r="29" spans="1:34" ht="15" customHeight="1" x14ac:dyDescent="0.2">
      <c r="A29" s="864"/>
      <c r="B29" s="753"/>
      <c r="C29" s="753"/>
      <c r="D29" s="754"/>
      <c r="E29" s="754"/>
      <c r="F29" s="754"/>
      <c r="G29" s="754"/>
      <c r="H29" s="754"/>
      <c r="I29" s="754"/>
      <c r="J29" s="754"/>
      <c r="K29" s="753"/>
      <c r="L29" s="753"/>
      <c r="M29" s="754"/>
      <c r="N29" s="754"/>
      <c r="O29" s="754"/>
      <c r="P29" s="754"/>
      <c r="Q29" s="754"/>
      <c r="R29" s="754"/>
      <c r="S29" s="754"/>
      <c r="T29" s="753"/>
      <c r="U29" s="754"/>
      <c r="V29" s="754"/>
      <c r="W29" s="754"/>
      <c r="X29" s="754"/>
      <c r="Y29" s="753"/>
      <c r="Z29" s="753"/>
      <c r="AA29" s="754"/>
      <c r="AB29" s="754"/>
      <c r="AC29" s="754"/>
      <c r="AD29" s="754"/>
      <c r="AE29" s="754"/>
      <c r="AF29" s="754"/>
      <c r="AG29" s="754"/>
      <c r="AH29" s="162"/>
    </row>
    <row r="30" spans="1:34" ht="15" customHeight="1" x14ac:dyDescent="0.2">
      <c r="A30" s="162"/>
      <c r="B30" s="753"/>
      <c r="C30" s="753"/>
      <c r="D30" s="754"/>
      <c r="E30" s="754"/>
      <c r="F30" s="754"/>
      <c r="G30" s="754"/>
      <c r="H30" s="754"/>
      <c r="I30" s="754"/>
      <c r="J30" s="754"/>
      <c r="K30" s="753"/>
      <c r="L30" s="753"/>
      <c r="M30" s="754"/>
      <c r="N30" s="754"/>
      <c r="O30" s="754"/>
      <c r="P30" s="754"/>
      <c r="Q30" s="754"/>
      <c r="R30" s="754"/>
      <c r="S30" s="754"/>
      <c r="T30" s="753"/>
      <c r="U30" s="754"/>
      <c r="V30" s="754"/>
      <c r="W30" s="754"/>
      <c r="X30" s="754"/>
      <c r="Y30" s="753"/>
      <c r="Z30" s="753"/>
      <c r="AA30" s="754"/>
      <c r="AB30" s="754"/>
      <c r="AC30" s="754"/>
      <c r="AD30" s="754"/>
      <c r="AE30" s="754"/>
      <c r="AF30" s="754"/>
      <c r="AG30" s="754"/>
      <c r="AH30" s="162"/>
    </row>
    <row r="31" spans="1:34" ht="15" customHeight="1" x14ac:dyDescent="0.2">
      <c r="A31" s="162"/>
      <c r="B31" s="753"/>
      <c r="C31" s="753"/>
      <c r="D31" s="754"/>
      <c r="E31" s="754"/>
      <c r="F31" s="754"/>
      <c r="G31" s="754"/>
      <c r="H31" s="754"/>
      <c r="I31" s="754"/>
      <c r="J31" s="754"/>
      <c r="K31" s="753"/>
      <c r="L31" s="753"/>
      <c r="M31" s="754"/>
      <c r="N31" s="754"/>
      <c r="O31" s="754"/>
      <c r="P31" s="754"/>
      <c r="Q31" s="754"/>
      <c r="R31" s="754"/>
      <c r="S31" s="754"/>
      <c r="T31" s="753"/>
      <c r="U31" s="754"/>
      <c r="V31" s="754"/>
      <c r="W31" s="754"/>
      <c r="X31" s="754"/>
      <c r="Y31" s="753"/>
      <c r="Z31" s="753"/>
      <c r="AA31" s="754"/>
      <c r="AB31" s="754"/>
      <c r="AC31" s="754"/>
      <c r="AD31" s="754"/>
      <c r="AE31" s="754"/>
      <c r="AF31" s="754"/>
      <c r="AG31" s="754"/>
      <c r="AH31" s="162"/>
    </row>
    <row r="32" spans="1:34" ht="15" customHeight="1" x14ac:dyDescent="0.2">
      <c r="A32" s="860"/>
      <c r="B32" s="860"/>
      <c r="C32" s="860"/>
      <c r="D32" s="860"/>
      <c r="E32" s="860"/>
      <c r="F32" s="162"/>
      <c r="G32" s="162"/>
      <c r="H32" s="162"/>
      <c r="I32" s="162"/>
      <c r="J32" s="162"/>
      <c r="K32" s="860"/>
      <c r="L32" s="860"/>
      <c r="M32" s="860"/>
      <c r="N32" s="860"/>
      <c r="O32" s="162"/>
      <c r="P32" s="162"/>
      <c r="Q32" s="162"/>
      <c r="R32" s="162"/>
      <c r="S32" s="162"/>
      <c r="T32" s="860"/>
      <c r="U32" s="860"/>
      <c r="V32" s="162"/>
      <c r="W32" s="162"/>
      <c r="X32" s="162"/>
      <c r="Y32" s="860"/>
      <c r="Z32" s="860"/>
      <c r="AA32" s="860"/>
      <c r="AB32" s="860"/>
      <c r="AC32" s="162"/>
      <c r="AD32" s="162"/>
      <c r="AE32" s="162"/>
      <c r="AF32" s="162"/>
      <c r="AG32" s="162"/>
      <c r="AH32" s="162"/>
    </row>
    <row r="33" spans="1:34" ht="15" customHeight="1" x14ac:dyDescent="0.2">
      <c r="A33" s="863" t="s">
        <v>670</v>
      </c>
      <c r="B33" s="860"/>
      <c r="C33" s="860"/>
      <c r="D33" s="860"/>
      <c r="E33" s="860"/>
      <c r="F33" s="162"/>
      <c r="G33" s="162"/>
      <c r="H33" s="162"/>
      <c r="I33" s="162"/>
      <c r="J33" s="162"/>
      <c r="K33" s="162"/>
      <c r="L33" s="162"/>
      <c r="M33" s="162"/>
      <c r="N33" s="162"/>
      <c r="O33" s="162"/>
      <c r="P33" s="162"/>
      <c r="Q33" s="162"/>
      <c r="R33" s="162"/>
      <c r="S33" s="162"/>
      <c r="T33" s="162"/>
      <c r="U33" s="162"/>
      <c r="V33" s="162"/>
      <c r="W33" s="162"/>
      <c r="X33" s="162"/>
      <c r="Y33" s="162"/>
      <c r="Z33" s="162"/>
      <c r="AA33" s="162"/>
      <c r="AB33" s="162"/>
      <c r="AC33" s="162"/>
      <c r="AD33" s="162"/>
      <c r="AE33" s="162"/>
      <c r="AF33" s="162"/>
      <c r="AG33" s="162"/>
      <c r="AH33" s="162"/>
    </row>
    <row r="34" spans="1:34" ht="15" customHeight="1" x14ac:dyDescent="0.2">
      <c r="A34" s="862"/>
      <c r="B34" s="861"/>
      <c r="C34" s="860"/>
      <c r="D34" s="860"/>
      <c r="E34" s="860"/>
      <c r="F34" s="162"/>
      <c r="G34" s="162"/>
      <c r="H34" s="162"/>
      <c r="I34" s="162"/>
      <c r="J34" s="162"/>
      <c r="K34" s="162"/>
      <c r="L34" s="162"/>
      <c r="M34" s="162"/>
      <c r="N34" s="162"/>
      <c r="O34" s="162"/>
      <c r="P34" s="162"/>
      <c r="Q34" s="162"/>
      <c r="R34" s="162"/>
      <c r="S34" s="162"/>
      <c r="T34" s="162"/>
      <c r="U34" s="162"/>
      <c r="V34" s="162"/>
      <c r="W34" s="162"/>
      <c r="X34" s="162"/>
      <c r="Y34" s="162"/>
      <c r="Z34" s="162"/>
      <c r="AA34" s="162"/>
      <c r="AB34" s="162"/>
      <c r="AC34" s="162"/>
      <c r="AD34" s="162"/>
      <c r="AE34" s="162"/>
      <c r="AF34" s="162"/>
      <c r="AG34" s="162"/>
      <c r="AH34" s="162"/>
    </row>
    <row r="35" spans="1:34" ht="15" customHeight="1" x14ac:dyDescent="0.2">
      <c r="A35" s="860"/>
      <c r="B35" s="757"/>
      <c r="C35" s="860"/>
      <c r="D35" s="860"/>
      <c r="E35" s="860"/>
      <c r="F35" s="162"/>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row>
    <row r="36" spans="1:34" ht="15" customHeight="1" x14ac:dyDescent="0.2">
      <c r="A36" s="860"/>
      <c r="B36" s="757"/>
      <c r="C36" s="860"/>
      <c r="D36" s="860"/>
      <c r="E36" s="860"/>
      <c r="F36" s="162"/>
      <c r="G36" s="162"/>
      <c r="H36" s="162"/>
      <c r="I36" s="162"/>
      <c r="J36" s="162"/>
      <c r="K36" s="162"/>
      <c r="L36" s="162"/>
      <c r="M36" s="162"/>
      <c r="N36" s="162"/>
      <c r="O36" s="162"/>
      <c r="P36" s="162"/>
      <c r="Q36" s="162"/>
      <c r="R36" s="162"/>
      <c r="S36" s="162"/>
      <c r="T36" s="162"/>
      <c r="U36" s="162"/>
      <c r="V36" s="162"/>
      <c r="W36" s="162"/>
      <c r="X36" s="162"/>
      <c r="Y36" s="162"/>
      <c r="Z36" s="162"/>
      <c r="AA36" s="162"/>
      <c r="AB36" s="162"/>
      <c r="AC36" s="162"/>
      <c r="AD36" s="162"/>
      <c r="AE36" s="162"/>
      <c r="AF36" s="162"/>
      <c r="AG36" s="162"/>
      <c r="AH36" s="162"/>
    </row>
    <row r="37" spans="1:34" ht="15" customHeight="1" x14ac:dyDescent="0.2">
      <c r="A37" s="860"/>
      <c r="B37" s="757"/>
      <c r="C37" s="860"/>
      <c r="D37" s="860"/>
      <c r="E37" s="860"/>
      <c r="F37" s="162"/>
      <c r="G37" s="162"/>
      <c r="H37" s="162"/>
      <c r="I37" s="162"/>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row>
    <row r="38" spans="1:34" ht="15" customHeight="1" x14ac:dyDescent="0.2">
      <c r="A38" s="860"/>
      <c r="B38" s="860"/>
      <c r="C38" s="860"/>
      <c r="D38" s="860"/>
      <c r="E38" s="860"/>
      <c r="F38" s="162"/>
      <c r="G38" s="162"/>
      <c r="H38" s="162"/>
      <c r="I38" s="162"/>
      <c r="J38" s="162"/>
      <c r="K38" s="860"/>
      <c r="L38" s="860"/>
      <c r="M38" s="860"/>
      <c r="N38" s="860"/>
      <c r="O38" s="162"/>
      <c r="P38" s="162"/>
      <c r="Q38" s="162"/>
      <c r="R38" s="162"/>
      <c r="S38" s="162"/>
      <c r="T38" s="860"/>
      <c r="U38" s="860"/>
      <c r="V38" s="162"/>
      <c r="W38" s="162"/>
      <c r="X38" s="162"/>
      <c r="Y38" s="860"/>
      <c r="Z38" s="860"/>
      <c r="AA38" s="860"/>
      <c r="AB38" s="860"/>
      <c r="AC38" s="162"/>
      <c r="AD38" s="162"/>
      <c r="AE38" s="162"/>
      <c r="AF38" s="162"/>
      <c r="AG38" s="162"/>
      <c r="AH38" s="162"/>
    </row>
  </sheetData>
  <sheetProtection password="CD9E" sheet="1" objects="1" scenarios="1" selectLockedCells="1"/>
  <mergeCells count="12">
    <mergeCell ref="AF13:AG13"/>
    <mergeCell ref="B13:C13"/>
    <mergeCell ref="D13:E13"/>
    <mergeCell ref="F13:G13"/>
    <mergeCell ref="I13:J13"/>
    <mergeCell ref="K13:L13"/>
    <mergeCell ref="M13:N13"/>
    <mergeCell ref="O13:P13"/>
    <mergeCell ref="R13:S13"/>
    <mergeCell ref="Y13:Z13"/>
    <mergeCell ref="AA13:AB13"/>
    <mergeCell ref="AC13:AD13"/>
  </mergeCells>
  <dataValidations count="1">
    <dataValidation type="list" allowBlank="1" showInputMessage="1" showErrorMessage="1" sqref="B34:B37">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5" right="0.75" top="1" bottom="1" header="0.5" footer="0.5"/>
  <pageSetup paperSize="9" orientation="landscape" r:id="rId1"/>
  <headerFooter alignWithMargins="0">
    <oddHeader>&amp;LCDH&amp;C &amp;F&amp;R&amp;A</oddHeader>
    <oddFooter>Page &amp;P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8" tint="0.39997558519241921"/>
    <pageSetUpPr fitToPage="1"/>
  </sheetPr>
  <dimension ref="A1:S100"/>
  <sheetViews>
    <sheetView showGridLines="0" topLeftCell="A4" zoomScale="90" zoomScaleNormal="90" workbookViewId="0">
      <selection activeCell="D32" sqref="D32"/>
    </sheetView>
  </sheetViews>
  <sheetFormatPr baseColWidth="10" defaultColWidth="9.140625" defaultRowHeight="15" customHeight="1" x14ac:dyDescent="0.2"/>
  <cols>
    <col min="1" max="1" width="55" style="144" customWidth="1"/>
    <col min="2" max="2" width="20.7109375" style="144" customWidth="1"/>
    <col min="3" max="3" width="6.7109375" style="144" customWidth="1"/>
    <col min="4" max="4" width="20.7109375" style="144" customWidth="1"/>
    <col min="5" max="5" width="6.7109375" style="144" customWidth="1"/>
    <col min="6" max="7" width="20.7109375" style="144" customWidth="1"/>
    <col min="8" max="8" width="6.7109375" style="144" customWidth="1"/>
    <col min="9" max="16384" width="9.140625" style="144"/>
  </cols>
  <sheetData>
    <row r="1" spans="1:10" s="66" customFormat="1" ht="12" customHeight="1" x14ac:dyDescent="0.2">
      <c r="A1" s="26" t="s">
        <v>6</v>
      </c>
    </row>
    <row r="2" spans="1:10" s="66" customFormat="1" ht="12" customHeight="1" x14ac:dyDescent="0.2">
      <c r="A2" s="28" t="s">
        <v>10</v>
      </c>
    </row>
    <row r="3" spans="1:10" s="66" customFormat="1" ht="12" customHeight="1" x14ac:dyDescent="0.2">
      <c r="A3" s="28" t="s">
        <v>7</v>
      </c>
    </row>
    <row r="4" spans="1:10" s="31" customFormat="1" ht="15" customHeight="1" x14ac:dyDescent="0.2">
      <c r="A4" s="96" t="s">
        <v>340</v>
      </c>
      <c r="B4" s="96"/>
      <c r="C4" s="96"/>
      <c r="D4" s="96"/>
      <c r="E4" s="96"/>
      <c r="F4" s="96"/>
      <c r="G4" s="96"/>
      <c r="H4" s="96"/>
      <c r="I4" s="96"/>
      <c r="J4" s="96"/>
    </row>
    <row r="5" spans="1:10" s="131" customFormat="1" ht="15" customHeight="1" x14ac:dyDescent="0.2">
      <c r="I5" s="96"/>
      <c r="J5" s="96"/>
    </row>
    <row r="6" spans="1:10" s="131" customFormat="1" ht="15" customHeight="1" x14ac:dyDescent="0.2">
      <c r="A6" s="132"/>
      <c r="B6" s="132"/>
      <c r="C6" s="132"/>
      <c r="D6" s="132"/>
      <c r="E6" s="132"/>
      <c r="F6" s="132"/>
      <c r="G6" s="132"/>
      <c r="H6" s="132"/>
      <c r="I6" s="96"/>
      <c r="J6" s="96"/>
    </row>
    <row r="7" spans="1:10" ht="15" customHeight="1" x14ac:dyDescent="0.25">
      <c r="A7" s="97" t="s">
        <v>817</v>
      </c>
      <c r="B7" s="132"/>
      <c r="C7" s="132"/>
      <c r="D7" s="132"/>
      <c r="E7" s="132"/>
      <c r="F7" s="132"/>
      <c r="G7" s="132"/>
      <c r="H7" s="132"/>
      <c r="I7" s="96"/>
      <c r="J7" s="96"/>
    </row>
    <row r="8" spans="1:10" ht="15" customHeight="1" x14ac:dyDescent="0.2">
      <c r="A8" s="98" t="s">
        <v>21</v>
      </c>
      <c r="B8" s="100"/>
      <c r="C8" s="100"/>
      <c r="D8" s="100"/>
      <c r="E8" s="100"/>
      <c r="F8" s="132"/>
      <c r="G8" s="132"/>
      <c r="H8" s="132"/>
      <c r="I8" s="96"/>
      <c r="J8" s="96"/>
    </row>
    <row r="9" spans="1:10" ht="15" customHeight="1" x14ac:dyDescent="0.2">
      <c r="A9" s="100"/>
      <c r="B9" s="133" t="s">
        <v>34</v>
      </c>
      <c r="C9" s="543">
        <v>2014</v>
      </c>
      <c r="D9" s="134"/>
      <c r="E9" s="100"/>
      <c r="F9" s="132"/>
      <c r="G9" s="132"/>
      <c r="H9" s="132"/>
      <c r="I9" s="96"/>
      <c r="J9" s="96"/>
    </row>
    <row r="10" spans="1:10" ht="15" customHeight="1" x14ac:dyDescent="0.2">
      <c r="A10" s="135"/>
      <c r="B10" s="132"/>
      <c r="C10" s="132"/>
      <c r="D10" s="132"/>
      <c r="E10" s="132"/>
      <c r="F10" s="132"/>
      <c r="G10" s="132"/>
      <c r="H10" s="132"/>
      <c r="I10" s="96"/>
      <c r="J10" s="96"/>
    </row>
    <row r="11" spans="1:10" ht="15" customHeight="1" x14ac:dyDescent="0.25">
      <c r="A11" s="136"/>
      <c r="B11" s="132"/>
      <c r="C11" s="132"/>
      <c r="D11" s="132"/>
      <c r="E11" s="132"/>
      <c r="F11" s="132"/>
      <c r="G11" s="132"/>
      <c r="H11" s="132"/>
      <c r="I11" s="96"/>
      <c r="J11" s="96"/>
    </row>
    <row r="12" spans="1:10" ht="15" customHeight="1" x14ac:dyDescent="0.2">
      <c r="A12" s="157"/>
      <c r="B12" s="1840" t="s">
        <v>341</v>
      </c>
      <c r="C12" s="1841"/>
      <c r="D12" s="1842" t="s">
        <v>122</v>
      </c>
      <c r="E12" s="1842"/>
      <c r="F12" s="1449" t="s">
        <v>24</v>
      </c>
      <c r="G12" s="1843" t="s">
        <v>25</v>
      </c>
      <c r="H12" s="1844"/>
      <c r="I12" s="96"/>
      <c r="J12" s="96"/>
    </row>
    <row r="13" spans="1:10" ht="15" customHeight="1" x14ac:dyDescent="0.2">
      <c r="A13" s="158"/>
      <c r="B13" s="1845" t="str">
        <f>Cntry!$D$8</f>
        <v xml:space="preserve">Chile </v>
      </c>
      <c r="C13" s="1846"/>
      <c r="D13" s="1847" t="s">
        <v>123</v>
      </c>
      <c r="E13" s="1847"/>
      <c r="F13" s="1450" t="s">
        <v>52</v>
      </c>
      <c r="G13" s="1848"/>
      <c r="H13" s="1849"/>
      <c r="I13" s="96"/>
      <c r="J13" s="96"/>
    </row>
    <row r="14" spans="1:10" ht="18.75" customHeight="1" x14ac:dyDescent="0.2">
      <c r="A14" s="637" t="s">
        <v>31</v>
      </c>
      <c r="B14" s="443">
        <f>SUM(B15:B16)</f>
        <v>9680.0560747698</v>
      </c>
      <c r="C14" s="571"/>
      <c r="D14" s="444">
        <f>SUM(D15:D16)</f>
        <v>905.27770360576005</v>
      </c>
      <c r="E14" s="1068"/>
      <c r="F14" s="445"/>
      <c r="G14" s="518">
        <f>SUM(B14,D14)</f>
        <v>10585.33377837556</v>
      </c>
      <c r="H14" s="1054"/>
      <c r="I14" s="96"/>
      <c r="J14" s="96"/>
    </row>
    <row r="15" spans="1:10" ht="25.5" x14ac:dyDescent="0.2">
      <c r="A15" s="159" t="str">
        <f>"of which:
   No intention to stay or live out of the country "&amp;Cntry!D8</f>
        <v xml:space="preserve">of which:
   No intention to stay or live out of the country Chile </v>
      </c>
      <c r="B15" s="446">
        <f>7242.22162884+263.742323097</f>
        <v>7505.9639519370003</v>
      </c>
      <c r="C15" s="572"/>
      <c r="D15" s="447">
        <f>698.560747664+14.2563417891</f>
        <v>712.81708945310004</v>
      </c>
      <c r="E15" s="1069"/>
      <c r="F15" s="448"/>
      <c r="G15" s="581">
        <f t="shared" ref="G15:G16" si="0">SUM(B15,D15)</f>
        <v>8218.7810413901007</v>
      </c>
      <c r="H15" s="1055"/>
      <c r="I15" s="96"/>
      <c r="J15" s="96"/>
    </row>
    <row r="16" spans="1:10" ht="15" customHeight="1" x14ac:dyDescent="0.2">
      <c r="A16" s="160" t="str">
        <f>"Intention to stay or live out of the country "&amp;Cntry!D8</f>
        <v xml:space="preserve">Intention to stay or live out of the country Chile </v>
      </c>
      <c r="B16" s="449">
        <f>349.280373832+21.3845126836+1760.65821095+42.7690253672</f>
        <v>2174.0921228327998</v>
      </c>
      <c r="C16" s="573"/>
      <c r="D16" s="430">
        <f>35.6408544726+ 7.12817089453+142.563417891+7.12817089453</f>
        <v>192.46061415266001</v>
      </c>
      <c r="E16" s="1060"/>
      <c r="F16" s="433"/>
      <c r="G16" s="1021">
        <f t="shared" si="0"/>
        <v>2366.5527369854599</v>
      </c>
      <c r="H16" s="615"/>
      <c r="I16" s="96"/>
      <c r="J16" s="96"/>
    </row>
    <row r="17" spans="1:10" ht="15" customHeight="1" x14ac:dyDescent="0.2">
      <c r="A17" s="161" t="s">
        <v>342</v>
      </c>
      <c r="B17" s="1451"/>
      <c r="C17" s="1094"/>
      <c r="D17" s="484"/>
      <c r="E17" s="1098"/>
      <c r="F17" s="641"/>
      <c r="G17" s="1053"/>
      <c r="H17" s="1046"/>
      <c r="I17" s="96"/>
      <c r="J17" s="96"/>
    </row>
    <row r="18" spans="1:10" ht="15" customHeight="1" x14ac:dyDescent="0.2">
      <c r="A18" s="948" t="s">
        <v>343</v>
      </c>
      <c r="B18" s="443"/>
      <c r="C18" s="571"/>
      <c r="D18" s="444"/>
      <c r="E18" s="1068"/>
      <c r="F18" s="445"/>
      <c r="G18" s="518"/>
      <c r="H18" s="1054"/>
      <c r="I18" s="96"/>
      <c r="J18" s="96"/>
    </row>
    <row r="19" spans="1:10" ht="15" customHeight="1" x14ac:dyDescent="0.2">
      <c r="A19" s="949" t="s">
        <v>675</v>
      </c>
      <c r="B19" s="446"/>
      <c r="C19" s="572"/>
      <c r="D19" s="447"/>
      <c r="E19" s="1069"/>
      <c r="F19" s="448"/>
      <c r="G19" s="581"/>
      <c r="H19" s="1055"/>
      <c r="I19" s="96"/>
      <c r="J19" s="96"/>
    </row>
    <row r="20" spans="1:10" ht="15" customHeight="1" x14ac:dyDescent="0.2">
      <c r="A20" s="950" t="s">
        <v>64</v>
      </c>
      <c r="B20" s="449"/>
      <c r="C20" s="573"/>
      <c r="D20" s="430"/>
      <c r="E20" s="1060"/>
      <c r="F20" s="433"/>
      <c r="G20" s="1021"/>
      <c r="H20" s="615"/>
      <c r="I20" s="96"/>
      <c r="J20" s="96"/>
    </row>
    <row r="21" spans="1:10" ht="15" customHeight="1" x14ac:dyDescent="0.2">
      <c r="A21" s="950" t="s">
        <v>65</v>
      </c>
      <c r="B21" s="449"/>
      <c r="C21" s="573"/>
      <c r="D21" s="430"/>
      <c r="E21" s="1060"/>
      <c r="F21" s="433"/>
      <c r="G21" s="1021"/>
      <c r="H21" s="615"/>
      <c r="I21" s="96"/>
      <c r="J21" s="96"/>
    </row>
    <row r="22" spans="1:10" ht="15" customHeight="1" x14ac:dyDescent="0.2">
      <c r="A22" s="950" t="s">
        <v>66</v>
      </c>
      <c r="B22" s="449"/>
      <c r="C22" s="573"/>
      <c r="D22" s="430"/>
      <c r="E22" s="1060"/>
      <c r="F22" s="433"/>
      <c r="G22" s="1021"/>
      <c r="H22" s="615"/>
      <c r="I22" s="96"/>
      <c r="J22" s="96"/>
    </row>
    <row r="23" spans="1:10" ht="15" customHeight="1" x14ac:dyDescent="0.2">
      <c r="A23" s="950" t="s">
        <v>67</v>
      </c>
      <c r="B23" s="449"/>
      <c r="C23" s="573"/>
      <c r="D23" s="430"/>
      <c r="E23" s="1060"/>
      <c r="F23" s="433"/>
      <c r="G23" s="1021"/>
      <c r="H23" s="615"/>
      <c r="I23" s="96"/>
      <c r="J23" s="96"/>
    </row>
    <row r="24" spans="1:10" ht="15" customHeight="1" x14ac:dyDescent="0.2">
      <c r="A24" s="950" t="s">
        <v>68</v>
      </c>
      <c r="B24" s="449"/>
      <c r="C24" s="573"/>
      <c r="D24" s="430"/>
      <c r="E24" s="1060"/>
      <c r="F24" s="433"/>
      <c r="G24" s="1021"/>
      <c r="H24" s="615"/>
      <c r="I24" s="96"/>
      <c r="J24" s="96"/>
    </row>
    <row r="25" spans="1:10" ht="15" customHeight="1" x14ac:dyDescent="0.2">
      <c r="A25" s="951" t="s">
        <v>757</v>
      </c>
      <c r="B25" s="449"/>
      <c r="C25" s="573"/>
      <c r="D25" s="430"/>
      <c r="E25" s="1060"/>
      <c r="F25" s="433"/>
      <c r="G25" s="1021"/>
      <c r="H25" s="615"/>
      <c r="I25" s="96"/>
      <c r="J25" s="96"/>
    </row>
    <row r="26" spans="1:10" ht="15" customHeight="1" x14ac:dyDescent="0.2">
      <c r="A26" s="951" t="s">
        <v>69</v>
      </c>
      <c r="B26" s="449"/>
      <c r="C26" s="573"/>
      <c r="D26" s="430"/>
      <c r="E26" s="1060"/>
      <c r="F26" s="433"/>
      <c r="G26" s="1021"/>
      <c r="H26" s="615"/>
      <c r="I26" s="96"/>
      <c r="J26" s="96"/>
    </row>
    <row r="27" spans="1:10" ht="15" customHeight="1" x14ac:dyDescent="0.2">
      <c r="A27" s="950" t="s">
        <v>70</v>
      </c>
      <c r="B27" s="449"/>
      <c r="C27" s="573"/>
      <c r="D27" s="430"/>
      <c r="E27" s="1060"/>
      <c r="F27" s="433"/>
      <c r="G27" s="1021"/>
      <c r="H27" s="615"/>
      <c r="I27" s="96"/>
      <c r="J27" s="96"/>
    </row>
    <row r="28" spans="1:10" ht="15" customHeight="1" x14ac:dyDescent="0.2">
      <c r="A28" s="950" t="s">
        <v>71</v>
      </c>
      <c r="B28" s="449"/>
      <c r="C28" s="573"/>
      <c r="D28" s="430"/>
      <c r="E28" s="1060"/>
      <c r="F28" s="433"/>
      <c r="G28" s="1021"/>
      <c r="H28" s="615"/>
      <c r="I28" s="96"/>
      <c r="J28" s="96"/>
    </row>
    <row r="29" spans="1:10" ht="15" customHeight="1" x14ac:dyDescent="0.2">
      <c r="A29" s="952" t="s">
        <v>72</v>
      </c>
      <c r="B29" s="1451"/>
      <c r="C29" s="1094"/>
      <c r="D29" s="484"/>
      <c r="E29" s="1098"/>
      <c r="F29" s="641"/>
      <c r="G29" s="1053"/>
      <c r="H29" s="1046"/>
      <c r="I29" s="96"/>
      <c r="J29" s="96"/>
    </row>
    <row r="30" spans="1:10" ht="15" customHeight="1" x14ac:dyDescent="0.2">
      <c r="A30" s="146" t="s">
        <v>344</v>
      </c>
      <c r="B30" s="446"/>
      <c r="C30" s="572"/>
      <c r="D30" s="447"/>
      <c r="E30" s="1069"/>
      <c r="F30" s="448"/>
      <c r="G30" s="1077"/>
      <c r="H30" s="657"/>
      <c r="I30" s="96"/>
      <c r="J30" s="96"/>
    </row>
    <row r="31" spans="1:10" ht="15" customHeight="1" x14ac:dyDescent="0.2">
      <c r="A31" s="147" t="s">
        <v>74</v>
      </c>
      <c r="B31" s="449">
        <f>35.6408544726</f>
        <v>35.640854472599997</v>
      </c>
      <c r="C31" s="573"/>
      <c r="D31" s="430">
        <v>28.512683578099999</v>
      </c>
      <c r="E31" s="1060"/>
      <c r="F31" s="433"/>
      <c r="G31" s="1021">
        <f>SUM(B31,D31)</f>
        <v>64.153538050699993</v>
      </c>
      <c r="H31" s="615"/>
      <c r="I31" s="96"/>
      <c r="J31" s="96"/>
    </row>
    <row r="32" spans="1:10" ht="15" customHeight="1" x14ac:dyDescent="0.2">
      <c r="A32" s="147" t="s">
        <v>75</v>
      </c>
      <c r="B32" s="449">
        <v>0</v>
      </c>
      <c r="C32" s="573"/>
      <c r="D32" s="430">
        <v>7.1281708945300002</v>
      </c>
      <c r="E32" s="1060"/>
      <c r="F32" s="433"/>
      <c r="G32" s="1021">
        <f t="shared" ref="G32:G78" si="1">SUM(B32,D32)</f>
        <v>7.1281708945300002</v>
      </c>
      <c r="H32" s="615"/>
      <c r="I32" s="96"/>
      <c r="J32" s="96"/>
    </row>
    <row r="33" spans="1:10" ht="15" customHeight="1" x14ac:dyDescent="0.2">
      <c r="A33" s="147" t="s">
        <v>76</v>
      </c>
      <c r="B33" s="449">
        <v>64.153538050700007</v>
      </c>
      <c r="C33" s="573"/>
      <c r="D33" s="430">
        <v>7.1281708945300002</v>
      </c>
      <c r="E33" s="1060"/>
      <c r="F33" s="433"/>
      <c r="G33" s="1021">
        <f t="shared" si="1"/>
        <v>71.281708945230008</v>
      </c>
      <c r="H33" s="615"/>
      <c r="I33" s="96"/>
      <c r="J33" s="96"/>
    </row>
    <row r="34" spans="1:10" ht="15" customHeight="1" x14ac:dyDescent="0.2">
      <c r="A34" s="147" t="s">
        <v>77</v>
      </c>
      <c r="B34" s="449">
        <v>28.512683578099999</v>
      </c>
      <c r="C34" s="573"/>
      <c r="D34" s="430">
        <v>0</v>
      </c>
      <c r="E34" s="1060"/>
      <c r="F34" s="433"/>
      <c r="G34" s="1021">
        <f t="shared" si="1"/>
        <v>28.512683578099999</v>
      </c>
      <c r="H34" s="615"/>
      <c r="I34" s="96"/>
      <c r="J34" s="96"/>
    </row>
    <row r="35" spans="1:10" ht="15" customHeight="1" x14ac:dyDescent="0.2">
      <c r="A35" s="147" t="s">
        <v>78</v>
      </c>
      <c r="B35" s="449">
        <v>0</v>
      </c>
      <c r="C35" s="573"/>
      <c r="D35" s="430">
        <v>0</v>
      </c>
      <c r="E35" s="1060"/>
      <c r="F35" s="433"/>
      <c r="G35" s="1021">
        <f t="shared" si="1"/>
        <v>0</v>
      </c>
      <c r="H35" s="615"/>
      <c r="I35" s="96"/>
      <c r="J35" s="96"/>
    </row>
    <row r="36" spans="1:10" ht="15" customHeight="1" x14ac:dyDescent="0.2">
      <c r="A36" s="147" t="s">
        <v>79</v>
      </c>
      <c r="B36" s="449">
        <v>114.050734312</v>
      </c>
      <c r="C36" s="573"/>
      <c r="D36" s="430">
        <v>0</v>
      </c>
      <c r="E36" s="1060"/>
      <c r="F36" s="433"/>
      <c r="G36" s="1021">
        <f t="shared" si="1"/>
        <v>114.050734312</v>
      </c>
      <c r="H36" s="615"/>
      <c r="I36" s="96"/>
      <c r="J36" s="96"/>
    </row>
    <row r="37" spans="1:10" ht="15" customHeight="1" x14ac:dyDescent="0.2">
      <c r="A37" s="147" t="s">
        <v>80</v>
      </c>
      <c r="B37" s="449">
        <v>0</v>
      </c>
      <c r="C37" s="573"/>
      <c r="D37" s="430">
        <v>0</v>
      </c>
      <c r="E37" s="1060"/>
      <c r="F37" s="433"/>
      <c r="G37" s="1021">
        <f t="shared" si="1"/>
        <v>0</v>
      </c>
      <c r="H37" s="615"/>
      <c r="I37" s="96"/>
      <c r="J37" s="96"/>
    </row>
    <row r="38" spans="1:10" ht="15" customHeight="1" x14ac:dyDescent="0.2">
      <c r="A38" s="147" t="s">
        <v>81</v>
      </c>
      <c r="B38" s="449">
        <v>0</v>
      </c>
      <c r="C38" s="573"/>
      <c r="D38" s="430">
        <v>0</v>
      </c>
      <c r="E38" s="1060"/>
      <c r="F38" s="433"/>
      <c r="G38" s="1021">
        <f t="shared" si="1"/>
        <v>0</v>
      </c>
      <c r="H38" s="615"/>
      <c r="I38" s="96"/>
      <c r="J38" s="96"/>
    </row>
    <row r="39" spans="1:10" ht="15" customHeight="1" x14ac:dyDescent="0.2">
      <c r="A39" s="147" t="s">
        <v>82</v>
      </c>
      <c r="B39" s="449">
        <v>0</v>
      </c>
      <c r="C39" s="573"/>
      <c r="D39" s="430">
        <v>0</v>
      </c>
      <c r="E39" s="1060"/>
      <c r="F39" s="433"/>
      <c r="G39" s="1021">
        <f t="shared" si="1"/>
        <v>0</v>
      </c>
      <c r="H39" s="615"/>
      <c r="I39" s="96"/>
      <c r="J39" s="96"/>
    </row>
    <row r="40" spans="1:10" ht="15" customHeight="1" x14ac:dyDescent="0.2">
      <c r="A40" s="147" t="s">
        <v>83</v>
      </c>
      <c r="B40" s="449">
        <v>0</v>
      </c>
      <c r="C40" s="573"/>
      <c r="D40" s="430">
        <v>0</v>
      </c>
      <c r="E40" s="1060"/>
      <c r="F40" s="433"/>
      <c r="G40" s="1021">
        <f t="shared" si="1"/>
        <v>0</v>
      </c>
      <c r="H40" s="615"/>
      <c r="I40" s="96"/>
      <c r="J40" s="96"/>
    </row>
    <row r="41" spans="1:10" ht="15" customHeight="1" x14ac:dyDescent="0.2">
      <c r="A41" s="147" t="s">
        <v>84</v>
      </c>
      <c r="B41" s="449">
        <v>14.2563417891</v>
      </c>
      <c r="C41" s="573"/>
      <c r="D41" s="430">
        <v>0</v>
      </c>
      <c r="E41" s="1060"/>
      <c r="F41" s="433"/>
      <c r="G41" s="1021">
        <f t="shared" si="1"/>
        <v>14.2563417891</v>
      </c>
      <c r="H41" s="615"/>
      <c r="I41" s="96"/>
      <c r="J41" s="96"/>
    </row>
    <row r="42" spans="1:10" ht="15" customHeight="1" x14ac:dyDescent="0.2">
      <c r="A42" s="147" t="s">
        <v>85</v>
      </c>
      <c r="B42" s="449">
        <v>0</v>
      </c>
      <c r="C42" s="573"/>
      <c r="D42" s="430">
        <v>0</v>
      </c>
      <c r="E42" s="1060"/>
      <c r="F42" s="433"/>
      <c r="G42" s="1021">
        <f t="shared" si="1"/>
        <v>0</v>
      </c>
      <c r="H42" s="615"/>
      <c r="I42" s="96"/>
      <c r="J42" s="96"/>
    </row>
    <row r="43" spans="1:10" ht="15" customHeight="1" x14ac:dyDescent="0.2">
      <c r="A43" s="147" t="s">
        <v>86</v>
      </c>
      <c r="B43" s="449">
        <v>21.384512683600001</v>
      </c>
      <c r="C43" s="573"/>
      <c r="D43" s="430">
        <v>0</v>
      </c>
      <c r="E43" s="1060"/>
      <c r="F43" s="433"/>
      <c r="G43" s="1021">
        <f t="shared" si="1"/>
        <v>21.384512683600001</v>
      </c>
      <c r="H43" s="615"/>
      <c r="I43" s="96"/>
      <c r="J43" s="96"/>
    </row>
    <row r="44" spans="1:10" ht="15" customHeight="1" x14ac:dyDescent="0.2">
      <c r="A44" s="147" t="s">
        <v>87</v>
      </c>
      <c r="B44" s="449">
        <v>0</v>
      </c>
      <c r="C44" s="573"/>
      <c r="D44" s="430">
        <v>0</v>
      </c>
      <c r="E44" s="1060"/>
      <c r="F44" s="433"/>
      <c r="G44" s="1021">
        <f t="shared" si="1"/>
        <v>0</v>
      </c>
      <c r="H44" s="615"/>
      <c r="I44" s="96"/>
      <c r="J44" s="96"/>
    </row>
    <row r="45" spans="1:10" ht="15" customHeight="1" x14ac:dyDescent="0.2">
      <c r="A45" s="147" t="s">
        <v>88</v>
      </c>
      <c r="B45" s="449">
        <v>192.46061415200001</v>
      </c>
      <c r="C45" s="573"/>
      <c r="D45" s="430">
        <v>28.512683578099999</v>
      </c>
      <c r="E45" s="1060"/>
      <c r="F45" s="433"/>
      <c r="G45" s="1021">
        <f t="shared" si="1"/>
        <v>220.9732977301</v>
      </c>
      <c r="H45" s="615"/>
      <c r="I45" s="96"/>
      <c r="J45" s="96"/>
    </row>
    <row r="46" spans="1:10" ht="15" customHeight="1" x14ac:dyDescent="0.2">
      <c r="A46" s="147" t="s">
        <v>89</v>
      </c>
      <c r="B46" s="449">
        <v>228.101468625</v>
      </c>
      <c r="C46" s="573"/>
      <c r="D46" s="430">
        <v>7.1281708945300002</v>
      </c>
      <c r="E46" s="1060"/>
      <c r="F46" s="433"/>
      <c r="G46" s="1021">
        <f t="shared" si="1"/>
        <v>235.22963951953</v>
      </c>
      <c r="H46" s="615"/>
      <c r="I46" s="96"/>
      <c r="J46" s="96"/>
    </row>
    <row r="47" spans="1:10" ht="15" customHeight="1" x14ac:dyDescent="0.2">
      <c r="A47" s="147" t="s">
        <v>90</v>
      </c>
      <c r="B47" s="449">
        <v>7.1281708945300002</v>
      </c>
      <c r="C47" s="573"/>
      <c r="D47" s="430">
        <v>0</v>
      </c>
      <c r="E47" s="1060"/>
      <c r="F47" s="433"/>
      <c r="G47" s="1021">
        <f t="shared" si="1"/>
        <v>7.1281708945300002</v>
      </c>
      <c r="H47" s="615"/>
      <c r="I47" s="96"/>
      <c r="J47" s="96"/>
    </row>
    <row r="48" spans="1:10" ht="15" customHeight="1" x14ac:dyDescent="0.2">
      <c r="A48" s="147" t="s">
        <v>91</v>
      </c>
      <c r="B48" s="449">
        <v>0</v>
      </c>
      <c r="C48" s="573"/>
      <c r="D48" s="430">
        <v>0</v>
      </c>
      <c r="E48" s="1060"/>
      <c r="F48" s="433"/>
      <c r="G48" s="1021">
        <f t="shared" si="1"/>
        <v>0</v>
      </c>
      <c r="H48" s="615"/>
      <c r="I48" s="96"/>
      <c r="J48" s="96"/>
    </row>
    <row r="49" spans="1:10" ht="15" customHeight="1" x14ac:dyDescent="0.2">
      <c r="A49" s="147" t="s">
        <v>92</v>
      </c>
      <c r="B49" s="449">
        <v>0</v>
      </c>
      <c r="C49" s="573"/>
      <c r="D49" s="430">
        <v>0</v>
      </c>
      <c r="E49" s="1060"/>
      <c r="F49" s="433"/>
      <c r="G49" s="1021">
        <f t="shared" si="1"/>
        <v>0</v>
      </c>
      <c r="H49" s="615"/>
      <c r="I49" s="96"/>
      <c r="J49" s="96"/>
    </row>
    <row r="50" spans="1:10" ht="15" customHeight="1" x14ac:dyDescent="0.2">
      <c r="A50" s="147" t="s">
        <v>93</v>
      </c>
      <c r="B50" s="449">
        <v>7.1281708945300002</v>
      </c>
      <c r="C50" s="573"/>
      <c r="D50" s="430">
        <v>0</v>
      </c>
      <c r="E50" s="1060"/>
      <c r="F50" s="433"/>
      <c r="G50" s="1021">
        <f t="shared" si="1"/>
        <v>7.1281708945300002</v>
      </c>
      <c r="H50" s="615"/>
      <c r="I50" s="96"/>
      <c r="J50" s="96"/>
    </row>
    <row r="51" spans="1:10" ht="15" customHeight="1" x14ac:dyDescent="0.2">
      <c r="A51" s="147" t="s">
        <v>94</v>
      </c>
      <c r="B51" s="449">
        <v>0</v>
      </c>
      <c r="C51" s="573"/>
      <c r="D51" s="430">
        <v>0</v>
      </c>
      <c r="E51" s="1060"/>
      <c r="F51" s="433"/>
      <c r="G51" s="1021">
        <f t="shared" si="1"/>
        <v>0</v>
      </c>
      <c r="H51" s="615"/>
      <c r="I51" s="96"/>
      <c r="J51" s="96"/>
    </row>
    <row r="52" spans="1:10" ht="15" customHeight="1" x14ac:dyDescent="0.2">
      <c r="A52" s="147" t="s">
        <v>95</v>
      </c>
      <c r="B52" s="449">
        <v>92.666221628800002</v>
      </c>
      <c r="C52" s="573"/>
      <c r="D52" s="430">
        <v>7.1281708945300002</v>
      </c>
      <c r="E52" s="1060"/>
      <c r="F52" s="433"/>
      <c r="G52" s="1021">
        <f t="shared" si="1"/>
        <v>99.794392523330004</v>
      </c>
      <c r="H52" s="615"/>
      <c r="I52" s="96"/>
      <c r="J52" s="96"/>
    </row>
    <row r="53" spans="1:10" ht="15" customHeight="1" x14ac:dyDescent="0.2">
      <c r="A53" s="147" t="s">
        <v>96</v>
      </c>
      <c r="B53" s="449">
        <v>0</v>
      </c>
      <c r="C53" s="573"/>
      <c r="D53" s="430">
        <v>0</v>
      </c>
      <c r="E53" s="1060"/>
      <c r="F53" s="433"/>
      <c r="G53" s="1021">
        <f t="shared" si="1"/>
        <v>0</v>
      </c>
      <c r="H53" s="615"/>
      <c r="I53" s="96"/>
      <c r="J53" s="96"/>
    </row>
    <row r="54" spans="1:10" ht="15" customHeight="1" x14ac:dyDescent="0.2">
      <c r="A54" s="147" t="s">
        <v>97</v>
      </c>
      <c r="B54" s="449">
        <v>0</v>
      </c>
      <c r="C54" s="573"/>
      <c r="D54" s="430">
        <v>0</v>
      </c>
      <c r="E54" s="1060"/>
      <c r="F54" s="433"/>
      <c r="G54" s="1021">
        <f t="shared" si="1"/>
        <v>0</v>
      </c>
      <c r="H54" s="615"/>
      <c r="I54" s="96"/>
      <c r="J54" s="96"/>
    </row>
    <row r="55" spans="1:10" ht="15" customHeight="1" x14ac:dyDescent="0.2">
      <c r="A55" s="147" t="s">
        <v>98</v>
      </c>
      <c r="B55" s="449">
        <v>0</v>
      </c>
      <c r="C55" s="573"/>
      <c r="D55" s="430">
        <v>0</v>
      </c>
      <c r="E55" s="1060"/>
      <c r="F55" s="433"/>
      <c r="G55" s="1021">
        <f t="shared" si="1"/>
        <v>0</v>
      </c>
      <c r="H55" s="615"/>
      <c r="I55" s="96"/>
      <c r="J55" s="96"/>
    </row>
    <row r="56" spans="1:10" ht="15" customHeight="1" x14ac:dyDescent="0.2">
      <c r="A56" s="147" t="s">
        <v>99</v>
      </c>
      <c r="B56" s="449">
        <v>0</v>
      </c>
      <c r="C56" s="573"/>
      <c r="D56" s="430">
        <v>0</v>
      </c>
      <c r="E56" s="1060"/>
      <c r="F56" s="433"/>
      <c r="G56" s="1021">
        <f t="shared" si="1"/>
        <v>0</v>
      </c>
      <c r="H56" s="615"/>
      <c r="I56" s="96"/>
      <c r="J56" s="96"/>
    </row>
    <row r="57" spans="1:10" ht="15" customHeight="1" x14ac:dyDescent="0.2">
      <c r="A57" s="147" t="s">
        <v>100</v>
      </c>
      <c r="B57" s="449">
        <v>0</v>
      </c>
      <c r="C57" s="573"/>
      <c r="D57" s="430">
        <v>0</v>
      </c>
      <c r="E57" s="1060"/>
      <c r="F57" s="433"/>
      <c r="G57" s="1021">
        <f t="shared" si="1"/>
        <v>0</v>
      </c>
      <c r="H57" s="615"/>
      <c r="I57" s="96"/>
      <c r="J57" s="96"/>
    </row>
    <row r="58" spans="1:10" ht="15" customHeight="1" x14ac:dyDescent="0.2">
      <c r="A58" s="147" t="s">
        <v>101</v>
      </c>
      <c r="B58" s="449">
        <v>7.1281708945300002</v>
      </c>
      <c r="C58" s="573"/>
      <c r="D58" s="430">
        <v>0</v>
      </c>
      <c r="E58" s="1060"/>
      <c r="F58" s="433"/>
      <c r="G58" s="1021">
        <f t="shared" si="1"/>
        <v>7.1281708945300002</v>
      </c>
      <c r="H58" s="615"/>
      <c r="I58" s="96"/>
      <c r="J58" s="96"/>
    </row>
    <row r="59" spans="1:10" ht="15" customHeight="1" x14ac:dyDescent="0.2">
      <c r="A59" s="147" t="s">
        <v>102</v>
      </c>
      <c r="B59" s="449">
        <v>42.769025367200001</v>
      </c>
      <c r="C59" s="573"/>
      <c r="D59" s="430">
        <v>0</v>
      </c>
      <c r="E59" s="1060"/>
      <c r="F59" s="433"/>
      <c r="G59" s="1021">
        <f t="shared" si="1"/>
        <v>42.769025367200001</v>
      </c>
      <c r="H59" s="615"/>
      <c r="I59" s="96"/>
      <c r="J59" s="96"/>
    </row>
    <row r="60" spans="1:10" ht="15" customHeight="1" x14ac:dyDescent="0.2">
      <c r="A60" s="147" t="s">
        <v>103</v>
      </c>
      <c r="B60" s="449">
        <v>0</v>
      </c>
      <c r="C60" s="573"/>
      <c r="D60" s="430">
        <v>14.2563417891</v>
      </c>
      <c r="E60" s="1060"/>
      <c r="F60" s="433"/>
      <c r="G60" s="1021">
        <f t="shared" si="1"/>
        <v>14.2563417891</v>
      </c>
      <c r="H60" s="615"/>
      <c r="I60" s="96"/>
      <c r="J60" s="96"/>
    </row>
    <row r="61" spans="1:10" ht="15" customHeight="1" x14ac:dyDescent="0.2">
      <c r="A61" s="147" t="s">
        <v>104</v>
      </c>
      <c r="B61" s="449">
        <v>21.384512683600001</v>
      </c>
      <c r="C61" s="573"/>
      <c r="D61" s="430">
        <v>0</v>
      </c>
      <c r="E61" s="1060"/>
      <c r="F61" s="433"/>
      <c r="G61" s="1021">
        <f t="shared" si="1"/>
        <v>21.384512683600001</v>
      </c>
      <c r="H61" s="615"/>
      <c r="I61" s="96"/>
      <c r="J61" s="96"/>
    </row>
    <row r="62" spans="1:10" ht="15" customHeight="1" x14ac:dyDescent="0.2">
      <c r="A62" s="147" t="s">
        <v>215</v>
      </c>
      <c r="B62" s="449">
        <v>28.512683578099999</v>
      </c>
      <c r="C62" s="573"/>
      <c r="D62" s="430">
        <v>7.1281708945300002</v>
      </c>
      <c r="E62" s="1060"/>
      <c r="F62" s="433"/>
      <c r="G62" s="1021">
        <f t="shared" si="1"/>
        <v>35.640854472629997</v>
      </c>
      <c r="H62" s="615"/>
      <c r="I62" s="96"/>
      <c r="J62" s="96"/>
    </row>
    <row r="63" spans="1:10" ht="15" customHeight="1" x14ac:dyDescent="0.2">
      <c r="A63" s="147" t="s">
        <v>105</v>
      </c>
      <c r="B63" s="449">
        <v>7.1281708945300002</v>
      </c>
      <c r="C63" s="573"/>
      <c r="D63" s="430">
        <v>0</v>
      </c>
      <c r="E63" s="1060"/>
      <c r="F63" s="433"/>
      <c r="G63" s="1021">
        <f t="shared" si="1"/>
        <v>7.1281708945300002</v>
      </c>
      <c r="H63" s="615"/>
      <c r="I63" s="96"/>
      <c r="J63" s="96"/>
    </row>
    <row r="64" spans="1:10" ht="15" customHeight="1" x14ac:dyDescent="0.2">
      <c r="A64" s="147" t="s">
        <v>106</v>
      </c>
      <c r="B64" s="449">
        <v>7.1281708945300002</v>
      </c>
      <c r="C64" s="573"/>
      <c r="D64" s="430">
        <v>0</v>
      </c>
      <c r="E64" s="1060"/>
      <c r="F64" s="433"/>
      <c r="G64" s="1021">
        <f t="shared" si="1"/>
        <v>7.1281708945300002</v>
      </c>
      <c r="H64" s="615"/>
      <c r="I64" s="96"/>
      <c r="J64" s="96"/>
    </row>
    <row r="65" spans="1:10" ht="15" customHeight="1" x14ac:dyDescent="0.2">
      <c r="A65" s="147" t="s">
        <v>107</v>
      </c>
      <c r="B65" s="449">
        <v>21.384512683600001</v>
      </c>
      <c r="C65" s="573"/>
      <c r="D65" s="430">
        <v>0</v>
      </c>
      <c r="E65" s="1060"/>
      <c r="F65" s="433"/>
      <c r="G65" s="1021">
        <f t="shared" si="1"/>
        <v>21.384512683600001</v>
      </c>
      <c r="H65" s="615"/>
      <c r="I65" s="96"/>
      <c r="J65" s="96"/>
    </row>
    <row r="66" spans="1:10" ht="15" customHeight="1" x14ac:dyDescent="0.2">
      <c r="A66" s="147" t="s">
        <v>108</v>
      </c>
      <c r="B66" s="449">
        <v>0</v>
      </c>
      <c r="C66" s="573"/>
      <c r="D66" s="430">
        <v>0</v>
      </c>
      <c r="E66" s="1060"/>
      <c r="F66" s="433"/>
      <c r="G66" s="1021">
        <f t="shared" si="1"/>
        <v>0</v>
      </c>
      <c r="H66" s="615"/>
      <c r="I66" s="96"/>
      <c r="J66" s="96"/>
    </row>
    <row r="67" spans="1:10" ht="15" customHeight="1" x14ac:dyDescent="0.2">
      <c r="A67" s="147" t="s">
        <v>13</v>
      </c>
      <c r="B67" s="449">
        <v>7.1281708945300002</v>
      </c>
      <c r="C67" s="573"/>
      <c r="D67" s="430">
        <v>0</v>
      </c>
      <c r="E67" s="1060"/>
      <c r="F67" s="433"/>
      <c r="G67" s="1021">
        <f t="shared" si="1"/>
        <v>7.1281708945300002</v>
      </c>
      <c r="H67" s="615"/>
      <c r="I67" s="96"/>
      <c r="J67" s="96"/>
    </row>
    <row r="68" spans="1:10" ht="15" customHeight="1" x14ac:dyDescent="0.2">
      <c r="A68" s="147" t="s">
        <v>216</v>
      </c>
      <c r="B68" s="449">
        <v>0</v>
      </c>
      <c r="C68" s="573"/>
      <c r="D68" s="430">
        <v>0</v>
      </c>
      <c r="E68" s="1060"/>
      <c r="F68" s="433"/>
      <c r="G68" s="1021">
        <f t="shared" si="1"/>
        <v>0</v>
      </c>
      <c r="H68" s="615"/>
      <c r="I68" s="96"/>
      <c r="J68" s="96"/>
    </row>
    <row r="69" spans="1:10" ht="15" customHeight="1" x14ac:dyDescent="0.2">
      <c r="A69" s="147" t="s">
        <v>109</v>
      </c>
      <c r="B69" s="449">
        <v>0</v>
      </c>
      <c r="C69" s="573"/>
      <c r="D69" s="430">
        <v>0</v>
      </c>
      <c r="E69" s="1060"/>
      <c r="F69" s="433"/>
      <c r="G69" s="1021">
        <f t="shared" si="1"/>
        <v>0</v>
      </c>
      <c r="H69" s="615"/>
      <c r="I69" s="96"/>
      <c r="J69" s="96"/>
    </row>
    <row r="70" spans="1:10" ht="15" customHeight="1" x14ac:dyDescent="0.2">
      <c r="A70" s="147" t="s">
        <v>110</v>
      </c>
      <c r="B70" s="449">
        <f>270.870493992+14.2563417891</f>
        <v>285.1268357811</v>
      </c>
      <c r="C70" s="573"/>
      <c r="D70" s="430">
        <v>21.384512683600001</v>
      </c>
      <c r="E70" s="1060"/>
      <c r="F70" s="433"/>
      <c r="G70" s="1021">
        <f t="shared" si="1"/>
        <v>306.51134846470001</v>
      </c>
      <c r="H70" s="615"/>
      <c r="I70" s="96"/>
      <c r="J70" s="96"/>
    </row>
    <row r="71" spans="1:10" ht="15" customHeight="1" x14ac:dyDescent="0.2">
      <c r="A71" s="147" t="s">
        <v>111</v>
      </c>
      <c r="B71" s="449">
        <v>7.1281708945300002</v>
      </c>
      <c r="C71" s="573"/>
      <c r="D71" s="430">
        <v>7.1281708945300002</v>
      </c>
      <c r="E71" s="1060"/>
      <c r="F71" s="433"/>
      <c r="G71" s="1021">
        <f t="shared" si="1"/>
        <v>14.25634178906</v>
      </c>
      <c r="H71" s="615"/>
      <c r="I71" s="96"/>
      <c r="J71" s="96"/>
    </row>
    <row r="72" spans="1:10" ht="15" customHeight="1" x14ac:dyDescent="0.2">
      <c r="A72" s="147" t="s">
        <v>112</v>
      </c>
      <c r="B72" s="449">
        <v>14.2563417891</v>
      </c>
      <c r="C72" s="573"/>
      <c r="D72" s="430">
        <v>0</v>
      </c>
      <c r="E72" s="1060"/>
      <c r="F72" s="433"/>
      <c r="G72" s="1021">
        <f t="shared" si="1"/>
        <v>14.2563417891</v>
      </c>
      <c r="H72" s="615"/>
      <c r="I72" s="96"/>
      <c r="J72" s="96"/>
    </row>
    <row r="73" spans="1:10" ht="15" customHeight="1" x14ac:dyDescent="0.2">
      <c r="A73" s="147" t="s">
        <v>113</v>
      </c>
      <c r="B73" s="449">
        <v>0</v>
      </c>
      <c r="C73" s="573"/>
      <c r="D73" s="430">
        <v>0</v>
      </c>
      <c r="E73" s="1060"/>
      <c r="F73" s="433"/>
      <c r="G73" s="1021">
        <f t="shared" si="1"/>
        <v>0</v>
      </c>
      <c r="H73" s="615"/>
      <c r="I73" s="96"/>
      <c r="J73" s="96"/>
    </row>
    <row r="74" spans="1:10" ht="15" customHeight="1" x14ac:dyDescent="0.2">
      <c r="A74" s="147" t="s">
        <v>114</v>
      </c>
      <c r="B74" s="449">
        <v>0</v>
      </c>
      <c r="C74" s="573"/>
      <c r="D74" s="430">
        <v>0</v>
      </c>
      <c r="E74" s="1060"/>
      <c r="F74" s="433"/>
      <c r="G74" s="1021">
        <f t="shared" si="1"/>
        <v>0</v>
      </c>
      <c r="H74" s="615"/>
      <c r="I74" s="96"/>
      <c r="J74" s="96"/>
    </row>
    <row r="75" spans="1:10" ht="15" customHeight="1" x14ac:dyDescent="0.2">
      <c r="A75" s="147" t="s">
        <v>115</v>
      </c>
      <c r="B75" s="449">
        <v>0</v>
      </c>
      <c r="C75" s="573"/>
      <c r="D75" s="430">
        <v>0</v>
      </c>
      <c r="E75" s="1060"/>
      <c r="F75" s="433"/>
      <c r="G75" s="1021">
        <f t="shared" si="1"/>
        <v>0</v>
      </c>
      <c r="H75" s="615"/>
      <c r="I75" s="96"/>
      <c r="J75" s="96"/>
    </row>
    <row r="76" spans="1:10" ht="15" customHeight="1" x14ac:dyDescent="0.2">
      <c r="A76" s="147" t="s">
        <v>116</v>
      </c>
      <c r="B76" s="449">
        <f>78.4098798398+ 99.7943925234+21.3845126836</f>
        <v>199.58878504680001</v>
      </c>
      <c r="C76" s="573"/>
      <c r="D76" s="430">
        <v>7.1281708945300002</v>
      </c>
      <c r="E76" s="1060"/>
      <c r="F76" s="433"/>
      <c r="G76" s="1021">
        <f t="shared" si="1"/>
        <v>206.71695594133001</v>
      </c>
      <c r="H76" s="615"/>
      <c r="I76" s="96"/>
      <c r="J76" s="96"/>
    </row>
    <row r="77" spans="1:10" ht="15" customHeight="1" x14ac:dyDescent="0.2">
      <c r="A77" s="147" t="s">
        <v>117</v>
      </c>
      <c r="B77" s="449">
        <f>534.612817089+ 21.3845126836</f>
        <v>555.99732977259998</v>
      </c>
      <c r="C77" s="573"/>
      <c r="D77" s="430">
        <v>28.512683578099999</v>
      </c>
      <c r="E77" s="1060"/>
      <c r="F77" s="433"/>
      <c r="G77" s="1021">
        <f t="shared" si="1"/>
        <v>584.51001335069998</v>
      </c>
      <c r="H77" s="615"/>
      <c r="I77" s="96"/>
      <c r="J77" s="96"/>
    </row>
    <row r="78" spans="1:10" ht="15" customHeight="1" x14ac:dyDescent="0.2">
      <c r="A78" s="148" t="s">
        <v>345</v>
      </c>
      <c r="B78" s="1451">
        <f>92.6662216288+14.2563417891+14.2563417891+7.12817089453+7.12817089453</f>
        <v>135.43524699606002</v>
      </c>
      <c r="C78" s="1094"/>
      <c r="D78" s="484">
        <f>14.2563417891+7.12817089453</f>
        <v>21.38451268363</v>
      </c>
      <c r="E78" s="1098"/>
      <c r="F78" s="641"/>
      <c r="G78" s="1053">
        <f t="shared" si="1"/>
        <v>156.81975967969001</v>
      </c>
      <c r="H78" s="1046"/>
      <c r="I78" s="96"/>
      <c r="J78" s="96"/>
    </row>
    <row r="79" spans="1:10" ht="15" customHeight="1" x14ac:dyDescent="0.2">
      <c r="A79" s="149"/>
      <c r="B79" s="150"/>
      <c r="C79" s="150"/>
      <c r="D79" s="150"/>
      <c r="E79" s="150"/>
      <c r="F79" s="150"/>
      <c r="G79" s="150"/>
      <c r="H79" s="150"/>
      <c r="I79" s="96"/>
      <c r="J79" s="96"/>
    </row>
    <row r="80" spans="1:10" ht="15" customHeight="1" x14ac:dyDescent="0.2">
      <c r="A80" s="151" t="s">
        <v>118</v>
      </c>
      <c r="B80" s="150"/>
      <c r="C80" s="150"/>
      <c r="D80" s="150"/>
      <c r="E80" s="150"/>
      <c r="F80" s="150"/>
      <c r="G80" s="150"/>
      <c r="H80" s="150"/>
      <c r="I80" s="96"/>
      <c r="J80" s="96"/>
    </row>
    <row r="81" spans="1:19" ht="15" customHeight="1" x14ac:dyDescent="0.2">
      <c r="A81" s="152" t="s">
        <v>119</v>
      </c>
      <c r="B81" s="150"/>
      <c r="C81" s="150"/>
      <c r="D81" s="150"/>
      <c r="E81" s="150"/>
      <c r="F81" s="150"/>
      <c r="G81" s="150"/>
      <c r="H81" s="150"/>
      <c r="I81" s="96"/>
      <c r="J81" s="96"/>
    </row>
    <row r="82" spans="1:19" ht="15" customHeight="1" x14ac:dyDescent="0.2">
      <c r="A82" s="153" t="s">
        <v>120</v>
      </c>
      <c r="B82" s="150"/>
      <c r="C82" s="150"/>
      <c r="D82" s="150"/>
      <c r="E82" s="150"/>
      <c r="F82" s="150"/>
      <c r="G82" s="150"/>
      <c r="H82" s="150"/>
      <c r="I82" s="96"/>
      <c r="J82" s="96"/>
    </row>
    <row r="83" spans="1:19" ht="15" customHeight="1" x14ac:dyDescent="0.2">
      <c r="A83" s="154" t="s">
        <v>121</v>
      </c>
      <c r="B83" s="150"/>
      <c r="C83" s="150"/>
      <c r="D83" s="150"/>
      <c r="E83" s="150"/>
      <c r="F83" s="150"/>
      <c r="G83" s="150"/>
      <c r="H83" s="150"/>
      <c r="I83" s="96"/>
      <c r="J83" s="96"/>
    </row>
    <row r="84" spans="1:19" ht="15" customHeight="1" x14ac:dyDescent="0.2">
      <c r="A84" s="100"/>
      <c r="B84" s="100"/>
      <c r="C84" s="100"/>
      <c r="D84" s="100"/>
      <c r="E84" s="100"/>
      <c r="F84" s="100"/>
      <c r="G84" s="100"/>
      <c r="H84" s="100"/>
      <c r="I84" s="96"/>
      <c r="J84" s="96"/>
    </row>
    <row r="85" spans="1:19" ht="15" customHeight="1" x14ac:dyDescent="0.2">
      <c r="A85" s="99" t="s">
        <v>32</v>
      </c>
      <c r="B85" s="56"/>
      <c r="C85" s="57"/>
      <c r="D85" s="57"/>
      <c r="E85" s="57"/>
      <c r="F85" s="57"/>
      <c r="G85" s="57"/>
      <c r="H85" s="57"/>
      <c r="I85" s="96"/>
      <c r="J85" s="96"/>
    </row>
    <row r="86" spans="1:19" ht="15" customHeight="1" x14ac:dyDescent="0.2">
      <c r="A86" s="100"/>
      <c r="B86" s="58"/>
      <c r="C86" s="59"/>
      <c r="D86" s="59"/>
      <c r="E86" s="59"/>
      <c r="F86" s="59"/>
      <c r="G86" s="59"/>
      <c r="H86" s="59"/>
      <c r="I86" s="96"/>
      <c r="J86" s="96"/>
    </row>
    <row r="87" spans="1:19" ht="15" customHeight="1" x14ac:dyDescent="0.2">
      <c r="A87" s="100"/>
      <c r="B87" s="58"/>
      <c r="C87" s="59"/>
      <c r="D87" s="59"/>
      <c r="E87" s="59"/>
      <c r="F87" s="59"/>
      <c r="G87" s="59"/>
      <c r="H87" s="59"/>
      <c r="I87" s="96"/>
      <c r="J87" s="96"/>
    </row>
    <row r="88" spans="1:19" ht="15" customHeight="1" x14ac:dyDescent="0.2">
      <c r="A88" s="100"/>
      <c r="B88" s="58"/>
      <c r="C88" s="59"/>
      <c r="D88" s="59"/>
      <c r="E88" s="59"/>
      <c r="F88" s="59"/>
      <c r="G88" s="59"/>
      <c r="H88" s="59"/>
      <c r="I88" s="96"/>
      <c r="J88" s="96"/>
    </row>
    <row r="89" spans="1:19" ht="15" customHeight="1" x14ac:dyDescent="0.2">
      <c r="A89" s="100"/>
      <c r="B89" s="100"/>
      <c r="C89" s="100"/>
      <c r="D89" s="100"/>
      <c r="E89" s="100"/>
      <c r="F89" s="100"/>
      <c r="G89" s="100"/>
      <c r="H89" s="100"/>
      <c r="I89" s="96"/>
      <c r="J89" s="96"/>
    </row>
    <row r="90" spans="1:19" ht="15" customHeight="1" x14ac:dyDescent="0.2">
      <c r="A90" s="99" t="s">
        <v>33</v>
      </c>
      <c r="B90" s="56"/>
      <c r="C90" s="57"/>
      <c r="D90" s="57"/>
      <c r="E90" s="57"/>
      <c r="F90" s="57"/>
      <c r="G90" s="57"/>
      <c r="H90" s="57"/>
      <c r="I90" s="96"/>
      <c r="J90" s="96"/>
    </row>
    <row r="91" spans="1:19" ht="15" customHeight="1" x14ac:dyDescent="0.2">
      <c r="A91" s="99"/>
      <c r="B91" s="58"/>
      <c r="C91" s="59"/>
      <c r="D91" s="59"/>
      <c r="E91" s="59"/>
      <c r="F91" s="59"/>
      <c r="G91" s="59"/>
      <c r="H91" s="59"/>
      <c r="I91" s="96"/>
      <c r="J91" s="96"/>
    </row>
    <row r="92" spans="1:19" ht="15" customHeight="1" x14ac:dyDescent="0.2">
      <c r="A92" s="100"/>
      <c r="B92" s="58"/>
      <c r="C92" s="59"/>
      <c r="D92" s="59"/>
      <c r="E92" s="59"/>
      <c r="F92" s="59"/>
      <c r="G92" s="59"/>
      <c r="H92" s="59"/>
      <c r="I92" s="96"/>
      <c r="J92" s="96"/>
    </row>
    <row r="93" spans="1:19" ht="15" customHeight="1" x14ac:dyDescent="0.2">
      <c r="A93" s="100"/>
      <c r="B93" s="58"/>
      <c r="C93" s="59"/>
      <c r="D93" s="59"/>
      <c r="E93" s="59"/>
      <c r="F93" s="59"/>
      <c r="G93" s="59"/>
      <c r="H93" s="59"/>
      <c r="I93" s="96"/>
      <c r="J93" s="96"/>
    </row>
    <row r="94" spans="1:19" s="31" customFormat="1" ht="15" customHeight="1" x14ac:dyDescent="0.2">
      <c r="A94" s="100"/>
      <c r="B94" s="100"/>
      <c r="C94" s="100"/>
      <c r="D94" s="100"/>
      <c r="E94" s="100"/>
      <c r="F94" s="100"/>
      <c r="G94" s="100"/>
      <c r="H94" s="100"/>
      <c r="I94" s="96"/>
      <c r="J94" s="96"/>
      <c r="K94"/>
      <c r="L94"/>
      <c r="M94"/>
      <c r="N94"/>
      <c r="O94"/>
      <c r="P94"/>
      <c r="Q94"/>
      <c r="R94"/>
      <c r="S94"/>
    </row>
    <row r="95" spans="1:19" s="31" customFormat="1" ht="12.75" x14ac:dyDescent="0.2">
      <c r="A95" s="99" t="s">
        <v>679</v>
      </c>
      <c r="B95" s="621"/>
      <c r="C95" s="100"/>
      <c r="D95" s="100"/>
      <c r="E95" s="100"/>
      <c r="F95" s="100"/>
      <c r="G95" s="100"/>
      <c r="H95" s="100"/>
      <c r="I95" s="96"/>
      <c r="J95" s="96"/>
      <c r="K95"/>
      <c r="L95"/>
      <c r="M95"/>
      <c r="N95"/>
      <c r="O95"/>
      <c r="P95"/>
      <c r="Q95"/>
      <c r="R95"/>
      <c r="S95"/>
    </row>
    <row r="96" spans="1:19" s="31" customFormat="1" ht="12.75" x14ac:dyDescent="0.2">
      <c r="A96" s="145" t="s">
        <v>680</v>
      </c>
      <c r="B96" s="549"/>
      <c r="C96" s="100"/>
      <c r="D96" s="100"/>
      <c r="E96" s="100"/>
      <c r="F96" s="100"/>
      <c r="G96" s="100"/>
      <c r="H96" s="100"/>
      <c r="I96" s="96"/>
      <c r="J96" s="96"/>
      <c r="K96"/>
      <c r="L96"/>
      <c r="M96"/>
      <c r="N96"/>
      <c r="O96"/>
      <c r="P96"/>
      <c r="Q96"/>
      <c r="R96"/>
      <c r="S96"/>
    </row>
    <row r="97" spans="1:19" s="31" customFormat="1" ht="12.75" x14ac:dyDescent="0.2">
      <c r="A97" s="100"/>
      <c r="B97" s="549"/>
      <c r="C97" s="100"/>
      <c r="D97" s="100"/>
      <c r="E97" s="100"/>
      <c r="F97" s="100"/>
      <c r="G97" s="100"/>
      <c r="H97" s="100"/>
      <c r="I97" s="96"/>
      <c r="J97" s="96"/>
      <c r="K97"/>
      <c r="L97"/>
      <c r="M97"/>
      <c r="N97"/>
      <c r="O97"/>
      <c r="P97"/>
      <c r="Q97"/>
      <c r="R97"/>
      <c r="S97"/>
    </row>
    <row r="98" spans="1:19" s="31" customFormat="1" ht="12.75" x14ac:dyDescent="0.2">
      <c r="A98" s="100"/>
      <c r="B98" s="549"/>
      <c r="C98" s="100"/>
      <c r="D98" s="100"/>
      <c r="E98" s="100"/>
      <c r="F98" s="100"/>
      <c r="G98" s="100"/>
      <c r="H98" s="100"/>
      <c r="I98" s="96"/>
      <c r="J98" s="96"/>
      <c r="K98"/>
      <c r="L98"/>
      <c r="M98"/>
      <c r="N98"/>
      <c r="O98"/>
      <c r="P98"/>
      <c r="Q98"/>
      <c r="R98"/>
      <c r="S98"/>
    </row>
    <row r="99" spans="1:19" s="31" customFormat="1" ht="12.75" x14ac:dyDescent="0.2">
      <c r="A99" s="100"/>
      <c r="B99" s="100"/>
      <c r="C99" s="100"/>
      <c r="D99" s="100"/>
      <c r="E99" s="100"/>
      <c r="F99" s="100"/>
      <c r="G99" s="100"/>
      <c r="H99" s="100"/>
      <c r="I99" s="96"/>
      <c r="J99" s="96"/>
      <c r="K99"/>
      <c r="L99"/>
      <c r="M99"/>
      <c r="N99"/>
      <c r="O99"/>
      <c r="P99"/>
      <c r="Q99"/>
      <c r="R99"/>
      <c r="S99"/>
    </row>
    <row r="100" spans="1:19" s="31" customFormat="1" ht="15" customHeight="1" x14ac:dyDescent="0.2">
      <c r="A100" s="100"/>
      <c r="B100" s="100"/>
      <c r="C100" s="100"/>
      <c r="D100" s="100"/>
      <c r="E100" s="100"/>
      <c r="F100" s="100"/>
      <c r="G100" s="100"/>
      <c r="H100" s="100"/>
      <c r="I100" s="96"/>
      <c r="J100" s="96"/>
      <c r="K100"/>
      <c r="L100"/>
      <c r="M100"/>
      <c r="N100"/>
      <c r="O100"/>
      <c r="P100"/>
      <c r="Q100"/>
      <c r="R100"/>
      <c r="S100"/>
    </row>
  </sheetData>
  <sheetProtection password="CD9E" sheet="1" objects="1" scenarios="1" selectLockedCells="1"/>
  <mergeCells count="6">
    <mergeCell ref="B12:C12"/>
    <mergeCell ref="D12:E12"/>
    <mergeCell ref="G12:H12"/>
    <mergeCell ref="B13:C13"/>
    <mergeCell ref="D13:E13"/>
    <mergeCell ref="G13:H13"/>
  </mergeCells>
  <dataValidations disablePrompts="1" count="1">
    <dataValidation type="list" allowBlank="1" showInputMessage="1" showErrorMessage="1" sqref="B95:B98">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35433070866141736" right="0.35433070866141736" top="0.98425196850393704" bottom="0.98425196850393704" header="0.51181102362204722" footer="0.51181102362204722"/>
  <pageSetup paperSize="9" scale="48" orientation="portrait" r:id="rId1"/>
  <headerFooter alignWithMargins="0">
    <oddHeader>&amp;LCDH&amp;C &amp;F&amp;R&amp;A</oddHeader>
    <oddFooter>Page &amp;P of &amp;N</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8" tint="0.39997558519241921"/>
    <pageSetUpPr fitToPage="1"/>
  </sheetPr>
  <dimension ref="A1:S44"/>
  <sheetViews>
    <sheetView showGridLines="0" zoomScale="90" zoomScaleNormal="90" workbookViewId="0">
      <selection activeCell="F30" sqref="F30"/>
    </sheetView>
  </sheetViews>
  <sheetFormatPr baseColWidth="10" defaultColWidth="9.140625" defaultRowHeight="15" customHeight="1" x14ac:dyDescent="0.2"/>
  <cols>
    <col min="1" max="1" width="51.28515625" style="31" customWidth="1"/>
    <col min="2" max="2" width="20.7109375" style="31" customWidth="1"/>
    <col min="3" max="3" width="6.7109375" style="31" customWidth="1"/>
    <col min="4" max="4" width="20.7109375" style="31" customWidth="1"/>
    <col min="5" max="5" width="6.7109375" style="31" customWidth="1"/>
    <col min="6" max="7" width="20.7109375" style="31" customWidth="1"/>
    <col min="8" max="8" width="6.7109375" style="31" customWidth="1"/>
    <col min="9" max="16384" width="9.140625" style="31"/>
  </cols>
  <sheetData>
    <row r="1" spans="1:10" s="66" customFormat="1" ht="12" customHeight="1" x14ac:dyDescent="0.2">
      <c r="A1" s="26" t="s">
        <v>6</v>
      </c>
    </row>
    <row r="2" spans="1:10" s="66" customFormat="1" ht="12" customHeight="1" x14ac:dyDescent="0.2">
      <c r="A2" s="28" t="s">
        <v>10</v>
      </c>
    </row>
    <row r="3" spans="1:10" s="66" customFormat="1" ht="12" customHeight="1" x14ac:dyDescent="0.2">
      <c r="A3" s="28" t="s">
        <v>7</v>
      </c>
    </row>
    <row r="4" spans="1:10" ht="15" customHeight="1" x14ac:dyDescent="0.2">
      <c r="A4" s="96" t="s">
        <v>340</v>
      </c>
      <c r="B4" s="96"/>
      <c r="C4" s="96"/>
      <c r="D4" s="96"/>
      <c r="E4" s="96"/>
      <c r="F4" s="96"/>
      <c r="G4" s="96"/>
      <c r="H4" s="96"/>
      <c r="I4" s="96"/>
      <c r="J4" s="96"/>
    </row>
    <row r="5" spans="1:10" s="131" customFormat="1" ht="15" customHeight="1" x14ac:dyDescent="0.2">
      <c r="I5" s="96"/>
      <c r="J5" s="96"/>
    </row>
    <row r="6" spans="1:10" s="131" customFormat="1" ht="15" customHeight="1" x14ac:dyDescent="0.2">
      <c r="A6" s="132"/>
      <c r="B6" s="132"/>
      <c r="C6" s="132"/>
      <c r="D6" s="132"/>
      <c r="E6" s="132"/>
      <c r="F6" s="132"/>
      <c r="G6" s="132"/>
      <c r="H6" s="132"/>
      <c r="I6" s="96"/>
      <c r="J6" s="96"/>
    </row>
    <row r="7" spans="1:10" ht="15" customHeight="1" x14ac:dyDescent="0.25">
      <c r="A7" s="97" t="s">
        <v>818</v>
      </c>
      <c r="B7" s="100"/>
      <c r="C7" s="100"/>
      <c r="D7" s="100"/>
      <c r="E7" s="100"/>
      <c r="F7" s="100"/>
      <c r="G7" s="100"/>
      <c r="H7" s="100"/>
      <c r="I7" s="96"/>
      <c r="J7" s="96"/>
    </row>
    <row r="8" spans="1:10" s="144" customFormat="1" ht="15" customHeight="1" x14ac:dyDescent="0.2">
      <c r="A8" s="98" t="s">
        <v>21</v>
      </c>
      <c r="B8" s="100"/>
      <c r="C8" s="100"/>
      <c r="D8" s="100"/>
      <c r="E8" s="100"/>
      <c r="F8" s="100"/>
      <c r="G8" s="100"/>
      <c r="H8" s="100"/>
      <c r="I8" s="96"/>
      <c r="J8" s="96"/>
    </row>
    <row r="9" spans="1:10" s="144" customFormat="1" ht="15" customHeight="1" x14ac:dyDescent="0.2">
      <c r="A9" s="100"/>
      <c r="B9" s="133" t="s">
        <v>34</v>
      </c>
      <c r="C9" s="543">
        <v>2014</v>
      </c>
      <c r="D9" s="134"/>
      <c r="E9" s="134"/>
      <c r="F9" s="100"/>
      <c r="G9" s="100"/>
      <c r="H9" s="100"/>
      <c r="I9" s="96"/>
      <c r="J9" s="96"/>
    </row>
    <row r="10" spans="1:10" s="144" customFormat="1" ht="15" customHeight="1" x14ac:dyDescent="0.2">
      <c r="A10" s="135"/>
      <c r="B10" s="132"/>
      <c r="C10" s="132"/>
      <c r="D10" s="132"/>
      <c r="E10" s="132"/>
      <c r="F10" s="132"/>
      <c r="G10" s="132"/>
      <c r="H10" s="132"/>
      <c r="I10" s="96"/>
      <c r="J10" s="96"/>
    </row>
    <row r="11" spans="1:10" s="144" customFormat="1" ht="15" customHeight="1" x14ac:dyDescent="0.25">
      <c r="A11" s="136"/>
      <c r="B11" s="132"/>
      <c r="C11" s="132"/>
      <c r="D11" s="132"/>
      <c r="E11" s="132"/>
      <c r="F11" s="132"/>
      <c r="G11" s="132"/>
      <c r="H11" s="132"/>
      <c r="I11" s="96"/>
      <c r="J11" s="96"/>
    </row>
    <row r="12" spans="1:10" ht="15" customHeight="1" x14ac:dyDescent="0.2">
      <c r="A12" s="137"/>
      <c r="B12" s="1840" t="s">
        <v>341</v>
      </c>
      <c r="C12" s="1841"/>
      <c r="D12" s="1842" t="s">
        <v>122</v>
      </c>
      <c r="E12" s="1842"/>
      <c r="F12" s="1449" t="s">
        <v>24</v>
      </c>
      <c r="G12" s="1843" t="s">
        <v>25</v>
      </c>
      <c r="H12" s="1844"/>
      <c r="I12" s="96"/>
      <c r="J12" s="96"/>
    </row>
    <row r="13" spans="1:10" ht="15" customHeight="1" x14ac:dyDescent="0.2">
      <c r="A13" s="138" t="s">
        <v>330</v>
      </c>
      <c r="B13" s="1845" t="str">
        <f>Cntry!$D$8</f>
        <v xml:space="preserve">Chile </v>
      </c>
      <c r="C13" s="1846"/>
      <c r="D13" s="1847" t="s">
        <v>123</v>
      </c>
      <c r="E13" s="1847"/>
      <c r="F13" s="1450" t="s">
        <v>52</v>
      </c>
      <c r="G13" s="1848"/>
      <c r="H13" s="1849"/>
      <c r="I13" s="96"/>
      <c r="J13" s="96"/>
    </row>
    <row r="14" spans="1:10" ht="29.25" customHeight="1" x14ac:dyDescent="0.2">
      <c r="A14" s="155" t="s">
        <v>844</v>
      </c>
      <c r="B14" s="1452">
        <f>IMOB1!B15</f>
        <v>6992.7356475329998</v>
      </c>
      <c r="C14" s="1453"/>
      <c r="D14" s="1454">
        <f>IMOB1!B16</f>
        <v>641.53538050709994</v>
      </c>
      <c r="E14" s="1453"/>
      <c r="F14" s="1454">
        <f>IMOB1!B17</f>
        <v>0</v>
      </c>
      <c r="G14" s="1455">
        <f>IMOB1!B14</f>
        <v>7634.2710280400997</v>
      </c>
      <c r="H14" s="1456"/>
      <c r="I14" s="96"/>
      <c r="J14" s="96"/>
    </row>
    <row r="15" spans="1:10" ht="12.75" x14ac:dyDescent="0.2">
      <c r="A15" s="156" t="s">
        <v>788</v>
      </c>
      <c r="B15" s="446">
        <f>SUM(B16:B21)</f>
        <v>2174.0921228263601</v>
      </c>
      <c r="C15" s="572"/>
      <c r="D15" s="447">
        <f>SUM(D16:D21)</f>
        <v>192.46061415233001</v>
      </c>
      <c r="E15" s="1069"/>
      <c r="F15" s="448"/>
      <c r="G15" s="581">
        <f>SUM(D15,B15)</f>
        <v>2366.5527369786901</v>
      </c>
      <c r="H15" s="1055"/>
      <c r="I15" s="96"/>
      <c r="J15" s="96"/>
    </row>
    <row r="16" spans="1:10" ht="15" customHeight="1" x14ac:dyDescent="0.2">
      <c r="A16" s="953" t="s">
        <v>332</v>
      </c>
      <c r="B16" s="449">
        <v>199.58878504699999</v>
      </c>
      <c r="C16" s="573"/>
      <c r="D16" s="430">
        <f>7.12817089453+14.2563417891</f>
        <v>21.38451268363</v>
      </c>
      <c r="E16" s="1060"/>
      <c r="F16" s="433"/>
      <c r="G16" s="1021">
        <f t="shared" ref="G16:G21" si="0">SUM(D16,B16)</f>
        <v>220.97329773062998</v>
      </c>
      <c r="H16" s="615"/>
      <c r="I16" s="96"/>
      <c r="J16" s="96"/>
    </row>
    <row r="17" spans="1:10" ht="15" customHeight="1" x14ac:dyDescent="0.2">
      <c r="A17" s="953" t="s">
        <v>834</v>
      </c>
      <c r="B17" s="449">
        <v>0</v>
      </c>
      <c r="C17" s="573"/>
      <c r="D17" s="430">
        <v>28.512683578099999</v>
      </c>
      <c r="E17" s="1060"/>
      <c r="F17" s="433"/>
      <c r="G17" s="1021">
        <f t="shared" si="0"/>
        <v>28.512683578099999</v>
      </c>
      <c r="H17" s="615"/>
      <c r="I17" s="96"/>
      <c r="J17" s="96"/>
    </row>
    <row r="18" spans="1:10" ht="15" customHeight="1" x14ac:dyDescent="0.2">
      <c r="A18" s="953" t="s">
        <v>833</v>
      </c>
      <c r="B18" s="449">
        <f>235.229639519+14.2563417891</f>
        <v>249.48598130809998</v>
      </c>
      <c r="C18" s="573"/>
      <c r="D18" s="430">
        <v>21.384512683600001</v>
      </c>
      <c r="E18" s="1060"/>
      <c r="F18" s="433"/>
      <c r="G18" s="1021">
        <f t="shared" si="0"/>
        <v>270.87049399169996</v>
      </c>
      <c r="H18" s="615"/>
      <c r="I18" s="96"/>
      <c r="J18" s="96"/>
    </row>
    <row r="19" spans="1:10" ht="15" customHeight="1" x14ac:dyDescent="0.2">
      <c r="A19" s="953" t="s">
        <v>832</v>
      </c>
      <c r="B19" s="449">
        <f>1297.3271028+35.6408544726</f>
        <v>1332.9679572726</v>
      </c>
      <c r="C19" s="573"/>
      <c r="D19" s="430">
        <v>85.5380507343</v>
      </c>
      <c r="E19" s="1060"/>
      <c r="F19" s="433"/>
      <c r="G19" s="1021">
        <f t="shared" si="0"/>
        <v>1418.5060080068999</v>
      </c>
      <c r="H19" s="615"/>
      <c r="I19" s="96"/>
      <c r="J19" s="96"/>
    </row>
    <row r="20" spans="1:10" ht="15" customHeight="1" x14ac:dyDescent="0.2">
      <c r="A20" s="953" t="s">
        <v>335</v>
      </c>
      <c r="B20" s="449">
        <f>128.307076101+7.12817089453</f>
        <v>135.43524699553001</v>
      </c>
      <c r="C20" s="573"/>
      <c r="D20" s="430">
        <v>21.384512683600001</v>
      </c>
      <c r="E20" s="1060"/>
      <c r="F20" s="433"/>
      <c r="G20" s="1021">
        <f t="shared" si="0"/>
        <v>156.81975967913002</v>
      </c>
      <c r="H20" s="615"/>
      <c r="I20" s="96"/>
      <c r="J20" s="96"/>
    </row>
    <row r="21" spans="1:10" ht="15" customHeight="1" x14ac:dyDescent="0.2">
      <c r="A21" s="953" t="s">
        <v>831</v>
      </c>
      <c r="B21" s="449">
        <f>21.3845126836+228.101468625+7.12817089453</f>
        <v>256.61415220313</v>
      </c>
      <c r="C21" s="573"/>
      <c r="D21" s="430">
        <v>14.2563417891</v>
      </c>
      <c r="E21" s="1060"/>
      <c r="F21" s="433"/>
      <c r="G21" s="1021">
        <f t="shared" si="0"/>
        <v>270.87049399223002</v>
      </c>
      <c r="H21" s="615"/>
      <c r="I21" s="96"/>
      <c r="J21" s="96"/>
    </row>
    <row r="22" spans="1:10" ht="15" customHeight="1" x14ac:dyDescent="0.2">
      <c r="A22" s="954" t="s">
        <v>346</v>
      </c>
      <c r="B22" s="1451"/>
      <c r="C22" s="1094"/>
      <c r="D22" s="484"/>
      <c r="E22" s="1098"/>
      <c r="F22" s="641"/>
      <c r="G22" s="1053"/>
      <c r="H22" s="1046"/>
      <c r="I22" s="96"/>
      <c r="J22" s="96"/>
    </row>
    <row r="23" spans="1:10" ht="15" customHeight="1" x14ac:dyDescent="0.2">
      <c r="A23" s="139" t="s">
        <v>835</v>
      </c>
      <c r="B23" s="140"/>
      <c r="C23" s="140"/>
      <c r="D23" s="140"/>
      <c r="E23" s="140"/>
      <c r="F23" s="140"/>
      <c r="G23" s="140"/>
      <c r="H23" s="140"/>
      <c r="I23" s="96"/>
      <c r="J23" s="96"/>
    </row>
    <row r="24" spans="1:10" ht="15" customHeight="1" x14ac:dyDescent="0.2">
      <c r="A24" s="139" t="s">
        <v>830</v>
      </c>
      <c r="B24" s="140"/>
      <c r="C24" s="140"/>
      <c r="D24" s="140"/>
      <c r="E24" s="140"/>
      <c r="F24" s="140"/>
      <c r="G24" s="140"/>
      <c r="H24" s="140"/>
      <c r="I24" s="96"/>
      <c r="J24" s="96"/>
    </row>
    <row r="25" spans="1:10" ht="15" customHeight="1" x14ac:dyDescent="0.2">
      <c r="A25" s="141" t="s">
        <v>829</v>
      </c>
      <c r="B25" s="142"/>
      <c r="C25" s="142"/>
      <c r="D25" s="142"/>
      <c r="E25" s="142"/>
      <c r="F25" s="142"/>
      <c r="G25" s="142"/>
      <c r="H25" s="142"/>
      <c r="I25" s="96"/>
      <c r="J25" s="96"/>
    </row>
    <row r="26" spans="1:10" ht="15" customHeight="1" x14ac:dyDescent="0.2">
      <c r="A26" s="141" t="s">
        <v>828</v>
      </c>
      <c r="B26" s="142"/>
      <c r="C26" s="142"/>
      <c r="D26" s="142"/>
      <c r="E26" s="142"/>
      <c r="F26" s="142"/>
      <c r="G26" s="142"/>
      <c r="H26" s="142"/>
      <c r="I26" s="96"/>
      <c r="J26" s="96"/>
    </row>
    <row r="27" spans="1:10" ht="15" customHeight="1" x14ac:dyDescent="0.2">
      <c r="A27" s="143"/>
      <c r="B27" s="142"/>
      <c r="C27" s="142"/>
      <c r="D27" s="142"/>
      <c r="E27" s="142"/>
      <c r="F27" s="142"/>
      <c r="G27" s="142"/>
      <c r="H27" s="142"/>
      <c r="I27" s="96"/>
      <c r="J27" s="96"/>
    </row>
    <row r="28" spans="1:10" ht="15" customHeight="1" x14ac:dyDescent="0.2">
      <c r="A28" s="100"/>
      <c r="B28" s="100"/>
      <c r="C28" s="100"/>
      <c r="D28" s="100"/>
      <c r="E28" s="100"/>
      <c r="F28" s="100"/>
      <c r="G28" s="100"/>
      <c r="H28" s="100"/>
      <c r="I28" s="96"/>
      <c r="J28" s="96"/>
    </row>
    <row r="29" spans="1:10" ht="15" customHeight="1" x14ac:dyDescent="0.2">
      <c r="A29" s="99" t="s">
        <v>32</v>
      </c>
      <c r="B29" s="56"/>
      <c r="C29" s="57"/>
      <c r="D29" s="57"/>
      <c r="E29" s="57"/>
      <c r="F29" s="57"/>
      <c r="G29" s="57"/>
      <c r="H29" s="57"/>
      <c r="I29" s="96"/>
      <c r="J29" s="96"/>
    </row>
    <row r="30" spans="1:10" ht="15" customHeight="1" x14ac:dyDescent="0.2">
      <c r="A30" s="100"/>
      <c r="B30" s="58"/>
      <c r="C30" s="59"/>
      <c r="D30" s="59"/>
      <c r="E30" s="59"/>
      <c r="F30" s="59"/>
      <c r="G30" s="59"/>
      <c r="H30" s="59"/>
      <c r="I30" s="96"/>
      <c r="J30" s="96"/>
    </row>
    <row r="31" spans="1:10" ht="15" customHeight="1" x14ac:dyDescent="0.2">
      <c r="A31" s="100"/>
      <c r="B31" s="58"/>
      <c r="C31" s="59"/>
      <c r="D31" s="59"/>
      <c r="E31" s="59"/>
      <c r="F31" s="59"/>
      <c r="G31" s="59"/>
      <c r="H31" s="59"/>
      <c r="I31" s="96"/>
      <c r="J31" s="96"/>
    </row>
    <row r="32" spans="1:10" ht="15" customHeight="1" x14ac:dyDescent="0.2">
      <c r="A32" s="100"/>
      <c r="B32" s="58"/>
      <c r="C32" s="59"/>
      <c r="D32" s="59"/>
      <c r="E32" s="59"/>
      <c r="F32" s="59"/>
      <c r="G32" s="59"/>
      <c r="H32" s="59"/>
      <c r="I32" s="96"/>
      <c r="J32" s="96"/>
    </row>
    <row r="33" spans="1:19" ht="15" customHeight="1" x14ac:dyDescent="0.2">
      <c r="A33" s="100"/>
      <c r="B33" s="100"/>
      <c r="C33" s="100"/>
      <c r="D33" s="100"/>
      <c r="E33" s="100"/>
      <c r="F33" s="100"/>
      <c r="G33" s="100"/>
      <c r="H33" s="100"/>
      <c r="I33" s="96"/>
      <c r="J33" s="96"/>
    </row>
    <row r="34" spans="1:19" ht="15" customHeight="1" x14ac:dyDescent="0.2">
      <c r="A34" s="99" t="s">
        <v>33</v>
      </c>
      <c r="B34" s="56"/>
      <c r="C34" s="57"/>
      <c r="D34" s="57"/>
      <c r="E34" s="57"/>
      <c r="F34" s="57"/>
      <c r="G34" s="57"/>
      <c r="H34" s="57"/>
      <c r="I34" s="96"/>
      <c r="J34" s="96"/>
    </row>
    <row r="35" spans="1:19" ht="15" customHeight="1" x14ac:dyDescent="0.2">
      <c r="A35" s="99"/>
      <c r="B35" s="58"/>
      <c r="C35" s="59"/>
      <c r="D35" s="59"/>
      <c r="E35" s="59"/>
      <c r="F35" s="59"/>
      <c r="G35" s="59"/>
      <c r="H35" s="59"/>
      <c r="I35" s="96"/>
      <c r="J35" s="96"/>
    </row>
    <row r="36" spans="1:19" ht="15" customHeight="1" x14ac:dyDescent="0.2">
      <c r="A36" s="100"/>
      <c r="B36" s="58"/>
      <c r="C36" s="59"/>
      <c r="D36" s="59"/>
      <c r="E36" s="59"/>
      <c r="F36" s="59"/>
      <c r="G36" s="59"/>
      <c r="H36" s="59"/>
      <c r="I36" s="96"/>
      <c r="J36" s="96"/>
    </row>
    <row r="37" spans="1:19" ht="15" customHeight="1" x14ac:dyDescent="0.2">
      <c r="A37" s="100"/>
      <c r="B37" s="58"/>
      <c r="C37" s="59"/>
      <c r="D37" s="59"/>
      <c r="E37" s="59"/>
      <c r="F37" s="59"/>
      <c r="G37" s="59"/>
      <c r="H37" s="59"/>
      <c r="I37" s="96"/>
      <c r="J37" s="96"/>
    </row>
    <row r="38" spans="1:19" ht="15" customHeight="1" x14ac:dyDescent="0.2">
      <c r="A38" s="100"/>
      <c r="B38" s="100"/>
      <c r="C38" s="100"/>
      <c r="D38" s="100"/>
      <c r="E38" s="100"/>
      <c r="F38" s="100"/>
      <c r="G38" s="100"/>
      <c r="H38" s="100"/>
      <c r="I38" s="96"/>
      <c r="J38" s="96"/>
      <c r="K38"/>
      <c r="L38"/>
      <c r="M38"/>
      <c r="N38"/>
      <c r="O38"/>
      <c r="P38"/>
      <c r="Q38"/>
      <c r="R38"/>
      <c r="S38"/>
    </row>
    <row r="39" spans="1:19" ht="12.75" x14ac:dyDescent="0.2">
      <c r="A39" s="99" t="s">
        <v>670</v>
      </c>
      <c r="B39" s="621"/>
      <c r="C39" s="100"/>
      <c r="D39" s="100"/>
      <c r="E39" s="100"/>
      <c r="F39" s="100"/>
      <c r="G39" s="100"/>
      <c r="H39" s="100"/>
      <c r="I39" s="96"/>
      <c r="J39" s="96"/>
      <c r="K39"/>
      <c r="L39"/>
      <c r="M39"/>
      <c r="N39"/>
      <c r="O39"/>
      <c r="P39"/>
      <c r="Q39"/>
      <c r="R39"/>
      <c r="S39"/>
    </row>
    <row r="40" spans="1:19" ht="12.75" x14ac:dyDescent="0.2">
      <c r="A40" s="145"/>
      <c r="B40" s="549"/>
      <c r="C40" s="100"/>
      <c r="D40" s="100"/>
      <c r="E40" s="100"/>
      <c r="F40" s="100"/>
      <c r="G40" s="100"/>
      <c r="H40" s="100"/>
      <c r="I40" s="96"/>
      <c r="J40" s="96"/>
      <c r="K40"/>
      <c r="L40"/>
      <c r="M40"/>
      <c r="N40"/>
      <c r="O40"/>
      <c r="P40"/>
      <c r="Q40"/>
      <c r="R40"/>
      <c r="S40"/>
    </row>
    <row r="41" spans="1:19" ht="12.75" x14ac:dyDescent="0.2">
      <c r="A41" s="100"/>
      <c r="B41" s="549"/>
      <c r="C41" s="100"/>
      <c r="D41" s="100"/>
      <c r="E41" s="100"/>
      <c r="F41" s="100"/>
      <c r="G41" s="100"/>
      <c r="H41" s="100"/>
      <c r="I41" s="96"/>
      <c r="J41" s="96"/>
      <c r="K41"/>
      <c r="L41"/>
      <c r="M41"/>
      <c r="N41"/>
      <c r="O41"/>
      <c r="P41"/>
      <c r="Q41"/>
      <c r="R41"/>
      <c r="S41"/>
    </row>
    <row r="42" spans="1:19" ht="12.75" x14ac:dyDescent="0.2">
      <c r="A42" s="100"/>
      <c r="B42" s="549"/>
      <c r="C42" s="100"/>
      <c r="D42" s="100"/>
      <c r="E42" s="100"/>
      <c r="F42" s="100"/>
      <c r="G42" s="100"/>
      <c r="H42" s="100"/>
      <c r="I42" s="96"/>
      <c r="J42" s="96"/>
      <c r="K42"/>
      <c r="L42"/>
      <c r="M42"/>
      <c r="N42"/>
      <c r="O42"/>
      <c r="P42"/>
      <c r="Q42"/>
      <c r="R42"/>
      <c r="S42"/>
    </row>
    <row r="43" spans="1:19" ht="12.75" x14ac:dyDescent="0.2">
      <c r="A43" s="100"/>
      <c r="B43" s="100"/>
      <c r="C43" s="100"/>
      <c r="D43" s="100"/>
      <c r="E43" s="100"/>
      <c r="F43" s="100"/>
      <c r="G43" s="100"/>
      <c r="H43" s="100"/>
      <c r="I43" s="96"/>
      <c r="J43" s="96"/>
      <c r="K43"/>
      <c r="L43"/>
      <c r="M43"/>
      <c r="N43"/>
      <c r="O43"/>
      <c r="P43"/>
      <c r="Q43"/>
      <c r="R43"/>
      <c r="S43"/>
    </row>
    <row r="44" spans="1:19" ht="15" customHeight="1" x14ac:dyDescent="0.2">
      <c r="A44" s="100"/>
      <c r="B44" s="100"/>
      <c r="C44" s="100"/>
      <c r="D44" s="100"/>
      <c r="E44" s="100"/>
      <c r="F44" s="100"/>
      <c r="G44" s="100"/>
      <c r="H44" s="100"/>
      <c r="I44" s="96"/>
      <c r="J44" s="96"/>
      <c r="K44"/>
      <c r="L44"/>
      <c r="M44"/>
      <c r="N44"/>
      <c r="O44"/>
      <c r="P44"/>
      <c r="Q44"/>
      <c r="R44"/>
      <c r="S44"/>
    </row>
  </sheetData>
  <sheetProtection password="CD9E" sheet="1" objects="1" scenarios="1" selectLockedCells="1"/>
  <mergeCells count="6">
    <mergeCell ref="B12:C12"/>
    <mergeCell ref="D12:E12"/>
    <mergeCell ref="G12:H12"/>
    <mergeCell ref="B13:C13"/>
    <mergeCell ref="D13:E13"/>
    <mergeCell ref="G13:H13"/>
  </mergeCells>
  <dataValidations count="1">
    <dataValidation type="list" allowBlank="1" showInputMessage="1" showErrorMessage="1" sqref="B39:B42">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55118110236220474" right="0.55118110236220474" top="0.98425196850393704" bottom="0.98425196850393704" header="0.51181102362204722" footer="0.51181102362204722"/>
  <pageSetup paperSize="9" scale="71" orientation="landscape" r:id="rId1"/>
  <headerFooter alignWithMargins="0">
    <oddHeader>&amp;LCDH&amp;C &amp;F&amp;R&amp;A</oddHeader>
    <oddFooter>Page &amp;P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B1:K243"/>
  <sheetViews>
    <sheetView zoomScale="80" zoomScaleNormal="80" workbookViewId="0">
      <selection activeCell="K21" sqref="K21:K22"/>
    </sheetView>
  </sheetViews>
  <sheetFormatPr baseColWidth="10" defaultColWidth="9.140625" defaultRowHeight="12.75" x14ac:dyDescent="0.2"/>
  <cols>
    <col min="1" max="1" width="9.140625" style="122"/>
    <col min="2" max="2" width="44.85546875" style="122" customWidth="1"/>
    <col min="3" max="3" width="9.140625" style="122"/>
    <col min="4" max="4" width="18.28515625" style="122" customWidth="1"/>
    <col min="5" max="16384" width="9.140625" style="122"/>
  </cols>
  <sheetData>
    <row r="1" spans="2:11" x14ac:dyDescent="0.2">
      <c r="B1" s="121" t="s">
        <v>347</v>
      </c>
      <c r="D1" s="121" t="s">
        <v>348</v>
      </c>
      <c r="G1" s="121" t="s">
        <v>644</v>
      </c>
      <c r="I1" s="121" t="s">
        <v>645</v>
      </c>
      <c r="K1" s="121" t="s">
        <v>770</v>
      </c>
    </row>
    <row r="2" spans="2:11" x14ac:dyDescent="0.2">
      <c r="B2" s="121"/>
      <c r="D2" s="121"/>
    </row>
    <row r="3" spans="2:11" x14ac:dyDescent="0.2">
      <c r="B3" s="123" t="s">
        <v>349</v>
      </c>
      <c r="D3" s="124" t="s">
        <v>74</v>
      </c>
      <c r="G3" s="124" t="s">
        <v>616</v>
      </c>
      <c r="I3" s="124" t="s">
        <v>581</v>
      </c>
      <c r="K3" s="124" t="s">
        <v>779</v>
      </c>
    </row>
    <row r="4" spans="2:11" x14ac:dyDescent="0.2">
      <c r="B4" s="125" t="s">
        <v>350</v>
      </c>
      <c r="D4" s="126" t="s">
        <v>76</v>
      </c>
      <c r="G4" s="126" t="s">
        <v>617</v>
      </c>
      <c r="I4" s="126" t="s">
        <v>582</v>
      </c>
      <c r="K4" s="126" t="s">
        <v>780</v>
      </c>
    </row>
    <row r="5" spans="2:11" x14ac:dyDescent="0.2">
      <c r="B5" s="125" t="s">
        <v>351</v>
      </c>
      <c r="D5" s="126" t="s">
        <v>75</v>
      </c>
      <c r="G5" s="126" t="s">
        <v>618</v>
      </c>
      <c r="I5" s="126" t="s">
        <v>583</v>
      </c>
      <c r="K5" s="982" t="s">
        <v>778</v>
      </c>
    </row>
    <row r="6" spans="2:11" x14ac:dyDescent="0.2">
      <c r="B6" s="127" t="s">
        <v>352</v>
      </c>
      <c r="D6" s="126" t="s">
        <v>77</v>
      </c>
      <c r="G6" s="126" t="s">
        <v>619</v>
      </c>
      <c r="I6" s="126" t="s">
        <v>584</v>
      </c>
      <c r="K6" s="126" t="s">
        <v>776</v>
      </c>
    </row>
    <row r="7" spans="2:11" x14ac:dyDescent="0.2">
      <c r="B7" s="127" t="s">
        <v>353</v>
      </c>
      <c r="D7" s="126" t="s">
        <v>354</v>
      </c>
      <c r="G7" s="126" t="s">
        <v>620</v>
      </c>
      <c r="I7" s="126" t="s">
        <v>585</v>
      </c>
      <c r="K7" s="128" t="s">
        <v>775</v>
      </c>
    </row>
    <row r="8" spans="2:11" x14ac:dyDescent="0.2">
      <c r="B8" s="125" t="s">
        <v>355</v>
      </c>
      <c r="D8" s="126" t="s">
        <v>78</v>
      </c>
      <c r="G8" s="126" t="s">
        <v>621</v>
      </c>
      <c r="I8" s="126" t="s">
        <v>586</v>
      </c>
    </row>
    <row r="9" spans="2:11" x14ac:dyDescent="0.2">
      <c r="B9" s="127" t="s">
        <v>356</v>
      </c>
      <c r="D9" s="126" t="s">
        <v>79</v>
      </c>
      <c r="G9" s="128" t="s">
        <v>643</v>
      </c>
      <c r="I9" s="126" t="s">
        <v>587</v>
      </c>
    </row>
    <row r="10" spans="2:11" x14ac:dyDescent="0.2">
      <c r="B10" s="125" t="s">
        <v>357</v>
      </c>
      <c r="D10" s="126" t="s">
        <v>80</v>
      </c>
      <c r="I10" s="126" t="s">
        <v>588</v>
      </c>
    </row>
    <row r="11" spans="2:11" x14ac:dyDescent="0.2">
      <c r="B11" s="125" t="s">
        <v>358</v>
      </c>
      <c r="D11" s="126" t="s">
        <v>82</v>
      </c>
      <c r="I11" s="126" t="s">
        <v>589</v>
      </c>
    </row>
    <row r="12" spans="2:11" x14ac:dyDescent="0.2">
      <c r="B12" s="127" t="s">
        <v>74</v>
      </c>
      <c r="D12" s="126" t="s">
        <v>81</v>
      </c>
      <c r="I12" s="126" t="s">
        <v>590</v>
      </c>
      <c r="K12" s="121" t="s">
        <v>784</v>
      </c>
    </row>
    <row r="13" spans="2:11" x14ac:dyDescent="0.2">
      <c r="B13" s="125" t="s">
        <v>359</v>
      </c>
      <c r="D13" s="126" t="s">
        <v>83</v>
      </c>
      <c r="I13" s="126" t="s">
        <v>591</v>
      </c>
    </row>
    <row r="14" spans="2:11" x14ac:dyDescent="0.2">
      <c r="B14" s="125" t="s">
        <v>360</v>
      </c>
      <c r="D14" s="126" t="s">
        <v>84</v>
      </c>
      <c r="I14" s="126" t="s">
        <v>592</v>
      </c>
      <c r="K14" s="124" t="s">
        <v>777</v>
      </c>
    </row>
    <row r="15" spans="2:11" x14ac:dyDescent="0.2">
      <c r="B15" s="125" t="s">
        <v>361</v>
      </c>
      <c r="D15" s="126" t="s">
        <v>85</v>
      </c>
      <c r="I15" s="126" t="s">
        <v>593</v>
      </c>
      <c r="K15" s="126" t="s">
        <v>782</v>
      </c>
    </row>
    <row r="16" spans="2:11" x14ac:dyDescent="0.2">
      <c r="B16" s="125" t="s">
        <v>76</v>
      </c>
      <c r="D16" s="126" t="s">
        <v>86</v>
      </c>
      <c r="I16" s="126" t="s">
        <v>594</v>
      </c>
      <c r="K16" s="128" t="s">
        <v>781</v>
      </c>
    </row>
    <row r="17" spans="2:11" x14ac:dyDescent="0.2">
      <c r="B17" s="127" t="s">
        <v>75</v>
      </c>
      <c r="D17" s="126" t="s">
        <v>88</v>
      </c>
      <c r="I17" s="126" t="s">
        <v>595</v>
      </c>
    </row>
    <row r="18" spans="2:11" x14ac:dyDescent="0.2">
      <c r="B18" s="125" t="s">
        <v>362</v>
      </c>
      <c r="D18" s="126" t="s">
        <v>89</v>
      </c>
      <c r="I18" s="126" t="s">
        <v>596</v>
      </c>
    </row>
    <row r="19" spans="2:11" x14ac:dyDescent="0.2">
      <c r="B19" s="127" t="s">
        <v>363</v>
      </c>
      <c r="D19" s="126" t="s">
        <v>90</v>
      </c>
      <c r="I19" s="126" t="s">
        <v>597</v>
      </c>
      <c r="K19" s="983" t="s">
        <v>783</v>
      </c>
    </row>
    <row r="20" spans="2:11" x14ac:dyDescent="0.2">
      <c r="B20" s="125" t="s">
        <v>77</v>
      </c>
      <c r="D20" s="126" t="s">
        <v>91</v>
      </c>
      <c r="I20" s="126" t="s">
        <v>598</v>
      </c>
    </row>
    <row r="21" spans="2:11" x14ac:dyDescent="0.2">
      <c r="B21" s="125" t="s">
        <v>364</v>
      </c>
      <c r="D21" s="126" t="s">
        <v>92</v>
      </c>
      <c r="I21" s="126" t="s">
        <v>599</v>
      </c>
      <c r="K21" s="124" t="s">
        <v>785</v>
      </c>
    </row>
    <row r="22" spans="2:11" x14ac:dyDescent="0.2">
      <c r="B22" s="125" t="s">
        <v>365</v>
      </c>
      <c r="D22" s="126" t="s">
        <v>93</v>
      </c>
      <c r="I22" s="126" t="s">
        <v>600</v>
      </c>
      <c r="K22" s="128" t="s">
        <v>786</v>
      </c>
    </row>
    <row r="23" spans="2:11" x14ac:dyDescent="0.2">
      <c r="B23" s="127" t="s">
        <v>366</v>
      </c>
      <c r="D23" s="126" t="s">
        <v>367</v>
      </c>
      <c r="I23" s="126" t="s">
        <v>601</v>
      </c>
    </row>
    <row r="24" spans="2:11" x14ac:dyDescent="0.2">
      <c r="B24" s="127" t="s">
        <v>78</v>
      </c>
      <c r="D24" s="126" t="s">
        <v>95</v>
      </c>
      <c r="I24" s="126" t="s">
        <v>602</v>
      </c>
    </row>
    <row r="25" spans="2:11" x14ac:dyDescent="0.2">
      <c r="B25" s="125" t="s">
        <v>368</v>
      </c>
      <c r="D25" s="126" t="s">
        <v>96</v>
      </c>
      <c r="I25" s="126" t="s">
        <v>603</v>
      </c>
    </row>
    <row r="26" spans="2:11" x14ac:dyDescent="0.2">
      <c r="B26" s="127" t="s">
        <v>369</v>
      </c>
      <c r="D26" s="126" t="s">
        <v>98</v>
      </c>
      <c r="I26" s="126" t="s">
        <v>604</v>
      </c>
    </row>
    <row r="27" spans="2:11" x14ac:dyDescent="0.2">
      <c r="B27" s="125" t="s">
        <v>370</v>
      </c>
      <c r="D27" s="126" t="s">
        <v>99</v>
      </c>
      <c r="I27" s="126" t="s">
        <v>605</v>
      </c>
    </row>
    <row r="28" spans="2:11" x14ac:dyDescent="0.2">
      <c r="B28" s="127" t="s">
        <v>371</v>
      </c>
      <c r="D28" s="126" t="s">
        <v>100</v>
      </c>
      <c r="I28" s="126" t="s">
        <v>606</v>
      </c>
    </row>
    <row r="29" spans="2:11" x14ac:dyDescent="0.2">
      <c r="B29" s="127" t="s">
        <v>372</v>
      </c>
      <c r="D29" s="126" t="s">
        <v>102</v>
      </c>
      <c r="I29" s="126" t="s">
        <v>607</v>
      </c>
    </row>
    <row r="30" spans="2:11" x14ac:dyDescent="0.2">
      <c r="B30" s="127" t="s">
        <v>373</v>
      </c>
      <c r="D30" s="126" t="s">
        <v>103</v>
      </c>
      <c r="I30" s="126" t="s">
        <v>608</v>
      </c>
    </row>
    <row r="31" spans="2:11" x14ac:dyDescent="0.2">
      <c r="B31" s="127" t="s">
        <v>374</v>
      </c>
      <c r="D31" s="126" t="s">
        <v>104</v>
      </c>
      <c r="I31" s="126" t="s">
        <v>609</v>
      </c>
    </row>
    <row r="32" spans="2:11" x14ac:dyDescent="0.2">
      <c r="B32" s="127" t="s">
        <v>375</v>
      </c>
      <c r="D32" s="126" t="s">
        <v>105</v>
      </c>
      <c r="I32" s="126" t="s">
        <v>610</v>
      </c>
    </row>
    <row r="33" spans="2:9" x14ac:dyDescent="0.2">
      <c r="B33" s="125" t="s">
        <v>354</v>
      </c>
      <c r="D33" s="126" t="s">
        <v>106</v>
      </c>
      <c r="I33" s="126" t="s">
        <v>611</v>
      </c>
    </row>
    <row r="34" spans="2:9" x14ac:dyDescent="0.2">
      <c r="B34" s="125" t="s">
        <v>376</v>
      </c>
      <c r="D34" s="126" t="s">
        <v>107</v>
      </c>
      <c r="I34" s="126" t="s">
        <v>612</v>
      </c>
    </row>
    <row r="35" spans="2:9" x14ac:dyDescent="0.2">
      <c r="B35" s="125" t="s">
        <v>377</v>
      </c>
      <c r="D35" s="126" t="s">
        <v>108</v>
      </c>
      <c r="I35" s="126" t="s">
        <v>613</v>
      </c>
    </row>
    <row r="36" spans="2:9" x14ac:dyDescent="0.2">
      <c r="B36" s="125" t="s">
        <v>378</v>
      </c>
      <c r="D36" s="126" t="s">
        <v>13</v>
      </c>
      <c r="I36" s="126" t="s">
        <v>614</v>
      </c>
    </row>
    <row r="37" spans="2:9" x14ac:dyDescent="0.2">
      <c r="B37" s="127" t="s">
        <v>379</v>
      </c>
      <c r="D37" s="126" t="s">
        <v>216</v>
      </c>
      <c r="I37" s="126" t="s">
        <v>615</v>
      </c>
    </row>
    <row r="38" spans="2:9" x14ac:dyDescent="0.2">
      <c r="B38" s="127" t="s">
        <v>380</v>
      </c>
      <c r="D38" s="126" t="s">
        <v>381</v>
      </c>
      <c r="I38" s="126" t="s">
        <v>622</v>
      </c>
    </row>
    <row r="39" spans="2:9" x14ac:dyDescent="0.2">
      <c r="B39" s="125" t="s">
        <v>79</v>
      </c>
      <c r="D39" s="126" t="s">
        <v>110</v>
      </c>
      <c r="I39" s="126" t="s">
        <v>623</v>
      </c>
    </row>
    <row r="40" spans="2:9" x14ac:dyDescent="0.2">
      <c r="B40" s="127" t="s">
        <v>112</v>
      </c>
      <c r="D40" s="126" t="s">
        <v>111</v>
      </c>
      <c r="I40" s="126" t="s">
        <v>624</v>
      </c>
    </row>
    <row r="41" spans="2:9" x14ac:dyDescent="0.2">
      <c r="B41" s="125" t="s">
        <v>382</v>
      </c>
      <c r="D41" s="126" t="s">
        <v>112</v>
      </c>
      <c r="I41" s="126" t="s">
        <v>625</v>
      </c>
    </row>
    <row r="42" spans="2:9" x14ac:dyDescent="0.2">
      <c r="B42" s="127" t="s">
        <v>80</v>
      </c>
      <c r="D42" s="126" t="s">
        <v>116</v>
      </c>
      <c r="I42" s="126" t="s">
        <v>626</v>
      </c>
    </row>
    <row r="43" spans="2:9" x14ac:dyDescent="0.2">
      <c r="B43" s="126" t="s">
        <v>383</v>
      </c>
      <c r="D43" s="128" t="s">
        <v>117</v>
      </c>
      <c r="I43" s="126" t="s">
        <v>627</v>
      </c>
    </row>
    <row r="44" spans="2:9" x14ac:dyDescent="0.2">
      <c r="B44" s="127" t="s">
        <v>384</v>
      </c>
      <c r="I44" s="126" t="s">
        <v>628</v>
      </c>
    </row>
    <row r="45" spans="2:9" x14ac:dyDescent="0.2">
      <c r="B45" s="127" t="s">
        <v>385</v>
      </c>
      <c r="I45" s="126" t="s">
        <v>629</v>
      </c>
    </row>
    <row r="46" spans="2:9" x14ac:dyDescent="0.2">
      <c r="B46" s="127" t="s">
        <v>386</v>
      </c>
      <c r="I46" s="126" t="s">
        <v>630</v>
      </c>
    </row>
    <row r="47" spans="2:9" x14ac:dyDescent="0.2">
      <c r="B47" s="125" t="s">
        <v>387</v>
      </c>
      <c r="I47" s="126" t="s">
        <v>631</v>
      </c>
    </row>
    <row r="48" spans="2:9" x14ac:dyDescent="0.2">
      <c r="B48" s="127" t="s">
        <v>388</v>
      </c>
      <c r="I48" s="126" t="s">
        <v>632</v>
      </c>
    </row>
    <row r="49" spans="2:9" x14ac:dyDescent="0.2">
      <c r="B49" s="125" t="s">
        <v>389</v>
      </c>
      <c r="I49" s="126" t="s">
        <v>633</v>
      </c>
    </row>
    <row r="50" spans="2:9" x14ac:dyDescent="0.2">
      <c r="B50" s="127" t="s">
        <v>390</v>
      </c>
      <c r="I50" s="126" t="s">
        <v>634</v>
      </c>
    </row>
    <row r="51" spans="2:9" x14ac:dyDescent="0.2">
      <c r="B51" s="127" t="s">
        <v>391</v>
      </c>
      <c r="I51" s="126" t="s">
        <v>635</v>
      </c>
    </row>
    <row r="52" spans="2:9" x14ac:dyDescent="0.2">
      <c r="B52" s="125" t="s">
        <v>392</v>
      </c>
      <c r="I52" s="126" t="s">
        <v>636</v>
      </c>
    </row>
    <row r="53" spans="2:9" x14ac:dyDescent="0.2">
      <c r="B53" s="127" t="s">
        <v>393</v>
      </c>
      <c r="I53" s="126" t="s">
        <v>637</v>
      </c>
    </row>
    <row r="54" spans="2:9" x14ac:dyDescent="0.2">
      <c r="B54" s="125" t="s">
        <v>394</v>
      </c>
      <c r="I54" s="126" t="s">
        <v>638</v>
      </c>
    </row>
    <row r="55" spans="2:9" x14ac:dyDescent="0.2">
      <c r="B55" s="125" t="s">
        <v>82</v>
      </c>
      <c r="I55" s="126" t="s">
        <v>639</v>
      </c>
    </row>
    <row r="56" spans="2:9" x14ac:dyDescent="0.2">
      <c r="B56" s="126" t="s">
        <v>395</v>
      </c>
      <c r="I56" s="126" t="s">
        <v>640</v>
      </c>
    </row>
    <row r="57" spans="2:9" x14ac:dyDescent="0.2">
      <c r="B57" s="127" t="s">
        <v>83</v>
      </c>
      <c r="I57" s="126" t="s">
        <v>641</v>
      </c>
    </row>
    <row r="58" spans="2:9" x14ac:dyDescent="0.2">
      <c r="B58" s="127" t="s">
        <v>89</v>
      </c>
      <c r="I58" s="126" t="s">
        <v>642</v>
      </c>
    </row>
    <row r="59" spans="2:9" x14ac:dyDescent="0.2">
      <c r="B59" s="127" t="s">
        <v>396</v>
      </c>
      <c r="I59" s="126" t="s">
        <v>646</v>
      </c>
    </row>
    <row r="60" spans="2:9" x14ac:dyDescent="0.2">
      <c r="B60" s="125" t="s">
        <v>397</v>
      </c>
      <c r="I60" s="126" t="s">
        <v>647</v>
      </c>
    </row>
    <row r="61" spans="2:9" x14ac:dyDescent="0.2">
      <c r="B61" s="125" t="s">
        <v>84</v>
      </c>
      <c r="I61" s="126" t="s">
        <v>648</v>
      </c>
    </row>
    <row r="62" spans="2:9" x14ac:dyDescent="0.2">
      <c r="B62" s="127" t="s">
        <v>398</v>
      </c>
      <c r="I62" s="126" t="s">
        <v>649</v>
      </c>
    </row>
    <row r="63" spans="2:9" x14ac:dyDescent="0.2">
      <c r="B63" s="127" t="s">
        <v>399</v>
      </c>
      <c r="I63" s="126" t="s">
        <v>650</v>
      </c>
    </row>
    <row r="64" spans="2:9" x14ac:dyDescent="0.2">
      <c r="B64" s="125" t="s">
        <v>400</v>
      </c>
      <c r="I64" s="126" t="s">
        <v>651</v>
      </c>
    </row>
    <row r="65" spans="2:9" x14ac:dyDescent="0.2">
      <c r="B65" s="127" t="s">
        <v>401</v>
      </c>
      <c r="I65" s="126" t="s">
        <v>652</v>
      </c>
    </row>
    <row r="66" spans="2:9" x14ac:dyDescent="0.2">
      <c r="B66" s="125" t="s">
        <v>402</v>
      </c>
      <c r="I66" s="128" t="s">
        <v>653</v>
      </c>
    </row>
    <row r="67" spans="2:9" x14ac:dyDescent="0.2">
      <c r="B67" s="127" t="s">
        <v>403</v>
      </c>
    </row>
    <row r="68" spans="2:9" x14ac:dyDescent="0.2">
      <c r="B68" s="125" t="s">
        <v>110</v>
      </c>
    </row>
    <row r="69" spans="2:9" x14ac:dyDescent="0.2">
      <c r="B69" s="127" t="s">
        <v>85</v>
      </c>
    </row>
    <row r="70" spans="2:9" x14ac:dyDescent="0.2">
      <c r="B70" s="125" t="s">
        <v>404</v>
      </c>
    </row>
    <row r="71" spans="2:9" x14ac:dyDescent="0.2">
      <c r="B71" s="125" t="s">
        <v>86</v>
      </c>
    </row>
    <row r="72" spans="2:9" x14ac:dyDescent="0.2">
      <c r="B72" s="127" t="s">
        <v>405</v>
      </c>
    </row>
    <row r="73" spans="2:9" x14ac:dyDescent="0.2">
      <c r="B73" s="125" t="s">
        <v>406</v>
      </c>
    </row>
    <row r="74" spans="2:9" x14ac:dyDescent="0.2">
      <c r="B74" s="127" t="s">
        <v>88</v>
      </c>
    </row>
    <row r="75" spans="2:9" x14ac:dyDescent="0.2">
      <c r="B75" s="127" t="s">
        <v>407</v>
      </c>
    </row>
    <row r="76" spans="2:9" x14ac:dyDescent="0.2">
      <c r="B76" s="127" t="s">
        <v>408</v>
      </c>
    </row>
    <row r="77" spans="2:9" x14ac:dyDescent="0.2">
      <c r="B77" s="125" t="s">
        <v>409</v>
      </c>
    </row>
    <row r="78" spans="2:9" ht="25.5" x14ac:dyDescent="0.2">
      <c r="B78" s="127" t="s">
        <v>410</v>
      </c>
    </row>
    <row r="79" spans="2:9" x14ac:dyDescent="0.2">
      <c r="B79" s="125" t="s">
        <v>411</v>
      </c>
    </row>
    <row r="80" spans="2:9" x14ac:dyDescent="0.2">
      <c r="B80" s="125" t="s">
        <v>412</v>
      </c>
    </row>
    <row r="81" spans="2:2" x14ac:dyDescent="0.2">
      <c r="B81" s="125" t="s">
        <v>413</v>
      </c>
    </row>
    <row r="82" spans="2:2" x14ac:dyDescent="0.2">
      <c r="B82" s="127" t="s">
        <v>414</v>
      </c>
    </row>
    <row r="83" spans="2:2" x14ac:dyDescent="0.2">
      <c r="B83" s="127" t="s">
        <v>415</v>
      </c>
    </row>
    <row r="84" spans="2:2" x14ac:dyDescent="0.2">
      <c r="B84" s="127" t="s">
        <v>416</v>
      </c>
    </row>
    <row r="85" spans="2:2" x14ac:dyDescent="0.2">
      <c r="B85" s="127" t="s">
        <v>417</v>
      </c>
    </row>
    <row r="86" spans="2:2" x14ac:dyDescent="0.2">
      <c r="B86" s="125" t="s">
        <v>418</v>
      </c>
    </row>
    <row r="87" spans="2:2" x14ac:dyDescent="0.2">
      <c r="B87" s="127" t="s">
        <v>419</v>
      </c>
    </row>
    <row r="88" spans="2:2" x14ac:dyDescent="0.2">
      <c r="B88" s="125" t="s">
        <v>90</v>
      </c>
    </row>
    <row r="89" spans="2:2" x14ac:dyDescent="0.2">
      <c r="B89" s="125" t="s">
        <v>420</v>
      </c>
    </row>
    <row r="90" spans="2:2" x14ac:dyDescent="0.2">
      <c r="B90" s="127" t="s">
        <v>421</v>
      </c>
    </row>
    <row r="91" spans="2:2" x14ac:dyDescent="0.2">
      <c r="B91" s="127" t="s">
        <v>422</v>
      </c>
    </row>
    <row r="92" spans="2:2" x14ac:dyDescent="0.2">
      <c r="B92" s="125" t="s">
        <v>423</v>
      </c>
    </row>
    <row r="93" spans="2:2" x14ac:dyDescent="0.2">
      <c r="B93" s="125" t="s">
        <v>424</v>
      </c>
    </row>
    <row r="94" spans="2:2" x14ac:dyDescent="0.2">
      <c r="B94" s="127" t="s">
        <v>425</v>
      </c>
    </row>
    <row r="95" spans="2:2" x14ac:dyDescent="0.2">
      <c r="B95" s="125" t="s">
        <v>426</v>
      </c>
    </row>
    <row r="96" spans="2:2" x14ac:dyDescent="0.2">
      <c r="B96" s="125" t="s">
        <v>427</v>
      </c>
    </row>
    <row r="97" spans="2:2" x14ac:dyDescent="0.2">
      <c r="B97" s="125" t="s">
        <v>81</v>
      </c>
    </row>
    <row r="98" spans="2:2" x14ac:dyDescent="0.2">
      <c r="B98" s="125" t="s">
        <v>428</v>
      </c>
    </row>
    <row r="99" spans="2:2" x14ac:dyDescent="0.2">
      <c r="B99" s="127" t="s">
        <v>91</v>
      </c>
    </row>
    <row r="100" spans="2:2" x14ac:dyDescent="0.2">
      <c r="B100" s="125" t="s">
        <v>429</v>
      </c>
    </row>
    <row r="101" spans="2:2" x14ac:dyDescent="0.2">
      <c r="B101" s="125" t="s">
        <v>430</v>
      </c>
    </row>
    <row r="102" spans="2:2" x14ac:dyDescent="0.2">
      <c r="B102" s="127" t="s">
        <v>93</v>
      </c>
    </row>
    <row r="103" spans="2:2" x14ac:dyDescent="0.2">
      <c r="B103" s="127" t="s">
        <v>94</v>
      </c>
    </row>
    <row r="104" spans="2:2" x14ac:dyDescent="0.2">
      <c r="B104" s="127" t="s">
        <v>431</v>
      </c>
    </row>
    <row r="105" spans="2:2" x14ac:dyDescent="0.2">
      <c r="B105" s="125" t="s">
        <v>432</v>
      </c>
    </row>
    <row r="106" spans="2:2" x14ac:dyDescent="0.2">
      <c r="B106" s="125" t="s">
        <v>92</v>
      </c>
    </row>
    <row r="107" spans="2:2" x14ac:dyDescent="0.2">
      <c r="B107" s="127" t="s">
        <v>367</v>
      </c>
    </row>
    <row r="108" spans="2:2" x14ac:dyDescent="0.2">
      <c r="B108" s="125" t="s">
        <v>95</v>
      </c>
    </row>
    <row r="109" spans="2:2" x14ac:dyDescent="0.2">
      <c r="B109" s="127" t="s">
        <v>433</v>
      </c>
    </row>
    <row r="110" spans="2:2" x14ac:dyDescent="0.2">
      <c r="B110" s="127" t="s">
        <v>434</v>
      </c>
    </row>
    <row r="111" spans="2:2" x14ac:dyDescent="0.2">
      <c r="B111" s="125" t="s">
        <v>435</v>
      </c>
    </row>
    <row r="112" spans="2:2" x14ac:dyDescent="0.2">
      <c r="B112" s="125" t="s">
        <v>96</v>
      </c>
    </row>
    <row r="113" spans="2:2" x14ac:dyDescent="0.2">
      <c r="B113" s="127" t="s">
        <v>436</v>
      </c>
    </row>
    <row r="114" spans="2:2" x14ac:dyDescent="0.2">
      <c r="B114" s="125" t="s">
        <v>437</v>
      </c>
    </row>
    <row r="115" spans="2:2" x14ac:dyDescent="0.2">
      <c r="B115" s="127" t="s">
        <v>438</v>
      </c>
    </row>
    <row r="116" spans="2:2" x14ac:dyDescent="0.2">
      <c r="B116" s="125" t="s">
        <v>439</v>
      </c>
    </row>
    <row r="117" spans="2:2" x14ac:dyDescent="0.2">
      <c r="B117" s="127" t="s">
        <v>440</v>
      </c>
    </row>
    <row r="118" spans="2:2" x14ac:dyDescent="0.2">
      <c r="B118" s="127" t="s">
        <v>441</v>
      </c>
    </row>
    <row r="119" spans="2:2" x14ac:dyDescent="0.2">
      <c r="B119" s="125" t="s">
        <v>442</v>
      </c>
    </row>
    <row r="120" spans="2:2" x14ac:dyDescent="0.2">
      <c r="B120" s="125" t="s">
        <v>443</v>
      </c>
    </row>
    <row r="121" spans="2:2" x14ac:dyDescent="0.2">
      <c r="B121" s="125" t="s">
        <v>444</v>
      </c>
    </row>
    <row r="122" spans="2:2" x14ac:dyDescent="0.2">
      <c r="B122" s="125" t="s">
        <v>445</v>
      </c>
    </row>
    <row r="123" spans="2:2" x14ac:dyDescent="0.2">
      <c r="B123" s="125" t="s">
        <v>446</v>
      </c>
    </row>
    <row r="124" spans="2:2" x14ac:dyDescent="0.2">
      <c r="B124" s="127" t="s">
        <v>447</v>
      </c>
    </row>
    <row r="125" spans="2:2" x14ac:dyDescent="0.2">
      <c r="B125" s="125" t="s">
        <v>448</v>
      </c>
    </row>
    <row r="126" spans="2:2" x14ac:dyDescent="0.2">
      <c r="B126" s="125" t="s">
        <v>449</v>
      </c>
    </row>
    <row r="127" spans="2:2" x14ac:dyDescent="0.2">
      <c r="B127" s="127" t="s">
        <v>450</v>
      </c>
    </row>
    <row r="128" spans="2:2" x14ac:dyDescent="0.2">
      <c r="B128" s="127" t="s">
        <v>451</v>
      </c>
    </row>
    <row r="129" spans="2:2" x14ac:dyDescent="0.2">
      <c r="B129" s="127" t="s">
        <v>99</v>
      </c>
    </row>
    <row r="130" spans="2:2" x14ac:dyDescent="0.2">
      <c r="B130" s="125" t="s">
        <v>100</v>
      </c>
    </row>
    <row r="131" spans="2:2" x14ac:dyDescent="0.2">
      <c r="B131" s="127" t="s">
        <v>98</v>
      </c>
    </row>
    <row r="132" spans="2:2" x14ac:dyDescent="0.2">
      <c r="B132" s="127" t="s">
        <v>452</v>
      </c>
    </row>
    <row r="133" spans="2:2" x14ac:dyDescent="0.2">
      <c r="B133" s="127" t="s">
        <v>453</v>
      </c>
    </row>
    <row r="134" spans="2:2" x14ac:dyDescent="0.2">
      <c r="B134" s="127" t="s">
        <v>454</v>
      </c>
    </row>
    <row r="135" spans="2:2" x14ac:dyDescent="0.2">
      <c r="B135" s="127" t="s">
        <v>455</v>
      </c>
    </row>
    <row r="136" spans="2:2" x14ac:dyDescent="0.2">
      <c r="B136" s="125" t="s">
        <v>456</v>
      </c>
    </row>
    <row r="137" spans="2:2" x14ac:dyDescent="0.2">
      <c r="B137" s="127" t="s">
        <v>457</v>
      </c>
    </row>
    <row r="138" spans="2:2" x14ac:dyDescent="0.2">
      <c r="B138" s="125" t="s">
        <v>458</v>
      </c>
    </row>
    <row r="139" spans="2:2" x14ac:dyDescent="0.2">
      <c r="B139" s="125" t="s">
        <v>103</v>
      </c>
    </row>
    <row r="140" spans="2:2" x14ac:dyDescent="0.2">
      <c r="B140" s="127" t="s">
        <v>459</v>
      </c>
    </row>
    <row r="141" spans="2:2" x14ac:dyDescent="0.2">
      <c r="B141" s="127" t="s">
        <v>460</v>
      </c>
    </row>
    <row r="142" spans="2:2" x14ac:dyDescent="0.2">
      <c r="B142" s="126" t="s">
        <v>461</v>
      </c>
    </row>
    <row r="143" spans="2:2" x14ac:dyDescent="0.2">
      <c r="B143" s="127" t="s">
        <v>462</v>
      </c>
    </row>
    <row r="144" spans="2:2" x14ac:dyDescent="0.2">
      <c r="B144" s="125" t="s">
        <v>102</v>
      </c>
    </row>
    <row r="145" spans="2:2" x14ac:dyDescent="0.2">
      <c r="B145" s="127" t="s">
        <v>463</v>
      </c>
    </row>
    <row r="146" spans="2:2" x14ac:dyDescent="0.2">
      <c r="B146" s="127" t="s">
        <v>464</v>
      </c>
    </row>
    <row r="147" spans="2:2" x14ac:dyDescent="0.2">
      <c r="B147" s="125" t="s">
        <v>465</v>
      </c>
    </row>
    <row r="148" spans="2:2" x14ac:dyDescent="0.2">
      <c r="B148" s="125" t="s">
        <v>466</v>
      </c>
    </row>
    <row r="149" spans="2:2" x14ac:dyDescent="0.2">
      <c r="B149" s="125" t="s">
        <v>467</v>
      </c>
    </row>
    <row r="150" spans="2:2" x14ac:dyDescent="0.2">
      <c r="B150" s="127" t="s">
        <v>468</v>
      </c>
    </row>
    <row r="151" spans="2:2" x14ac:dyDescent="0.2">
      <c r="B151" s="125" t="s">
        <v>469</v>
      </c>
    </row>
    <row r="152" spans="2:2" x14ac:dyDescent="0.2">
      <c r="B152" s="125" t="s">
        <v>470</v>
      </c>
    </row>
    <row r="153" spans="2:2" x14ac:dyDescent="0.2">
      <c r="B153" s="125" t="s">
        <v>471</v>
      </c>
    </row>
    <row r="154" spans="2:2" x14ac:dyDescent="0.2">
      <c r="B154" s="125" t="s">
        <v>472</v>
      </c>
    </row>
    <row r="155" spans="2:2" x14ac:dyDescent="0.2">
      <c r="B155" s="127" t="s">
        <v>101</v>
      </c>
    </row>
    <row r="156" spans="2:2" x14ac:dyDescent="0.2">
      <c r="B156" s="127" t="s">
        <v>473</v>
      </c>
    </row>
    <row r="157" spans="2:2" x14ac:dyDescent="0.2">
      <c r="B157" s="125" t="s">
        <v>474</v>
      </c>
    </row>
    <row r="158" spans="2:2" x14ac:dyDescent="0.2">
      <c r="B158" s="127" t="s">
        <v>475</v>
      </c>
    </row>
    <row r="159" spans="2:2" x14ac:dyDescent="0.2">
      <c r="B159" s="125" t="s">
        <v>476</v>
      </c>
    </row>
    <row r="160" spans="2:2" x14ac:dyDescent="0.2">
      <c r="B160" s="127" t="s">
        <v>477</v>
      </c>
    </row>
    <row r="161" spans="2:2" x14ac:dyDescent="0.2">
      <c r="B161" s="127" t="s">
        <v>478</v>
      </c>
    </row>
    <row r="162" spans="2:2" x14ac:dyDescent="0.2">
      <c r="B162" s="127" t="s">
        <v>479</v>
      </c>
    </row>
    <row r="163" spans="2:2" x14ac:dyDescent="0.2">
      <c r="B163" s="125" t="s">
        <v>480</v>
      </c>
    </row>
    <row r="164" spans="2:2" x14ac:dyDescent="0.2">
      <c r="B164" s="127" t="s">
        <v>104</v>
      </c>
    </row>
    <row r="165" spans="2:2" x14ac:dyDescent="0.2">
      <c r="B165" s="127" t="s">
        <v>105</v>
      </c>
    </row>
    <row r="166" spans="2:2" x14ac:dyDescent="0.2">
      <c r="B166" s="125" t="s">
        <v>481</v>
      </c>
    </row>
    <row r="167" spans="2:2" x14ac:dyDescent="0.2">
      <c r="B167" s="127" t="s">
        <v>482</v>
      </c>
    </row>
    <row r="168" spans="2:2" x14ac:dyDescent="0.2">
      <c r="B168" s="125" t="s">
        <v>215</v>
      </c>
    </row>
    <row r="169" spans="2:2" x14ac:dyDescent="0.2">
      <c r="B169" s="127" t="s">
        <v>483</v>
      </c>
    </row>
    <row r="170" spans="2:2" x14ac:dyDescent="0.2">
      <c r="B170" s="125" t="s">
        <v>484</v>
      </c>
    </row>
    <row r="171" spans="2:2" x14ac:dyDescent="0.2">
      <c r="B171" s="125" t="s">
        <v>485</v>
      </c>
    </row>
    <row r="172" spans="2:2" x14ac:dyDescent="0.2">
      <c r="B172" s="127" t="s">
        <v>486</v>
      </c>
    </row>
    <row r="173" spans="2:2" x14ac:dyDescent="0.2">
      <c r="B173" s="127" t="s">
        <v>487</v>
      </c>
    </row>
    <row r="174" spans="2:2" x14ac:dyDescent="0.2">
      <c r="B174" s="125" t="s">
        <v>488</v>
      </c>
    </row>
    <row r="175" spans="2:2" x14ac:dyDescent="0.2">
      <c r="B175" s="127" t="s">
        <v>489</v>
      </c>
    </row>
    <row r="176" spans="2:2" x14ac:dyDescent="0.2">
      <c r="B176" s="127" t="s">
        <v>490</v>
      </c>
    </row>
    <row r="177" spans="2:2" x14ac:dyDescent="0.2">
      <c r="B177" s="125" t="s">
        <v>106</v>
      </c>
    </row>
    <row r="178" spans="2:2" x14ac:dyDescent="0.2">
      <c r="B178" s="125" t="s">
        <v>491</v>
      </c>
    </row>
    <row r="179" spans="2:2" x14ac:dyDescent="0.2">
      <c r="B179" s="125" t="s">
        <v>492</v>
      </c>
    </row>
    <row r="180" spans="2:2" x14ac:dyDescent="0.2">
      <c r="B180" s="127" t="s">
        <v>107</v>
      </c>
    </row>
    <row r="181" spans="2:2" x14ac:dyDescent="0.2">
      <c r="B181" s="125" t="s">
        <v>493</v>
      </c>
    </row>
    <row r="182" spans="2:2" x14ac:dyDescent="0.2">
      <c r="B182" s="125" t="s">
        <v>494</v>
      </c>
    </row>
    <row r="183" spans="2:2" x14ac:dyDescent="0.2">
      <c r="B183" s="127" t="s">
        <v>495</v>
      </c>
    </row>
    <row r="184" spans="2:2" x14ac:dyDescent="0.2">
      <c r="B184" s="127" t="s">
        <v>496</v>
      </c>
    </row>
    <row r="185" spans="2:2" x14ac:dyDescent="0.2">
      <c r="B185" s="127" t="s">
        <v>497</v>
      </c>
    </row>
    <row r="186" spans="2:2" x14ac:dyDescent="0.2">
      <c r="B186" s="125" t="s">
        <v>108</v>
      </c>
    </row>
    <row r="187" spans="2:2" x14ac:dyDescent="0.2">
      <c r="B187" s="127" t="s">
        <v>13</v>
      </c>
    </row>
    <row r="188" spans="2:2" x14ac:dyDescent="0.2">
      <c r="B188" s="129" t="s">
        <v>498</v>
      </c>
    </row>
    <row r="189" spans="2:2" x14ac:dyDescent="0.2">
      <c r="B189" s="125" t="s">
        <v>499</v>
      </c>
    </row>
    <row r="190" spans="2:2" x14ac:dyDescent="0.2">
      <c r="B190" s="127" t="s">
        <v>500</v>
      </c>
    </row>
    <row r="191" spans="2:2" x14ac:dyDescent="0.2">
      <c r="B191" s="125" t="s">
        <v>501</v>
      </c>
    </row>
    <row r="192" spans="2:2" x14ac:dyDescent="0.2">
      <c r="B192" s="125" t="s">
        <v>502</v>
      </c>
    </row>
    <row r="193" spans="2:2" x14ac:dyDescent="0.2">
      <c r="B193" s="125" t="s">
        <v>503</v>
      </c>
    </row>
    <row r="194" spans="2:2" x14ac:dyDescent="0.2">
      <c r="B194" s="125" t="s">
        <v>504</v>
      </c>
    </row>
    <row r="195" spans="2:2" x14ac:dyDescent="0.2">
      <c r="B195" s="125" t="s">
        <v>505</v>
      </c>
    </row>
    <row r="196" spans="2:2" x14ac:dyDescent="0.2">
      <c r="B196" s="127" t="s">
        <v>506</v>
      </c>
    </row>
    <row r="197" spans="2:2" x14ac:dyDescent="0.2">
      <c r="B197" s="127" t="s">
        <v>507</v>
      </c>
    </row>
    <row r="198" spans="2:2" x14ac:dyDescent="0.2">
      <c r="B198" s="125" t="s">
        <v>508</v>
      </c>
    </row>
    <row r="199" spans="2:2" x14ac:dyDescent="0.2">
      <c r="B199" s="127" t="s">
        <v>509</v>
      </c>
    </row>
    <row r="200" spans="2:2" x14ac:dyDescent="0.2">
      <c r="B200" s="125" t="s">
        <v>510</v>
      </c>
    </row>
    <row r="201" spans="2:2" x14ac:dyDescent="0.2">
      <c r="B201" s="125" t="s">
        <v>511</v>
      </c>
    </row>
    <row r="202" spans="2:2" x14ac:dyDescent="0.2">
      <c r="B202" s="127" t="s">
        <v>512</v>
      </c>
    </row>
    <row r="203" spans="2:2" x14ac:dyDescent="0.2">
      <c r="B203" s="125" t="s">
        <v>513</v>
      </c>
    </row>
    <row r="204" spans="2:2" x14ac:dyDescent="0.2">
      <c r="B204" s="127" t="s">
        <v>514</v>
      </c>
    </row>
    <row r="205" spans="2:2" x14ac:dyDescent="0.2">
      <c r="B205" s="127" t="s">
        <v>515</v>
      </c>
    </row>
    <row r="206" spans="2:2" x14ac:dyDescent="0.2">
      <c r="B206" s="125" t="s">
        <v>109</v>
      </c>
    </row>
    <row r="207" spans="2:2" x14ac:dyDescent="0.2">
      <c r="B207" s="125" t="s">
        <v>111</v>
      </c>
    </row>
    <row r="208" spans="2:2" x14ac:dyDescent="0.2">
      <c r="B208" s="127" t="s">
        <v>516</v>
      </c>
    </row>
    <row r="209" spans="2:2" x14ac:dyDescent="0.2">
      <c r="B209" s="125" t="s">
        <v>517</v>
      </c>
    </row>
    <row r="210" spans="2:2" x14ac:dyDescent="0.2">
      <c r="B210" s="125" t="s">
        <v>518</v>
      </c>
    </row>
    <row r="211" spans="2:2" x14ac:dyDescent="0.2">
      <c r="B211" s="125" t="s">
        <v>519</v>
      </c>
    </row>
    <row r="212" spans="2:2" x14ac:dyDescent="0.2">
      <c r="B212" s="125" t="s">
        <v>520</v>
      </c>
    </row>
    <row r="213" spans="2:2" x14ac:dyDescent="0.2">
      <c r="B213" s="127" t="s">
        <v>521</v>
      </c>
    </row>
    <row r="214" spans="2:2" x14ac:dyDescent="0.2">
      <c r="B214" s="125" t="s">
        <v>522</v>
      </c>
    </row>
    <row r="215" spans="2:2" x14ac:dyDescent="0.2">
      <c r="B215" s="127" t="s">
        <v>523</v>
      </c>
    </row>
    <row r="216" spans="2:2" x14ac:dyDescent="0.2">
      <c r="B216" s="125" t="s">
        <v>524</v>
      </c>
    </row>
    <row r="217" spans="2:2" x14ac:dyDescent="0.2">
      <c r="B217" s="127" t="s">
        <v>525</v>
      </c>
    </row>
    <row r="218" spans="2:2" x14ac:dyDescent="0.2">
      <c r="B218" s="125" t="s">
        <v>526</v>
      </c>
    </row>
    <row r="219" spans="2:2" x14ac:dyDescent="0.2">
      <c r="B219" s="127" t="s">
        <v>527</v>
      </c>
    </row>
    <row r="220" spans="2:2" x14ac:dyDescent="0.2">
      <c r="B220" s="125" t="s">
        <v>528</v>
      </c>
    </row>
    <row r="221" spans="2:2" x14ac:dyDescent="0.2">
      <c r="B221" s="127" t="s">
        <v>529</v>
      </c>
    </row>
    <row r="222" spans="2:2" x14ac:dyDescent="0.2">
      <c r="B222" s="125" t="s">
        <v>113</v>
      </c>
    </row>
    <row r="223" spans="2:2" x14ac:dyDescent="0.2">
      <c r="B223" s="127" t="s">
        <v>530</v>
      </c>
    </row>
    <row r="224" spans="2:2" x14ac:dyDescent="0.2">
      <c r="B224" s="125" t="s">
        <v>531</v>
      </c>
    </row>
    <row r="225" spans="2:2" x14ac:dyDescent="0.2">
      <c r="B225" s="125" t="s">
        <v>114</v>
      </c>
    </row>
    <row r="226" spans="2:2" x14ac:dyDescent="0.2">
      <c r="B226" s="127" t="s">
        <v>115</v>
      </c>
    </row>
    <row r="227" spans="2:2" x14ac:dyDescent="0.2">
      <c r="B227" s="127" t="s">
        <v>532</v>
      </c>
    </row>
    <row r="228" spans="2:2" x14ac:dyDescent="0.2">
      <c r="B228" s="127" t="s">
        <v>533</v>
      </c>
    </row>
    <row r="229" spans="2:2" x14ac:dyDescent="0.2">
      <c r="B229" s="125" t="s">
        <v>534</v>
      </c>
    </row>
    <row r="230" spans="2:2" x14ac:dyDescent="0.2">
      <c r="B230" s="127" t="s">
        <v>535</v>
      </c>
    </row>
    <row r="231" spans="2:2" x14ac:dyDescent="0.2">
      <c r="B231" s="127" t="s">
        <v>536</v>
      </c>
    </row>
    <row r="232" spans="2:2" x14ac:dyDescent="0.2">
      <c r="B232" s="125" t="s">
        <v>537</v>
      </c>
    </row>
    <row r="233" spans="2:2" x14ac:dyDescent="0.2">
      <c r="B233" s="127" t="s">
        <v>538</v>
      </c>
    </row>
    <row r="234" spans="2:2" x14ac:dyDescent="0.2">
      <c r="B234" s="125" t="s">
        <v>539</v>
      </c>
    </row>
    <row r="235" spans="2:2" x14ac:dyDescent="0.2">
      <c r="B235" s="127" t="s">
        <v>540</v>
      </c>
    </row>
    <row r="236" spans="2:2" x14ac:dyDescent="0.2">
      <c r="B236" s="127" t="s">
        <v>541</v>
      </c>
    </row>
    <row r="237" spans="2:2" x14ac:dyDescent="0.2">
      <c r="B237" s="125" t="s">
        <v>542</v>
      </c>
    </row>
    <row r="238" spans="2:2" x14ac:dyDescent="0.2">
      <c r="B238" s="125" t="s">
        <v>543</v>
      </c>
    </row>
    <row r="239" spans="2:2" x14ac:dyDescent="0.2">
      <c r="B239" s="125" t="s">
        <v>544</v>
      </c>
    </row>
    <row r="240" spans="2:2" x14ac:dyDescent="0.2">
      <c r="B240" s="127" t="s">
        <v>381</v>
      </c>
    </row>
    <row r="241" spans="2:2" x14ac:dyDescent="0.2">
      <c r="B241" s="127" t="s">
        <v>545</v>
      </c>
    </row>
    <row r="242" spans="2:2" x14ac:dyDescent="0.2">
      <c r="B242" s="125" t="s">
        <v>546</v>
      </c>
    </row>
    <row r="243" spans="2:2" x14ac:dyDescent="0.2">
      <c r="B243" s="130" t="s">
        <v>547</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O40"/>
  <sheetViews>
    <sheetView showGridLines="0" zoomScaleNormal="100" workbookViewId="0">
      <selection activeCell="L16" sqref="L16"/>
    </sheetView>
  </sheetViews>
  <sheetFormatPr baseColWidth="10" defaultColWidth="9.140625" defaultRowHeight="12.75" x14ac:dyDescent="0.2"/>
  <cols>
    <col min="1" max="1" width="27.85546875" customWidth="1"/>
    <col min="2" max="2" width="16.7109375" customWidth="1"/>
    <col min="3" max="3" width="6.7109375" customWidth="1"/>
    <col min="4" max="4" width="16.7109375" customWidth="1"/>
    <col min="5" max="5" width="6.7109375" customWidth="1"/>
    <col min="6" max="6" width="16.7109375" customWidth="1"/>
    <col min="7" max="7" width="6.7109375" customWidth="1"/>
    <col min="8" max="8" width="16.7109375" customWidth="1"/>
    <col min="9" max="9" width="6.7109375" customWidth="1"/>
    <col min="10" max="10" width="16.7109375" customWidth="1"/>
    <col min="11" max="11" width="6.7109375" customWidth="1"/>
    <col min="12" max="12" width="16.7109375" customWidth="1"/>
    <col min="13" max="13" width="6.7109375" customWidth="1"/>
  </cols>
  <sheetData>
    <row r="1" spans="1:15" ht="12" customHeight="1" x14ac:dyDescent="0.2">
      <c r="A1" s="26" t="s">
        <v>6</v>
      </c>
      <c r="B1" s="66"/>
      <c r="C1" s="66"/>
      <c r="D1" s="66"/>
      <c r="E1" s="66"/>
      <c r="F1" s="66"/>
      <c r="G1" s="66"/>
      <c r="H1" s="66"/>
      <c r="I1" s="66"/>
      <c r="J1" s="66"/>
      <c r="K1" s="66"/>
      <c r="L1" s="66"/>
      <c r="M1" s="66"/>
      <c r="N1" s="1515"/>
      <c r="O1" s="1515"/>
    </row>
    <row r="2" spans="1:15" ht="12" customHeight="1" x14ac:dyDescent="0.2">
      <c r="A2" s="28" t="s">
        <v>10</v>
      </c>
      <c r="B2" s="66"/>
      <c r="C2" s="66"/>
      <c r="D2" s="66"/>
      <c r="E2" s="66"/>
      <c r="F2" s="66"/>
      <c r="G2" s="66"/>
      <c r="H2" s="66"/>
      <c r="I2" s="66"/>
      <c r="J2" s="66"/>
      <c r="K2" s="66"/>
      <c r="L2" s="66"/>
      <c r="M2" s="66"/>
      <c r="N2" s="1515"/>
      <c r="O2" s="1515"/>
    </row>
    <row r="3" spans="1:15" ht="12" customHeight="1" x14ac:dyDescent="0.2">
      <c r="A3" s="28" t="s">
        <v>7</v>
      </c>
      <c r="B3" s="66"/>
      <c r="C3" s="66"/>
      <c r="D3" s="66"/>
      <c r="E3" s="66"/>
      <c r="F3" s="66"/>
      <c r="G3" s="66"/>
      <c r="H3" s="66"/>
      <c r="I3" s="66"/>
      <c r="J3" s="66"/>
      <c r="K3" s="66"/>
      <c r="L3" s="66"/>
      <c r="M3" s="66"/>
      <c r="N3" s="1515"/>
      <c r="O3" s="1515"/>
    </row>
    <row r="4" spans="1:15" x14ac:dyDescent="0.2">
      <c r="A4" s="1850" t="s">
        <v>340</v>
      </c>
      <c r="B4" s="1850"/>
      <c r="C4" s="1850"/>
      <c r="D4" s="1850"/>
      <c r="E4" s="1850"/>
      <c r="F4" s="1850"/>
      <c r="G4" s="1850"/>
      <c r="H4" s="1850"/>
      <c r="I4" s="1850"/>
      <c r="J4" s="1850"/>
      <c r="K4" s="1850"/>
      <c r="L4" s="1850"/>
      <c r="M4" s="1850"/>
      <c r="N4" s="1515"/>
      <c r="O4" s="1515"/>
    </row>
    <row r="5" spans="1:15" x14ac:dyDescent="0.2">
      <c r="N5" s="1515"/>
      <c r="O5" s="1515"/>
    </row>
    <row r="6" spans="1:15" x14ac:dyDescent="0.2">
      <c r="A6" s="1515"/>
      <c r="B6" s="1515"/>
      <c r="C6" s="1515"/>
      <c r="D6" s="1515"/>
      <c r="E6" s="1515"/>
      <c r="F6" s="1515"/>
      <c r="G6" s="1515"/>
      <c r="H6" s="1515"/>
      <c r="I6" s="1515"/>
      <c r="J6" s="1515"/>
      <c r="K6" s="1515"/>
      <c r="L6" s="1515"/>
      <c r="M6" s="1515"/>
      <c r="N6" s="1515"/>
      <c r="O6" s="1515"/>
    </row>
    <row r="7" spans="1:15" ht="15.75" x14ac:dyDescent="0.25">
      <c r="A7" s="1519" t="s">
        <v>1006</v>
      </c>
      <c r="B7" s="1515"/>
      <c r="C7" s="1515"/>
      <c r="D7" s="1515"/>
      <c r="E7" s="1515"/>
      <c r="F7" s="1515"/>
      <c r="G7" s="1515"/>
      <c r="H7" s="1515"/>
      <c r="I7" s="1515"/>
      <c r="J7" s="1515"/>
      <c r="K7" s="1515"/>
      <c r="L7" s="1515"/>
      <c r="M7" s="1515"/>
      <c r="N7" s="1515"/>
      <c r="O7" s="1515"/>
    </row>
    <row r="8" spans="1:15" x14ac:dyDescent="0.2">
      <c r="A8" s="1530" t="s">
        <v>1028</v>
      </c>
      <c r="B8" s="1515"/>
      <c r="C8" s="1515"/>
      <c r="D8" s="1515"/>
      <c r="E8" s="1515"/>
      <c r="F8" s="1515"/>
      <c r="G8" s="1515"/>
      <c r="H8" s="1515"/>
      <c r="I8" s="1515"/>
      <c r="J8" s="1515"/>
      <c r="K8" s="1515"/>
      <c r="L8" s="1515"/>
      <c r="M8" s="1515"/>
      <c r="N8" s="1515"/>
      <c r="O8" s="1515"/>
    </row>
    <row r="9" spans="1:15" x14ac:dyDescent="0.2">
      <c r="A9" s="1515"/>
      <c r="B9" s="1515"/>
      <c r="C9" s="1515"/>
      <c r="D9" s="1515"/>
      <c r="E9" s="1515"/>
      <c r="F9" s="1515"/>
      <c r="G9" s="1515"/>
      <c r="H9" s="1515"/>
      <c r="I9" s="1515"/>
      <c r="J9" s="1515"/>
      <c r="K9" s="1515"/>
      <c r="L9" s="1515"/>
      <c r="M9" s="1515"/>
      <c r="N9" s="1515"/>
      <c r="O9" s="1515"/>
    </row>
    <row r="10" spans="1:15" x14ac:dyDescent="0.2">
      <c r="A10" s="1515"/>
      <c r="B10" s="1518" t="s">
        <v>34</v>
      </c>
      <c r="C10" s="1611">
        <v>2014</v>
      </c>
      <c r="D10" s="1515"/>
      <c r="E10" s="1515"/>
      <c r="F10" s="1515"/>
      <c r="G10" s="1515"/>
      <c r="H10" s="1515"/>
      <c r="I10" s="1515"/>
      <c r="J10" s="1515"/>
      <c r="K10" s="1515"/>
      <c r="L10" s="1515"/>
      <c r="M10" s="1515"/>
      <c r="N10" s="1515"/>
      <c r="O10" s="1515"/>
    </row>
    <row r="11" spans="1:15" x14ac:dyDescent="0.2">
      <c r="A11" s="1515"/>
      <c r="B11" s="1515"/>
      <c r="C11" s="1515"/>
      <c r="D11" s="1515"/>
      <c r="E11" s="1515"/>
      <c r="F11" s="1515"/>
      <c r="G11" s="1515"/>
      <c r="H11" s="1515"/>
      <c r="I11" s="1515"/>
      <c r="J11" s="1515"/>
      <c r="K11" s="1515"/>
      <c r="L11" s="1515"/>
      <c r="M11" s="1515"/>
      <c r="N11" s="1515"/>
      <c r="O11" s="1515"/>
    </row>
    <row r="12" spans="1:15" ht="17.25" customHeight="1" x14ac:dyDescent="0.2">
      <c r="A12" s="1515"/>
      <c r="B12" s="1515"/>
      <c r="C12" s="1515"/>
      <c r="D12" s="1515"/>
      <c r="E12" s="1515"/>
      <c r="F12" s="1515"/>
      <c r="G12" s="1515"/>
      <c r="H12" s="1515"/>
      <c r="I12" s="1515"/>
      <c r="J12" s="1515"/>
      <c r="K12" s="1515"/>
      <c r="L12" s="1515"/>
      <c r="M12" s="1515"/>
      <c r="N12" s="1515"/>
      <c r="O12" s="1515"/>
    </row>
    <row r="13" spans="1:15" ht="12.75" customHeight="1" x14ac:dyDescent="0.2">
      <c r="A13" s="1851" t="s">
        <v>269</v>
      </c>
      <c r="B13" s="1853" t="s">
        <v>996</v>
      </c>
      <c r="C13" s="1854"/>
      <c r="D13" s="1853" t="s">
        <v>997</v>
      </c>
      <c r="E13" s="1854"/>
      <c r="F13" s="1853" t="s">
        <v>998</v>
      </c>
      <c r="G13" s="1854"/>
      <c r="H13" s="1853" t="s">
        <v>999</v>
      </c>
      <c r="I13" s="1854"/>
      <c r="J13" s="1853" t="s">
        <v>1000</v>
      </c>
      <c r="K13" s="1854"/>
      <c r="L13" s="1853" t="s">
        <v>1001</v>
      </c>
      <c r="M13" s="1854"/>
      <c r="N13" s="1515"/>
      <c r="O13" s="1515"/>
    </row>
    <row r="14" spans="1:15" ht="42.75" customHeight="1" x14ac:dyDescent="0.2">
      <c r="A14" s="1852"/>
      <c r="B14" s="1855"/>
      <c r="C14" s="1856"/>
      <c r="D14" s="1855"/>
      <c r="E14" s="1856"/>
      <c r="F14" s="1855"/>
      <c r="G14" s="1856"/>
      <c r="H14" s="1855"/>
      <c r="I14" s="1856"/>
      <c r="J14" s="1855"/>
      <c r="K14" s="1856"/>
      <c r="L14" s="1855"/>
      <c r="M14" s="1856"/>
      <c r="N14" s="1515"/>
      <c r="O14" s="1515"/>
    </row>
    <row r="15" spans="1:15" ht="16.5" customHeight="1" x14ac:dyDescent="0.2">
      <c r="A15" s="1522" t="s">
        <v>1002</v>
      </c>
      <c r="B15" s="1600">
        <f>SUM(B16:B21)</f>
        <v>56212.76</v>
      </c>
      <c r="C15" s="1601"/>
      <c r="D15" s="1601">
        <f>SUM(D16:D21)</f>
        <v>19823.444</v>
      </c>
      <c r="E15" s="1601"/>
      <c r="F15" s="1601">
        <f>SUM(F16:F21)</f>
        <v>10136.259499999998</v>
      </c>
      <c r="G15" s="1601"/>
      <c r="H15" s="1601">
        <f>SUM(H16:H21)</f>
        <v>8888.8286000000007</v>
      </c>
      <c r="I15" s="1601"/>
      <c r="J15" s="1601">
        <f>SUM(J16:J21)</f>
        <v>8682.1116999999995</v>
      </c>
      <c r="K15" s="1601"/>
      <c r="L15" s="1601">
        <f>SUM(L16:L21)</f>
        <v>9202.4681999999993</v>
      </c>
      <c r="M15" s="1602"/>
      <c r="N15" s="1515"/>
      <c r="O15" s="1515"/>
    </row>
    <row r="16" spans="1:15" ht="12.75" customHeight="1" x14ac:dyDescent="0.2">
      <c r="A16" s="1520" t="s">
        <v>236</v>
      </c>
      <c r="B16" s="1603">
        <v>22931.33</v>
      </c>
      <c r="C16" s="1604"/>
      <c r="D16" s="1604">
        <v>5224.9489999999996</v>
      </c>
      <c r="E16" s="1604"/>
      <c r="F16" s="1604">
        <v>3749.4180000000001</v>
      </c>
      <c r="G16" s="1604"/>
      <c r="H16" s="1604">
        <v>3307.471</v>
      </c>
      <c r="I16" s="1604"/>
      <c r="J16" s="1604">
        <v>3250.4459999999999</v>
      </c>
      <c r="K16" s="1604"/>
      <c r="L16" s="1604">
        <v>3400.1379999999999</v>
      </c>
      <c r="M16" s="1605"/>
      <c r="N16" s="1515"/>
      <c r="O16" s="1515"/>
    </row>
    <row r="17" spans="1:15" x14ac:dyDescent="0.2">
      <c r="A17" s="1520" t="s">
        <v>237</v>
      </c>
      <c r="B17" s="1606">
        <v>8824.6759999999995</v>
      </c>
      <c r="C17" s="1607"/>
      <c r="D17" s="1607">
        <v>2373.681</v>
      </c>
      <c r="E17" s="1607"/>
      <c r="F17" s="1607">
        <v>1717.8889999999999</v>
      </c>
      <c r="G17" s="1607"/>
      <c r="H17" s="1607">
        <v>1468.403</v>
      </c>
      <c r="I17" s="1607"/>
      <c r="J17" s="1607">
        <v>1397.1210000000001</v>
      </c>
      <c r="K17" s="1607"/>
      <c r="L17" s="1607">
        <v>1518.3</v>
      </c>
      <c r="M17" s="1608"/>
      <c r="N17" s="1515"/>
      <c r="O17" s="1515"/>
    </row>
    <row r="18" spans="1:15" x14ac:dyDescent="0.2">
      <c r="A18" s="1520" t="s">
        <v>238</v>
      </c>
      <c r="B18" s="1606">
        <v>7227.9650000000001</v>
      </c>
      <c r="C18" s="1607"/>
      <c r="D18" s="1607">
        <v>1924.606</v>
      </c>
      <c r="E18" s="1607"/>
      <c r="F18" s="1607">
        <v>1290.1990000000001</v>
      </c>
      <c r="G18" s="1607"/>
      <c r="H18" s="1607">
        <v>1047.8409999999999</v>
      </c>
      <c r="I18" s="1607"/>
      <c r="J18" s="1607">
        <v>948.04669999999999</v>
      </c>
      <c r="K18" s="1607"/>
      <c r="L18" s="1607">
        <v>997.94389999999999</v>
      </c>
      <c r="M18" s="1608"/>
      <c r="N18" s="1515"/>
      <c r="O18" s="1515"/>
    </row>
    <row r="19" spans="1:15" x14ac:dyDescent="0.2">
      <c r="A19" s="1520" t="s">
        <v>239</v>
      </c>
      <c r="B19" s="1606">
        <v>4184.2359999999999</v>
      </c>
      <c r="C19" s="1607"/>
      <c r="D19" s="1607">
        <v>1653.7360000000001</v>
      </c>
      <c r="E19" s="1607"/>
      <c r="F19" s="1607">
        <v>691.43259999999998</v>
      </c>
      <c r="G19" s="1607"/>
      <c r="H19" s="1607">
        <v>627.279</v>
      </c>
      <c r="I19" s="1607"/>
      <c r="J19" s="1607">
        <v>598.76639999999998</v>
      </c>
      <c r="K19" s="1607"/>
      <c r="L19" s="1607">
        <v>627.279</v>
      </c>
      <c r="M19" s="1608"/>
      <c r="N19" s="1515"/>
      <c r="O19" s="1515"/>
    </row>
    <row r="20" spans="1:15" x14ac:dyDescent="0.2">
      <c r="A20" s="1520" t="s">
        <v>240</v>
      </c>
      <c r="B20" s="1606">
        <v>9558.8770000000004</v>
      </c>
      <c r="C20" s="1607"/>
      <c r="D20" s="1607">
        <v>6037.5609999999997</v>
      </c>
      <c r="E20" s="1607"/>
      <c r="F20" s="1607">
        <v>1981.6320000000001</v>
      </c>
      <c r="G20" s="1607"/>
      <c r="H20" s="1607">
        <v>1746.402</v>
      </c>
      <c r="I20" s="1607"/>
      <c r="J20" s="1607">
        <v>1796.299</v>
      </c>
      <c r="K20" s="1607"/>
      <c r="L20" s="1607">
        <v>1938.8620000000001</v>
      </c>
      <c r="M20" s="1608"/>
      <c r="N20" s="1515"/>
      <c r="O20" s="1515"/>
    </row>
    <row r="21" spans="1:15" x14ac:dyDescent="0.2">
      <c r="A21" s="1520" t="s">
        <v>241</v>
      </c>
      <c r="B21" s="1606">
        <v>3485.6759999999999</v>
      </c>
      <c r="C21" s="1607"/>
      <c r="D21" s="1607">
        <v>2608.9110000000001</v>
      </c>
      <c r="E21" s="1607"/>
      <c r="F21" s="1607">
        <v>705.68889999999999</v>
      </c>
      <c r="G21" s="1607"/>
      <c r="H21" s="1607">
        <v>691.43259999999998</v>
      </c>
      <c r="I21" s="1607"/>
      <c r="J21" s="1607">
        <v>691.43259999999998</v>
      </c>
      <c r="K21" s="1607"/>
      <c r="L21" s="1607">
        <v>719.94529999999997</v>
      </c>
      <c r="M21" s="1608"/>
      <c r="N21" s="1515"/>
      <c r="O21" s="1515"/>
    </row>
    <row r="22" spans="1:15" x14ac:dyDescent="0.2">
      <c r="A22" s="1521" t="s">
        <v>242</v>
      </c>
      <c r="B22" s="1609"/>
      <c r="C22" s="1610"/>
      <c r="D22" s="1610"/>
      <c r="E22" s="1610"/>
      <c r="F22" s="1610"/>
      <c r="G22" s="1610"/>
      <c r="H22" s="1610"/>
      <c r="I22" s="1610"/>
      <c r="J22" s="1610"/>
      <c r="K22" s="1610"/>
      <c r="L22" s="1610"/>
      <c r="M22" s="1599"/>
      <c r="N22" s="1515"/>
      <c r="O22" s="1515"/>
    </row>
    <row r="23" spans="1:15" x14ac:dyDescent="0.2">
      <c r="A23" s="1515"/>
      <c r="B23" s="1515"/>
      <c r="C23" s="1515"/>
      <c r="D23" s="1515"/>
      <c r="E23" s="1515"/>
      <c r="F23" s="1515"/>
      <c r="G23" s="1515"/>
      <c r="H23" s="1515"/>
      <c r="I23" s="1515"/>
      <c r="J23" s="1515"/>
      <c r="K23" s="1515"/>
      <c r="L23" s="1515"/>
      <c r="M23" s="1515"/>
      <c r="N23" s="1515"/>
      <c r="O23" s="1515"/>
    </row>
    <row r="24" spans="1:15" x14ac:dyDescent="0.2">
      <c r="A24" s="1515"/>
      <c r="B24" s="1515"/>
      <c r="C24" s="1515"/>
      <c r="D24" s="1515"/>
      <c r="E24" s="1515"/>
      <c r="F24" s="1515"/>
      <c r="G24" s="1515"/>
      <c r="H24" s="1515"/>
      <c r="I24" s="1515"/>
      <c r="J24" s="1515"/>
      <c r="K24" s="1515"/>
      <c r="L24" s="1515"/>
      <c r="M24" s="1515"/>
      <c r="N24" s="1515"/>
      <c r="O24" s="1515"/>
    </row>
    <row r="25" spans="1:15" x14ac:dyDescent="0.2">
      <c r="A25" s="1515" t="s">
        <v>32</v>
      </c>
      <c r="B25" s="56"/>
      <c r="C25" s="56"/>
      <c r="D25" s="57"/>
      <c r="E25" s="57"/>
      <c r="F25" s="57"/>
      <c r="G25" s="57"/>
      <c r="H25" s="57"/>
      <c r="I25" s="57"/>
      <c r="J25" s="57"/>
      <c r="K25" s="57"/>
      <c r="L25" s="57"/>
      <c r="M25" s="57"/>
      <c r="N25" s="1515"/>
      <c r="O25" s="1515"/>
    </row>
    <row r="26" spans="1:15" x14ac:dyDescent="0.2">
      <c r="A26" s="1515"/>
      <c r="B26" s="58"/>
      <c r="C26" s="58"/>
      <c r="D26" s="59"/>
      <c r="E26" s="59"/>
      <c r="F26" s="59"/>
      <c r="G26" s="59"/>
      <c r="H26" s="59"/>
      <c r="I26" s="59"/>
      <c r="J26" s="59"/>
      <c r="K26" s="59"/>
      <c r="L26" s="59"/>
      <c r="M26" s="59"/>
      <c r="N26" s="1515"/>
      <c r="O26" s="1515"/>
    </row>
    <row r="27" spans="1:15" x14ac:dyDescent="0.2">
      <c r="A27" s="1515"/>
      <c r="B27" s="58"/>
      <c r="C27" s="58"/>
      <c r="D27" s="59"/>
      <c r="E27" s="59"/>
      <c r="F27" s="59"/>
      <c r="G27" s="59"/>
      <c r="H27" s="59"/>
      <c r="I27" s="59"/>
      <c r="J27" s="59"/>
      <c r="K27" s="59"/>
      <c r="L27" s="59"/>
      <c r="M27" s="59"/>
      <c r="N27" s="1515"/>
      <c r="O27" s="1515"/>
    </row>
    <row r="28" spans="1:15" x14ac:dyDescent="0.2">
      <c r="A28" s="1515"/>
      <c r="B28" s="58"/>
      <c r="C28" s="58"/>
      <c r="D28" s="59"/>
      <c r="E28" s="59"/>
      <c r="F28" s="59"/>
      <c r="G28" s="59"/>
      <c r="H28" s="59"/>
      <c r="I28" s="59"/>
      <c r="J28" s="59"/>
      <c r="K28" s="59"/>
      <c r="L28" s="59"/>
      <c r="M28" s="59"/>
      <c r="N28" s="1515"/>
      <c r="O28" s="1515"/>
    </row>
    <row r="29" spans="1:15" x14ac:dyDescent="0.2">
      <c r="A29" s="1515"/>
      <c r="B29" s="1515"/>
      <c r="C29" s="1515"/>
      <c r="D29" s="1515"/>
      <c r="E29" s="1515"/>
      <c r="F29" s="1515"/>
      <c r="G29" s="1515"/>
      <c r="H29" s="1515"/>
      <c r="I29" s="1515"/>
      <c r="J29" s="1515"/>
      <c r="K29" s="1515"/>
      <c r="L29" s="1515"/>
      <c r="M29" s="1515"/>
      <c r="N29" s="1515"/>
      <c r="O29" s="1515"/>
    </row>
    <row r="30" spans="1:15" x14ac:dyDescent="0.2">
      <c r="A30" s="1515" t="s">
        <v>33</v>
      </c>
      <c r="B30" s="56"/>
      <c r="C30" s="56"/>
      <c r="D30" s="57"/>
      <c r="E30" s="57"/>
      <c r="F30" s="57"/>
      <c r="G30" s="57"/>
      <c r="H30" s="57"/>
      <c r="I30" s="57"/>
      <c r="J30" s="57"/>
      <c r="K30" s="57"/>
      <c r="L30" s="57"/>
      <c r="M30" s="57"/>
      <c r="N30" s="1515"/>
      <c r="O30" s="1515"/>
    </row>
    <row r="31" spans="1:15" x14ac:dyDescent="0.2">
      <c r="A31" s="1516"/>
      <c r="B31" s="58"/>
      <c r="C31" s="58"/>
      <c r="D31" s="59"/>
      <c r="E31" s="59"/>
      <c r="F31" s="59"/>
      <c r="G31" s="59"/>
      <c r="H31" s="59"/>
      <c r="I31" s="59"/>
      <c r="J31" s="59"/>
      <c r="K31" s="59"/>
      <c r="L31" s="59"/>
      <c r="M31" s="59"/>
      <c r="N31" s="1515"/>
      <c r="O31" s="1515"/>
    </row>
    <row r="32" spans="1:15" x14ac:dyDescent="0.2">
      <c r="A32" s="1516"/>
      <c r="B32" s="58"/>
      <c r="C32" s="58"/>
      <c r="D32" s="59"/>
      <c r="E32" s="59"/>
      <c r="F32" s="59"/>
      <c r="G32" s="59"/>
      <c r="H32" s="59"/>
      <c r="I32" s="59"/>
      <c r="J32" s="59"/>
      <c r="K32" s="59"/>
      <c r="L32" s="59"/>
      <c r="M32" s="59"/>
      <c r="N32" s="1515"/>
      <c r="O32" s="1515"/>
    </row>
    <row r="33" spans="1:15" x14ac:dyDescent="0.2">
      <c r="A33" s="1516"/>
      <c r="B33" s="58"/>
      <c r="C33" s="58"/>
      <c r="D33" s="59"/>
      <c r="E33" s="59"/>
      <c r="F33" s="59"/>
      <c r="G33" s="59"/>
      <c r="H33" s="59"/>
      <c r="I33" s="59"/>
      <c r="J33" s="59"/>
      <c r="K33" s="59"/>
      <c r="L33" s="59"/>
      <c r="M33" s="59"/>
      <c r="N33" s="1515"/>
      <c r="O33" s="1515"/>
    </row>
    <row r="34" spans="1:15" x14ac:dyDescent="0.2">
      <c r="A34" s="1516"/>
      <c r="B34" s="1516"/>
      <c r="C34" s="1516"/>
      <c r="D34" s="1516"/>
      <c r="E34" s="1516"/>
      <c r="F34" s="1516"/>
      <c r="G34" s="1516"/>
      <c r="H34" s="1516"/>
      <c r="I34" s="1516"/>
      <c r="J34" s="1516"/>
      <c r="K34" s="1516"/>
      <c r="L34" s="1516"/>
      <c r="M34" s="1516"/>
      <c r="N34" s="1515"/>
      <c r="O34" s="1515"/>
    </row>
    <row r="35" spans="1:15" x14ac:dyDescent="0.2">
      <c r="A35" s="1515" t="s">
        <v>670</v>
      </c>
      <c r="B35" s="1516"/>
      <c r="C35" s="1516"/>
      <c r="D35" s="1516"/>
      <c r="E35" s="1516"/>
      <c r="F35" s="1516"/>
      <c r="G35" s="1516"/>
      <c r="H35" s="1516"/>
      <c r="I35" s="1516"/>
      <c r="J35" s="1516"/>
      <c r="K35" s="1516"/>
      <c r="L35" s="1516"/>
      <c r="M35" s="1516"/>
      <c r="N35" s="1515"/>
      <c r="O35" s="1515"/>
    </row>
    <row r="36" spans="1:15" x14ac:dyDescent="0.2">
      <c r="A36" s="1516"/>
      <c r="B36" s="548"/>
      <c r="C36" s="1516"/>
      <c r="D36" s="1516"/>
      <c r="E36" s="1516"/>
      <c r="F36" s="1516"/>
      <c r="G36" s="1516"/>
      <c r="H36" s="1516"/>
      <c r="I36" s="1516"/>
      <c r="J36" s="1516"/>
      <c r="K36" s="1516"/>
      <c r="L36" s="1516"/>
      <c r="M36" s="1516"/>
      <c r="N36" s="1515"/>
      <c r="O36" s="1515"/>
    </row>
    <row r="37" spans="1:15" x14ac:dyDescent="0.2">
      <c r="A37" s="1517"/>
      <c r="B37" s="549"/>
      <c r="C37" s="1516"/>
      <c r="D37" s="1516"/>
      <c r="E37" s="1516"/>
      <c r="F37" s="1516"/>
      <c r="G37" s="1516"/>
      <c r="H37" s="1516"/>
      <c r="I37" s="1516"/>
      <c r="J37" s="1516"/>
      <c r="K37" s="1516"/>
      <c r="L37" s="1516"/>
      <c r="M37" s="1516"/>
      <c r="N37" s="1515"/>
      <c r="O37" s="1515"/>
    </row>
    <row r="38" spans="1:15" x14ac:dyDescent="0.2">
      <c r="A38" s="1516"/>
      <c r="B38" s="549"/>
      <c r="C38" s="1516"/>
      <c r="D38" s="1516"/>
      <c r="E38" s="1516"/>
      <c r="F38" s="1516"/>
      <c r="G38" s="1516"/>
      <c r="H38" s="1516"/>
      <c r="I38" s="1516"/>
      <c r="J38" s="1516"/>
      <c r="K38" s="1516"/>
      <c r="L38" s="1516"/>
      <c r="M38" s="1516"/>
      <c r="N38" s="1515"/>
      <c r="O38" s="1515"/>
    </row>
    <row r="39" spans="1:15" x14ac:dyDescent="0.2">
      <c r="A39" s="1516"/>
      <c r="B39" s="549"/>
      <c r="C39" s="1516"/>
      <c r="D39" s="1516"/>
      <c r="E39" s="1516"/>
      <c r="F39" s="1516"/>
      <c r="G39" s="1516"/>
      <c r="H39" s="1516"/>
      <c r="I39" s="1516"/>
      <c r="J39" s="1516"/>
      <c r="K39" s="1516"/>
      <c r="L39" s="1516"/>
      <c r="M39" s="1516"/>
      <c r="N39" s="1515"/>
      <c r="O39" s="1515"/>
    </row>
    <row r="40" spans="1:15" x14ac:dyDescent="0.2">
      <c r="A40" s="1516"/>
      <c r="B40" s="1516"/>
      <c r="C40" s="1516"/>
      <c r="D40" s="1516"/>
      <c r="E40" s="1516"/>
      <c r="F40" s="1516"/>
      <c r="G40" s="1516"/>
      <c r="H40" s="1516"/>
      <c r="I40" s="1516"/>
      <c r="J40" s="1516"/>
      <c r="K40" s="1516"/>
      <c r="L40" s="1516"/>
      <c r="M40" s="1516"/>
      <c r="N40" s="1515"/>
      <c r="O40" s="1515"/>
    </row>
  </sheetData>
  <sheetProtection password="CD9E" sheet="1" objects="1" scenarios="1" selectLockedCells="1"/>
  <mergeCells count="8">
    <mergeCell ref="A4:M4"/>
    <mergeCell ref="A13:A14"/>
    <mergeCell ref="B13:C14"/>
    <mergeCell ref="D13:E14"/>
    <mergeCell ref="F13:G14"/>
    <mergeCell ref="H13:I14"/>
    <mergeCell ref="J13:K14"/>
    <mergeCell ref="L13:M14"/>
  </mergeCells>
  <dataValidations count="1">
    <dataValidation type="list" allowBlank="1" showInputMessage="1" showErrorMessage="1" sqref="B36:B39">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O60"/>
  <sheetViews>
    <sheetView showGridLines="0" topLeftCell="A7" zoomScaleNormal="100" workbookViewId="0">
      <selection activeCell="L30" sqref="L30"/>
    </sheetView>
  </sheetViews>
  <sheetFormatPr baseColWidth="10" defaultColWidth="9.140625" defaultRowHeight="12.75" x14ac:dyDescent="0.2"/>
  <cols>
    <col min="1" max="1" width="35.140625" customWidth="1"/>
    <col min="2" max="2" width="16.7109375" customWidth="1"/>
    <col min="3" max="3" width="6.7109375" customWidth="1"/>
    <col min="4" max="4" width="16.7109375" customWidth="1"/>
    <col min="5" max="5" width="6.7109375" customWidth="1"/>
    <col min="6" max="6" width="16.7109375" customWidth="1"/>
    <col min="7" max="7" width="6.7109375" customWidth="1"/>
    <col min="8" max="8" width="16.7109375" customWidth="1"/>
    <col min="9" max="9" width="6.7109375" customWidth="1"/>
    <col min="10" max="10" width="16.7109375" customWidth="1"/>
    <col min="11" max="11" width="6.7109375" customWidth="1"/>
    <col min="12" max="12" width="16.7109375" customWidth="1"/>
    <col min="13" max="13" width="6.7109375" customWidth="1"/>
  </cols>
  <sheetData>
    <row r="1" spans="1:15" ht="12" customHeight="1" x14ac:dyDescent="0.2">
      <c r="A1" s="26" t="s">
        <v>6</v>
      </c>
      <c r="B1" s="66"/>
      <c r="C1" s="66"/>
      <c r="D1" s="66"/>
      <c r="E1" s="66"/>
      <c r="F1" s="66"/>
      <c r="G1" s="66"/>
      <c r="H1" s="66"/>
      <c r="I1" s="66"/>
      <c r="J1" s="66"/>
      <c r="K1" s="66"/>
      <c r="L1" s="66"/>
      <c r="M1" s="66"/>
      <c r="N1" s="1515"/>
      <c r="O1" s="1515"/>
    </row>
    <row r="2" spans="1:15" ht="12" customHeight="1" x14ac:dyDescent="0.2">
      <c r="A2" s="28" t="s">
        <v>10</v>
      </c>
      <c r="B2" s="66"/>
      <c r="C2" s="66"/>
      <c r="D2" s="66"/>
      <c r="E2" s="66"/>
      <c r="F2" s="66"/>
      <c r="G2" s="66"/>
      <c r="H2" s="66"/>
      <c r="I2" s="66"/>
      <c r="J2" s="66"/>
      <c r="K2" s="66"/>
      <c r="L2" s="66"/>
      <c r="M2" s="66"/>
      <c r="N2" s="1515"/>
      <c r="O2" s="1515"/>
    </row>
    <row r="3" spans="1:15" ht="12" customHeight="1" x14ac:dyDescent="0.2">
      <c r="A3" s="28" t="s">
        <v>7</v>
      </c>
      <c r="B3" s="66"/>
      <c r="C3" s="66"/>
      <c r="D3" s="66"/>
      <c r="E3" s="66"/>
      <c r="F3" s="66"/>
      <c r="G3" s="66"/>
      <c r="H3" s="66"/>
      <c r="I3" s="66"/>
      <c r="J3" s="66"/>
      <c r="K3" s="66"/>
      <c r="L3" s="66"/>
      <c r="M3" s="66"/>
      <c r="N3" s="1515"/>
      <c r="O3" s="1515"/>
    </row>
    <row r="4" spans="1:15" x14ac:dyDescent="0.2">
      <c r="A4" s="1850" t="s">
        <v>340</v>
      </c>
      <c r="B4" s="1850"/>
      <c r="C4" s="1850"/>
      <c r="D4" s="1850"/>
      <c r="E4" s="1850"/>
      <c r="F4" s="1850"/>
      <c r="G4" s="1850"/>
      <c r="H4" s="1850"/>
      <c r="I4" s="1850"/>
      <c r="J4" s="1850"/>
      <c r="K4" s="1850"/>
      <c r="L4" s="1850"/>
      <c r="M4" s="1850"/>
      <c r="N4" s="1515"/>
      <c r="O4" s="1515"/>
    </row>
    <row r="5" spans="1:15" x14ac:dyDescent="0.2">
      <c r="N5" s="1515"/>
      <c r="O5" s="1515"/>
    </row>
    <row r="6" spans="1:15" x14ac:dyDescent="0.2">
      <c r="A6" s="1515"/>
      <c r="B6" s="1515"/>
      <c r="C6" s="1515"/>
      <c r="D6" s="1515"/>
      <c r="E6" s="1515"/>
      <c r="F6" s="1515"/>
      <c r="G6" s="1515"/>
      <c r="H6" s="1515"/>
      <c r="I6" s="1515"/>
      <c r="J6" s="1515"/>
      <c r="K6" s="1515"/>
      <c r="L6" s="1515"/>
      <c r="M6" s="1515"/>
      <c r="N6" s="1515"/>
      <c r="O6" s="1515"/>
    </row>
    <row r="7" spans="1:15" ht="15.75" x14ac:dyDescent="0.25">
      <c r="A7" s="1519" t="s">
        <v>1007</v>
      </c>
      <c r="B7" s="1515"/>
      <c r="C7" s="1515"/>
      <c r="D7" s="1515"/>
      <c r="E7" s="1515"/>
      <c r="F7" s="1515"/>
      <c r="G7" s="1515"/>
      <c r="H7" s="1515"/>
      <c r="I7" s="1515"/>
      <c r="J7" s="1515"/>
      <c r="K7" s="1515"/>
      <c r="L7" s="1515"/>
      <c r="M7" s="1515"/>
      <c r="N7" s="1515"/>
      <c r="O7" s="1515"/>
    </row>
    <row r="8" spans="1:15" x14ac:dyDescent="0.2">
      <c r="A8" s="1530" t="s">
        <v>1028</v>
      </c>
      <c r="B8" s="1515"/>
      <c r="C8" s="1515"/>
      <c r="D8" s="1515"/>
      <c r="E8" s="1515"/>
      <c r="F8" s="1515"/>
      <c r="G8" s="1515"/>
      <c r="H8" s="1515"/>
      <c r="I8" s="1515"/>
      <c r="J8" s="1515"/>
      <c r="K8" s="1515"/>
      <c r="L8" s="1515"/>
      <c r="M8" s="1515"/>
      <c r="N8" s="1515"/>
      <c r="O8" s="1515"/>
    </row>
    <row r="9" spans="1:15" x14ac:dyDescent="0.2">
      <c r="A9" s="1515"/>
      <c r="B9" s="1515"/>
      <c r="C9" s="1515"/>
      <c r="D9" s="1515"/>
      <c r="E9" s="1515"/>
      <c r="F9" s="1515"/>
      <c r="G9" s="1515"/>
      <c r="H9" s="1515"/>
      <c r="I9" s="1515"/>
      <c r="J9" s="1515"/>
      <c r="K9" s="1515"/>
      <c r="L9" s="1515"/>
      <c r="M9" s="1515"/>
      <c r="N9" s="1515"/>
      <c r="O9" s="1515"/>
    </row>
    <row r="10" spans="1:15" x14ac:dyDescent="0.2">
      <c r="A10" s="1515"/>
      <c r="B10" s="1518" t="s">
        <v>34</v>
      </c>
      <c r="C10" s="1611">
        <v>2014</v>
      </c>
      <c r="D10" s="1515"/>
      <c r="E10" s="1515"/>
      <c r="F10" s="1515"/>
      <c r="G10" s="1515"/>
      <c r="H10" s="1515"/>
      <c r="I10" s="1515"/>
      <c r="J10" s="1515"/>
      <c r="K10" s="1515"/>
      <c r="L10" s="1515"/>
      <c r="M10" s="1515"/>
      <c r="N10" s="1515"/>
      <c r="O10" s="1515"/>
    </row>
    <row r="11" spans="1:15" x14ac:dyDescent="0.2">
      <c r="A11" s="1515"/>
      <c r="B11" s="1515"/>
      <c r="C11" s="1515"/>
      <c r="D11" s="1515"/>
      <c r="E11" s="1515"/>
      <c r="F11" s="1515"/>
      <c r="G11" s="1515"/>
      <c r="H11" s="1515"/>
      <c r="I11" s="1515"/>
      <c r="J11" s="1515"/>
      <c r="K11" s="1515"/>
      <c r="L11" s="1515"/>
      <c r="M11" s="1515"/>
      <c r="N11" s="1515"/>
      <c r="O11" s="1515"/>
    </row>
    <row r="12" spans="1:15" ht="17.25" customHeight="1" x14ac:dyDescent="0.2">
      <c r="A12" s="1515"/>
      <c r="B12" s="1515"/>
      <c r="C12" s="1515"/>
      <c r="D12" s="1515"/>
      <c r="E12" s="1515"/>
      <c r="F12" s="1515"/>
      <c r="G12" s="1515"/>
      <c r="H12" s="1515"/>
      <c r="I12" s="1515"/>
      <c r="J12" s="1515"/>
      <c r="K12" s="1515"/>
      <c r="L12" s="1515"/>
      <c r="M12" s="1515"/>
      <c r="N12" s="1515"/>
      <c r="O12" s="1515"/>
    </row>
    <row r="13" spans="1:15" ht="12.75" customHeight="1" x14ac:dyDescent="0.2">
      <c r="A13" s="1851" t="s">
        <v>269</v>
      </c>
      <c r="B13" s="1853" t="s">
        <v>996</v>
      </c>
      <c r="C13" s="1854"/>
      <c r="D13" s="1853" t="s">
        <v>997</v>
      </c>
      <c r="E13" s="1854"/>
      <c r="F13" s="1853" t="s">
        <v>998</v>
      </c>
      <c r="G13" s="1854"/>
      <c r="H13" s="1853" t="s">
        <v>999</v>
      </c>
      <c r="I13" s="1854"/>
      <c r="J13" s="1853" t="s">
        <v>1000</v>
      </c>
      <c r="K13" s="1854"/>
      <c r="L13" s="1853" t="s">
        <v>1001</v>
      </c>
      <c r="M13" s="1854"/>
      <c r="N13" s="1515"/>
      <c r="O13" s="1515"/>
    </row>
    <row r="14" spans="1:15" ht="42.75" customHeight="1" x14ac:dyDescent="0.2">
      <c r="A14" s="1852"/>
      <c r="B14" s="1855"/>
      <c r="C14" s="1856"/>
      <c r="D14" s="1855"/>
      <c r="E14" s="1856"/>
      <c r="F14" s="1855"/>
      <c r="G14" s="1856"/>
      <c r="H14" s="1855"/>
      <c r="I14" s="1856"/>
      <c r="J14" s="1855"/>
      <c r="K14" s="1856"/>
      <c r="L14" s="1855"/>
      <c r="M14" s="1856"/>
      <c r="N14" s="1515"/>
      <c r="O14" s="1515"/>
    </row>
    <row r="15" spans="1:15" ht="25.5" customHeight="1" x14ac:dyDescent="0.2">
      <c r="A15" s="1522" t="s">
        <v>1004</v>
      </c>
      <c r="B15" s="1612">
        <f>SUM(B16:B20)</f>
        <v>56212.748999999996</v>
      </c>
      <c r="C15" s="1601"/>
      <c r="D15" s="1601">
        <f>SUM(D16:D20)</f>
        <v>19823.442800000001</v>
      </c>
      <c r="E15" s="1601"/>
      <c r="F15" s="1601">
        <f>SUM(F16:F20)</f>
        <v>10136.259400000001</v>
      </c>
      <c r="G15" s="1601"/>
      <c r="H15" s="1601">
        <f>SUM(H16:H20)</f>
        <v>8888.8292000000001</v>
      </c>
      <c r="I15" s="1601"/>
      <c r="J15" s="1601">
        <f>SUM(J16:J20)</f>
        <v>8682.1127000000015</v>
      </c>
      <c r="K15" s="1601"/>
      <c r="L15" s="1601">
        <f>SUM(L16:L20)</f>
        <v>9202.4682000000012</v>
      </c>
      <c r="M15" s="1602"/>
      <c r="N15" s="1515"/>
      <c r="O15" s="1515"/>
    </row>
    <row r="16" spans="1:15" x14ac:dyDescent="0.2">
      <c r="A16" s="1523" t="s">
        <v>1003</v>
      </c>
      <c r="B16" s="1606">
        <v>10913.23</v>
      </c>
      <c r="C16" s="1607"/>
      <c r="D16" s="1607">
        <v>3257.5740000000001</v>
      </c>
      <c r="E16" s="1607"/>
      <c r="F16" s="1607">
        <v>1924.606</v>
      </c>
      <c r="G16" s="1607"/>
      <c r="H16" s="1607">
        <v>1782.0429999999999</v>
      </c>
      <c r="I16" s="1607"/>
      <c r="J16" s="1607">
        <v>1767.7860000000001</v>
      </c>
      <c r="K16" s="1607"/>
      <c r="L16" s="1607">
        <v>1924.606</v>
      </c>
      <c r="M16" s="1608"/>
      <c r="N16" s="1515"/>
      <c r="O16" s="1515"/>
    </row>
    <row r="17" spans="1:15" x14ac:dyDescent="0.2">
      <c r="A17" s="1524" t="s">
        <v>27</v>
      </c>
      <c r="B17" s="1606">
        <v>21028.1</v>
      </c>
      <c r="C17" s="1607"/>
      <c r="D17" s="1607">
        <v>7420.4260000000004</v>
      </c>
      <c r="E17" s="1607"/>
      <c r="F17" s="1607">
        <v>3663.88</v>
      </c>
      <c r="G17" s="1607"/>
      <c r="H17" s="1607">
        <v>3378.7530000000002</v>
      </c>
      <c r="I17" s="1607"/>
      <c r="J17" s="1637">
        <v>3335.9839999999999</v>
      </c>
      <c r="K17" s="1607"/>
      <c r="L17" s="1607">
        <v>3507.06</v>
      </c>
      <c r="M17" s="1608"/>
      <c r="N17" s="1515"/>
      <c r="O17" s="1515"/>
    </row>
    <row r="18" spans="1:15" x14ac:dyDescent="0.2">
      <c r="A18" s="1524" t="s">
        <v>28</v>
      </c>
      <c r="B18" s="1606">
        <v>11070.05</v>
      </c>
      <c r="C18" s="1607"/>
      <c r="D18" s="1607">
        <v>4733.1049999999996</v>
      </c>
      <c r="E18" s="1607"/>
      <c r="F18" s="1607">
        <v>2409.3220000000001</v>
      </c>
      <c r="G18" s="1607"/>
      <c r="H18" s="1607">
        <v>1945.991</v>
      </c>
      <c r="I18" s="1607"/>
      <c r="J18" s="1607">
        <v>1817.684</v>
      </c>
      <c r="K18" s="1607"/>
      <c r="L18" s="1607">
        <v>1917.4780000000001</v>
      </c>
      <c r="M18" s="1608"/>
      <c r="N18" s="1515"/>
      <c r="O18" s="1515"/>
    </row>
    <row r="19" spans="1:15" x14ac:dyDescent="0.2">
      <c r="A19" s="1524" t="s">
        <v>29</v>
      </c>
      <c r="B19" s="1606">
        <v>10742.15</v>
      </c>
      <c r="C19" s="1607"/>
      <c r="D19" s="1607">
        <v>3542.701</v>
      </c>
      <c r="E19" s="1607"/>
      <c r="F19" s="1607">
        <v>1660.864</v>
      </c>
      <c r="G19" s="1607"/>
      <c r="H19" s="1607">
        <v>1397.1210000000001</v>
      </c>
      <c r="I19" s="1607"/>
      <c r="J19" s="1607">
        <v>1439.8910000000001</v>
      </c>
      <c r="K19" s="1607"/>
      <c r="L19" s="1607">
        <v>1511.172</v>
      </c>
      <c r="M19" s="1608"/>
      <c r="N19" s="1515"/>
      <c r="O19" s="1515"/>
    </row>
    <row r="20" spans="1:15" x14ac:dyDescent="0.2">
      <c r="A20" s="1524" t="s">
        <v>30</v>
      </c>
      <c r="B20" s="1606">
        <v>2459.2190000000001</v>
      </c>
      <c r="C20" s="1607"/>
      <c r="D20" s="1607">
        <v>869.63679999999999</v>
      </c>
      <c r="E20" s="1607"/>
      <c r="F20" s="1607">
        <v>477.5874</v>
      </c>
      <c r="G20" s="1607"/>
      <c r="H20" s="1607">
        <v>384.9212</v>
      </c>
      <c r="I20" s="1607"/>
      <c r="J20" s="1607">
        <v>320.76769999999999</v>
      </c>
      <c r="K20" s="1607"/>
      <c r="L20" s="1607">
        <v>342.15219999999999</v>
      </c>
      <c r="M20" s="1608"/>
      <c r="N20" s="1515"/>
      <c r="O20" s="1515"/>
    </row>
    <row r="21" spans="1:15" x14ac:dyDescent="0.2">
      <c r="A21" s="1525" t="s">
        <v>275</v>
      </c>
      <c r="B21" s="1609"/>
      <c r="C21" s="1610"/>
      <c r="D21" s="1610"/>
      <c r="E21" s="1610"/>
      <c r="F21" s="1610"/>
      <c r="G21" s="1610"/>
      <c r="H21" s="1610"/>
      <c r="I21" s="1610"/>
      <c r="J21" s="1610"/>
      <c r="K21" s="1610"/>
      <c r="L21" s="1610"/>
      <c r="M21" s="1599"/>
      <c r="N21" s="1515"/>
      <c r="O21" s="1515"/>
    </row>
    <row r="22" spans="1:15" ht="25.5" customHeight="1" x14ac:dyDescent="0.2">
      <c r="A22" s="1526" t="s">
        <v>297</v>
      </c>
      <c r="B22" s="1600">
        <f>SUM(B23:B27)</f>
        <v>40309.81</v>
      </c>
      <c r="C22" s="1601"/>
      <c r="D22" s="1601">
        <f>SUM(D23:D27)</f>
        <v>13244.142100000001</v>
      </c>
      <c r="E22" s="1601"/>
      <c r="F22" s="1601">
        <f>SUM(F23:F27)</f>
        <v>6671.9674000000005</v>
      </c>
      <c r="G22" s="1601"/>
      <c r="H22" s="1601">
        <f>SUM(H23:H27)</f>
        <v>5966.2792000000009</v>
      </c>
      <c r="I22" s="1601"/>
      <c r="J22" s="1601">
        <f>SUM(J23:J27)</f>
        <v>5731.0487000000003</v>
      </c>
      <c r="K22" s="1601"/>
      <c r="L22" s="1601">
        <f>SUM(L23:L27)</f>
        <v>6230.0199999999995</v>
      </c>
      <c r="M22" s="1602"/>
      <c r="N22" s="1515"/>
      <c r="O22" s="1515"/>
    </row>
    <row r="23" spans="1:15" x14ac:dyDescent="0.2">
      <c r="A23" s="1523" t="s">
        <v>1003</v>
      </c>
      <c r="B23" s="1606">
        <v>7071.1459999999997</v>
      </c>
      <c r="C23" s="1607"/>
      <c r="D23" s="1607">
        <v>1824.8119999999999</v>
      </c>
      <c r="E23" s="1607"/>
      <c r="F23" s="1607">
        <v>1062.097</v>
      </c>
      <c r="G23" s="1607"/>
      <c r="H23" s="1607">
        <v>1019.328</v>
      </c>
      <c r="I23" s="1607"/>
      <c r="J23" s="1607">
        <v>1005.072</v>
      </c>
      <c r="K23" s="1607"/>
      <c r="L23" s="1607">
        <v>1140.5070000000001</v>
      </c>
      <c r="M23" s="1608"/>
      <c r="N23" s="1515"/>
      <c r="O23" s="1515"/>
    </row>
    <row r="24" spans="1:15" x14ac:dyDescent="0.2">
      <c r="A24" s="1524" t="s">
        <v>27</v>
      </c>
      <c r="B24" s="1606">
        <v>14933.52</v>
      </c>
      <c r="C24" s="1607"/>
      <c r="D24" s="1607">
        <v>5075.2579999999998</v>
      </c>
      <c r="E24" s="1607"/>
      <c r="F24" s="1607">
        <v>2473.4749999999999</v>
      </c>
      <c r="G24" s="1607"/>
      <c r="H24" s="1607">
        <v>2273.8870000000002</v>
      </c>
      <c r="I24" s="1607"/>
      <c r="J24" s="1607">
        <v>2259.63</v>
      </c>
      <c r="K24" s="1607"/>
      <c r="L24" s="1607">
        <v>2437.8339999999998</v>
      </c>
      <c r="M24" s="1608"/>
      <c r="N24" s="1515"/>
      <c r="O24" s="1515"/>
    </row>
    <row r="25" spans="1:15" x14ac:dyDescent="0.2">
      <c r="A25" s="1524" t="s">
        <v>28</v>
      </c>
      <c r="B25" s="1606">
        <v>7577.2460000000001</v>
      </c>
      <c r="C25" s="1607"/>
      <c r="D25" s="1607">
        <v>2915.422</v>
      </c>
      <c r="E25" s="1607"/>
      <c r="F25" s="1607">
        <v>1454.1469999999999</v>
      </c>
      <c r="G25" s="1607"/>
      <c r="H25" s="1607">
        <v>1261.6859999999999</v>
      </c>
      <c r="I25" s="1607"/>
      <c r="J25" s="1607">
        <v>1126.251</v>
      </c>
      <c r="K25" s="1607"/>
      <c r="L25" s="1607">
        <v>1176.1479999999999</v>
      </c>
      <c r="M25" s="1608"/>
      <c r="N25" s="1515"/>
      <c r="O25" s="1515"/>
    </row>
    <row r="26" spans="1:15" x14ac:dyDescent="0.2">
      <c r="A26" s="1524" t="s">
        <v>29</v>
      </c>
      <c r="B26" s="1606">
        <v>8446.8829999999998</v>
      </c>
      <c r="C26" s="1607"/>
      <c r="D26" s="1607">
        <v>2715.8330000000001</v>
      </c>
      <c r="E26" s="1607"/>
      <c r="F26" s="1607">
        <v>1247.43</v>
      </c>
      <c r="G26" s="1607"/>
      <c r="H26" s="1607">
        <v>1069.2260000000001</v>
      </c>
      <c r="I26" s="1607"/>
      <c r="J26" s="1607">
        <v>1062.097</v>
      </c>
      <c r="K26" s="1607"/>
      <c r="L26" s="1607">
        <v>1183.2760000000001</v>
      </c>
      <c r="M26" s="1608"/>
      <c r="N26" s="1515"/>
      <c r="O26" s="1515"/>
    </row>
    <row r="27" spans="1:15" x14ac:dyDescent="0.2">
      <c r="A27" s="1524" t="s">
        <v>30</v>
      </c>
      <c r="B27" s="1606">
        <v>2281.0149999999999</v>
      </c>
      <c r="C27" s="1607"/>
      <c r="D27" s="1607">
        <v>712.81709999999998</v>
      </c>
      <c r="E27" s="1607"/>
      <c r="F27" s="1607">
        <v>434.8184</v>
      </c>
      <c r="G27" s="1607"/>
      <c r="H27" s="1607">
        <v>342.15219999999999</v>
      </c>
      <c r="I27" s="1607"/>
      <c r="J27" s="1637">
        <v>277.99869999999999</v>
      </c>
      <c r="K27" s="1607"/>
      <c r="L27" s="1607">
        <v>292.255</v>
      </c>
      <c r="M27" s="1608"/>
      <c r="N27" s="1515"/>
      <c r="O27" s="1515"/>
    </row>
    <row r="28" spans="1:15" x14ac:dyDescent="0.2">
      <c r="A28" s="1525" t="s">
        <v>275</v>
      </c>
      <c r="B28" s="1609"/>
      <c r="C28" s="1610"/>
      <c r="D28" s="1610"/>
      <c r="E28" s="1610"/>
      <c r="F28" s="1610"/>
      <c r="G28" s="1610"/>
      <c r="H28" s="1610"/>
      <c r="I28" s="1610"/>
      <c r="J28" s="1610"/>
      <c r="K28" s="1610"/>
      <c r="L28" s="1610"/>
      <c r="M28" s="1599"/>
      <c r="N28" s="1515"/>
      <c r="O28" s="1515"/>
    </row>
    <row r="29" spans="1:15" ht="25.5" x14ac:dyDescent="0.2">
      <c r="A29" s="1526" t="s">
        <v>298</v>
      </c>
      <c r="B29" s="1600">
        <f>SUM(B30:B34)</f>
        <v>15902.9493</v>
      </c>
      <c r="C29" s="1601"/>
      <c r="D29" s="1601">
        <f>SUM(D30:D34)</f>
        <v>6438.3016000000007</v>
      </c>
      <c r="E29" s="1601"/>
      <c r="F29" s="1601">
        <f>SUM(F30:F34)</f>
        <v>3464.29153</v>
      </c>
      <c r="G29" s="1601"/>
      <c r="H29" s="1639">
        <f>SUM(H30:H34)</f>
        <v>2922.54963</v>
      </c>
      <c r="I29" s="1601"/>
      <c r="J29" s="1601">
        <f>SUM(J30:J34)</f>
        <v>2951.0630299999998</v>
      </c>
      <c r="K29" s="1601"/>
      <c r="L29" s="1601">
        <f>SUM(L30:L34)</f>
        <v>2972.4476999999997</v>
      </c>
      <c r="M29" s="1602"/>
      <c r="N29" s="1515"/>
      <c r="O29" s="1515"/>
    </row>
    <row r="30" spans="1:15" x14ac:dyDescent="0.2">
      <c r="A30" s="1523" t="s">
        <v>1003</v>
      </c>
      <c r="B30" s="1606">
        <v>3842.0839999999998</v>
      </c>
      <c r="C30" s="1607"/>
      <c r="D30" s="1607">
        <v>1432.7619999999999</v>
      </c>
      <c r="E30" s="1607"/>
      <c r="F30" s="1607">
        <v>862.50869999999998</v>
      </c>
      <c r="G30" s="1607"/>
      <c r="H30" s="1637">
        <v>762.71429999999998</v>
      </c>
      <c r="I30" s="1607"/>
      <c r="J30" s="1607">
        <v>762.71429999999998</v>
      </c>
      <c r="K30" s="1607"/>
      <c r="L30" s="1607">
        <v>784.09879999999998</v>
      </c>
      <c r="M30" s="1608"/>
      <c r="N30" s="1515"/>
      <c r="O30" s="1515"/>
    </row>
    <row r="31" spans="1:15" x14ac:dyDescent="0.2">
      <c r="A31" s="1524" t="s">
        <v>27</v>
      </c>
      <c r="B31" s="1606">
        <v>6094.5860000000002</v>
      </c>
      <c r="C31" s="1607"/>
      <c r="D31" s="1607">
        <v>2345.1680000000001</v>
      </c>
      <c r="E31" s="1607"/>
      <c r="F31" s="1607">
        <v>1190.405</v>
      </c>
      <c r="G31" s="1607"/>
      <c r="H31" s="1607">
        <v>1104.866</v>
      </c>
      <c r="I31" s="1607"/>
      <c r="J31" s="1607">
        <v>1076.354</v>
      </c>
      <c r="K31" s="1607"/>
      <c r="L31" s="1607">
        <v>1069.2260000000001</v>
      </c>
      <c r="M31" s="1608"/>
      <c r="N31" s="1515"/>
      <c r="O31" s="1515"/>
    </row>
    <row r="32" spans="1:15" x14ac:dyDescent="0.2">
      <c r="A32" s="1524" t="s">
        <v>28</v>
      </c>
      <c r="B32" s="1606">
        <v>3492.8040000000001</v>
      </c>
      <c r="C32" s="1607"/>
      <c r="D32" s="1607">
        <v>1817.684</v>
      </c>
      <c r="E32" s="1607"/>
      <c r="F32" s="1607">
        <v>955.17489999999998</v>
      </c>
      <c r="G32" s="1607"/>
      <c r="H32" s="1607">
        <v>684.30439999999999</v>
      </c>
      <c r="I32" s="1607"/>
      <c r="J32" s="1607">
        <v>691.43259999999998</v>
      </c>
      <c r="K32" s="1607"/>
      <c r="L32" s="1607">
        <v>741.32979999999998</v>
      </c>
      <c r="M32" s="1608"/>
      <c r="N32" s="1515"/>
      <c r="O32" s="1515"/>
    </row>
    <row r="33" spans="1:15" x14ac:dyDescent="0.2">
      <c r="A33" s="1524" t="s">
        <v>29</v>
      </c>
      <c r="B33" s="1606">
        <v>2295.2710000000002</v>
      </c>
      <c r="C33" s="1607"/>
      <c r="D33" s="1607">
        <v>826.86779999999999</v>
      </c>
      <c r="E33" s="1607"/>
      <c r="F33" s="1607">
        <v>413.43389999999999</v>
      </c>
      <c r="G33" s="1607"/>
      <c r="H33" s="1607">
        <v>327.89589999999998</v>
      </c>
      <c r="I33" s="1607"/>
      <c r="J33" s="1607">
        <v>377.79309999999998</v>
      </c>
      <c r="K33" s="1607"/>
      <c r="L33" s="1607">
        <v>327.89589999999998</v>
      </c>
      <c r="M33" s="1608"/>
      <c r="N33" s="1515"/>
      <c r="O33" s="1515"/>
    </row>
    <row r="34" spans="1:15" x14ac:dyDescent="0.2">
      <c r="A34" s="1524" t="s">
        <v>30</v>
      </c>
      <c r="B34" s="1606">
        <v>178.20429999999999</v>
      </c>
      <c r="C34" s="1607"/>
      <c r="D34" s="1638">
        <v>15.819800000000001</v>
      </c>
      <c r="E34" s="1607"/>
      <c r="F34" s="1607">
        <v>42.769030000000001</v>
      </c>
      <c r="G34" s="1607"/>
      <c r="H34" s="1607">
        <v>42.769030000000001</v>
      </c>
      <c r="I34" s="1607"/>
      <c r="J34" s="1607">
        <v>42.769030000000001</v>
      </c>
      <c r="K34" s="1607"/>
      <c r="L34" s="1607">
        <v>49.897199999999998</v>
      </c>
      <c r="M34" s="1608"/>
      <c r="N34" s="1515"/>
      <c r="O34" s="1515"/>
    </row>
    <row r="35" spans="1:15" x14ac:dyDescent="0.2">
      <c r="A35" s="1525" t="s">
        <v>275</v>
      </c>
      <c r="B35" s="1609"/>
      <c r="C35" s="1610"/>
      <c r="D35" s="1610"/>
      <c r="E35" s="1610"/>
      <c r="F35" s="1610"/>
      <c r="G35" s="1610"/>
      <c r="H35" s="1610"/>
      <c r="I35" s="1610"/>
      <c r="J35" s="1610"/>
      <c r="K35" s="1610"/>
      <c r="L35" s="1610"/>
      <c r="M35" s="1599"/>
      <c r="N35" s="1515"/>
      <c r="O35" s="1515"/>
    </row>
    <row r="36" spans="1:15" ht="25.5" x14ac:dyDescent="0.2">
      <c r="A36" s="1527" t="s">
        <v>1005</v>
      </c>
      <c r="B36" s="1600"/>
      <c r="C36" s="1601"/>
      <c r="D36" s="1601"/>
      <c r="E36" s="1601"/>
      <c r="F36" s="1601"/>
      <c r="G36" s="1601"/>
      <c r="H36" s="1601"/>
      <c r="I36" s="1601"/>
      <c r="J36" s="1601"/>
      <c r="K36" s="1601"/>
      <c r="L36" s="1601"/>
      <c r="M36" s="1602"/>
      <c r="N36" s="1515"/>
      <c r="O36" s="1515"/>
    </row>
    <row r="37" spans="1:15" x14ac:dyDescent="0.2">
      <c r="A37" s="1528" t="s">
        <v>1003</v>
      </c>
      <c r="B37" s="1606"/>
      <c r="C37" s="1607"/>
      <c r="D37" s="1607"/>
      <c r="E37" s="1607"/>
      <c r="F37" s="1607"/>
      <c r="G37" s="1607"/>
      <c r="H37" s="1607"/>
      <c r="I37" s="1607"/>
      <c r="J37" s="1607"/>
      <c r="K37" s="1607"/>
      <c r="L37" s="1607"/>
      <c r="M37" s="1608"/>
      <c r="N37" s="1515"/>
      <c r="O37" s="1515"/>
    </row>
    <row r="38" spans="1:15" x14ac:dyDescent="0.2">
      <c r="A38" s="1529" t="s">
        <v>27</v>
      </c>
      <c r="B38" s="1606"/>
      <c r="C38" s="1607"/>
      <c r="D38" s="1607"/>
      <c r="E38" s="1607"/>
      <c r="F38" s="1607"/>
      <c r="G38" s="1607"/>
      <c r="H38" s="1607"/>
      <c r="I38" s="1607"/>
      <c r="J38" s="1607"/>
      <c r="K38" s="1607"/>
      <c r="L38" s="1607"/>
      <c r="M38" s="1608"/>
      <c r="N38" s="1515"/>
      <c r="O38" s="1515"/>
    </row>
    <row r="39" spans="1:15" x14ac:dyDescent="0.2">
      <c r="A39" s="1529" t="s">
        <v>28</v>
      </c>
      <c r="B39" s="1606"/>
      <c r="C39" s="1607"/>
      <c r="D39" s="1607"/>
      <c r="E39" s="1607"/>
      <c r="F39" s="1607"/>
      <c r="G39" s="1607"/>
      <c r="H39" s="1607"/>
      <c r="I39" s="1607"/>
      <c r="J39" s="1607"/>
      <c r="K39" s="1607"/>
      <c r="L39" s="1607"/>
      <c r="M39" s="1608"/>
      <c r="N39" s="1515"/>
      <c r="O39" s="1515"/>
    </row>
    <row r="40" spans="1:15" x14ac:dyDescent="0.2">
      <c r="A40" s="1529" t="s">
        <v>29</v>
      </c>
      <c r="B40" s="1606"/>
      <c r="C40" s="1607"/>
      <c r="D40" s="1607"/>
      <c r="E40" s="1607"/>
      <c r="F40" s="1607"/>
      <c r="G40" s="1607"/>
      <c r="H40" s="1607"/>
      <c r="I40" s="1607"/>
      <c r="J40" s="1607"/>
      <c r="K40" s="1607"/>
      <c r="L40" s="1607"/>
      <c r="M40" s="1608"/>
      <c r="N40" s="1515"/>
      <c r="O40" s="1515"/>
    </row>
    <row r="41" spans="1:15" x14ac:dyDescent="0.2">
      <c r="A41" s="1529" t="s">
        <v>30</v>
      </c>
      <c r="B41" s="1606"/>
      <c r="C41" s="1607"/>
      <c r="D41" s="1607"/>
      <c r="E41" s="1607"/>
      <c r="F41" s="1607"/>
      <c r="G41" s="1607"/>
      <c r="H41" s="1607"/>
      <c r="I41" s="1607"/>
      <c r="J41" s="1607"/>
      <c r="K41" s="1607"/>
      <c r="L41" s="1607"/>
      <c r="M41" s="1608"/>
      <c r="N41" s="1515"/>
      <c r="O41" s="1515"/>
    </row>
    <row r="42" spans="1:15" x14ac:dyDescent="0.2">
      <c r="A42" s="1525" t="s">
        <v>275</v>
      </c>
      <c r="B42" s="1609"/>
      <c r="C42" s="1610"/>
      <c r="D42" s="1610"/>
      <c r="E42" s="1610"/>
      <c r="F42" s="1610"/>
      <c r="G42" s="1610"/>
      <c r="H42" s="1610"/>
      <c r="I42" s="1610"/>
      <c r="J42" s="1610"/>
      <c r="K42" s="1610"/>
      <c r="L42" s="1610"/>
      <c r="M42" s="1599"/>
      <c r="N42" s="1515"/>
      <c r="O42" s="1515"/>
    </row>
    <row r="43" spans="1:15" x14ac:dyDescent="0.2">
      <c r="A43" s="1515"/>
      <c r="B43" s="1515"/>
      <c r="C43" s="1515"/>
      <c r="D43" s="1515"/>
      <c r="E43" s="1515"/>
      <c r="F43" s="1515"/>
      <c r="G43" s="1515"/>
      <c r="H43" s="1515"/>
      <c r="I43" s="1515"/>
      <c r="J43" s="1515"/>
      <c r="K43" s="1515"/>
      <c r="L43" s="1515"/>
      <c r="M43" s="1515"/>
      <c r="N43" s="1515"/>
      <c r="O43" s="1515"/>
    </row>
    <row r="44" spans="1:15" x14ac:dyDescent="0.2">
      <c r="A44" s="1515"/>
      <c r="B44" s="1515"/>
      <c r="C44" s="1515"/>
      <c r="D44" s="1515"/>
      <c r="E44" s="1515"/>
      <c r="F44" s="1515"/>
      <c r="G44" s="1515"/>
      <c r="H44" s="1515"/>
      <c r="I44" s="1515"/>
      <c r="J44" s="1515"/>
      <c r="K44" s="1515"/>
      <c r="L44" s="1515"/>
      <c r="M44" s="1515"/>
      <c r="N44" s="1515"/>
      <c r="O44" s="1515"/>
    </row>
    <row r="45" spans="1:15" x14ac:dyDescent="0.2">
      <c r="A45" s="1515" t="s">
        <v>32</v>
      </c>
      <c r="B45" s="56"/>
      <c r="C45" s="56"/>
      <c r="D45" s="57"/>
      <c r="E45" s="57"/>
      <c r="F45" s="57"/>
      <c r="G45" s="57"/>
      <c r="H45" s="57"/>
      <c r="I45" s="57"/>
      <c r="J45" s="57"/>
      <c r="K45" s="57"/>
      <c r="L45" s="57"/>
      <c r="M45" s="57"/>
      <c r="N45" s="1515"/>
      <c r="O45" s="1515"/>
    </row>
    <row r="46" spans="1:15" x14ac:dyDescent="0.2">
      <c r="A46" s="1515"/>
      <c r="B46" s="58"/>
      <c r="C46" s="58"/>
      <c r="D46" s="59"/>
      <c r="E46" s="59"/>
      <c r="F46" s="59"/>
      <c r="G46" s="59"/>
      <c r="H46" s="59"/>
      <c r="I46" s="59"/>
      <c r="J46" s="59"/>
      <c r="K46" s="59"/>
      <c r="L46" s="59"/>
      <c r="M46" s="59"/>
      <c r="N46" s="1515"/>
      <c r="O46" s="1515"/>
    </row>
    <row r="47" spans="1:15" x14ac:dyDescent="0.2">
      <c r="A47" s="1515"/>
      <c r="B47" s="58"/>
      <c r="C47" s="58"/>
      <c r="D47" s="59"/>
      <c r="E47" s="59"/>
      <c r="F47" s="59"/>
      <c r="G47" s="59"/>
      <c r="H47" s="59"/>
      <c r="I47" s="59"/>
      <c r="J47" s="59"/>
      <c r="K47" s="59"/>
      <c r="L47" s="59"/>
      <c r="M47" s="59"/>
      <c r="N47" s="1515"/>
      <c r="O47" s="1515"/>
    </row>
    <row r="48" spans="1:15" x14ac:dyDescent="0.2">
      <c r="A48" s="1515"/>
      <c r="B48" s="58"/>
      <c r="C48" s="58"/>
      <c r="D48" s="59"/>
      <c r="E48" s="59"/>
      <c r="F48" s="59"/>
      <c r="G48" s="59"/>
      <c r="H48" s="59"/>
      <c r="I48" s="59"/>
      <c r="J48" s="59"/>
      <c r="K48" s="59"/>
      <c r="L48" s="59"/>
      <c r="M48" s="59"/>
      <c r="N48" s="1515"/>
      <c r="O48" s="1515"/>
    </row>
    <row r="49" spans="1:15" x14ac:dyDescent="0.2">
      <c r="A49" s="1515"/>
      <c r="B49" s="1515"/>
      <c r="C49" s="1515"/>
      <c r="D49" s="1515"/>
      <c r="E49" s="1515"/>
      <c r="F49" s="1515"/>
      <c r="G49" s="1515"/>
      <c r="H49" s="1515"/>
      <c r="I49" s="1515"/>
      <c r="J49" s="1515"/>
      <c r="K49" s="1515"/>
      <c r="L49" s="1515"/>
      <c r="M49" s="1515"/>
      <c r="N49" s="1515"/>
      <c r="O49" s="1515"/>
    </row>
    <row r="50" spans="1:15" x14ac:dyDescent="0.2">
      <c r="A50" s="1515" t="s">
        <v>33</v>
      </c>
      <c r="B50" s="56"/>
      <c r="C50" s="56"/>
      <c r="D50" s="57"/>
      <c r="E50" s="57"/>
      <c r="F50" s="57"/>
      <c r="G50" s="57"/>
      <c r="H50" s="57"/>
      <c r="I50" s="57"/>
      <c r="J50" s="57"/>
      <c r="K50" s="57"/>
      <c r="L50" s="57"/>
      <c r="M50" s="57"/>
      <c r="N50" s="1515"/>
      <c r="O50" s="1515"/>
    </row>
    <row r="51" spans="1:15" x14ac:dyDescent="0.2">
      <c r="A51" s="1516"/>
      <c r="B51" s="58"/>
      <c r="C51" s="58"/>
      <c r="D51" s="59"/>
      <c r="E51" s="59"/>
      <c r="F51" s="59"/>
      <c r="G51" s="59"/>
      <c r="H51" s="59"/>
      <c r="I51" s="59"/>
      <c r="J51" s="59"/>
      <c r="K51" s="59"/>
      <c r="L51" s="59"/>
      <c r="M51" s="59"/>
      <c r="N51" s="1515"/>
      <c r="O51" s="1515"/>
    </row>
    <row r="52" spans="1:15" x14ac:dyDescent="0.2">
      <c r="A52" s="1516"/>
      <c r="B52" s="58"/>
      <c r="C52" s="58"/>
      <c r="D52" s="59"/>
      <c r="E52" s="59"/>
      <c r="F52" s="59"/>
      <c r="G52" s="59"/>
      <c r="H52" s="59"/>
      <c r="I52" s="59"/>
      <c r="J52" s="59"/>
      <c r="K52" s="59"/>
      <c r="L52" s="59"/>
      <c r="M52" s="59"/>
      <c r="N52" s="1515"/>
      <c r="O52" s="1515"/>
    </row>
    <row r="53" spans="1:15" x14ac:dyDescent="0.2">
      <c r="A53" s="1516"/>
      <c r="B53" s="58"/>
      <c r="C53" s="58"/>
      <c r="D53" s="59"/>
      <c r="E53" s="59"/>
      <c r="F53" s="59"/>
      <c r="G53" s="59"/>
      <c r="H53" s="59"/>
      <c r="I53" s="59"/>
      <c r="J53" s="59"/>
      <c r="K53" s="59"/>
      <c r="L53" s="59"/>
      <c r="M53" s="59"/>
      <c r="N53" s="1515"/>
      <c r="O53" s="1515"/>
    </row>
    <row r="54" spans="1:15" x14ac:dyDescent="0.2">
      <c r="A54" s="1516"/>
      <c r="B54" s="1516"/>
      <c r="C54" s="1516"/>
      <c r="D54" s="1516"/>
      <c r="E54" s="1516"/>
      <c r="F54" s="1516"/>
      <c r="G54" s="1516"/>
      <c r="H54" s="1516"/>
      <c r="I54" s="1516"/>
      <c r="J54" s="1516"/>
      <c r="K54" s="1516"/>
      <c r="L54" s="1516"/>
      <c r="M54" s="1516"/>
      <c r="N54" s="1515"/>
      <c r="O54" s="1515"/>
    </row>
    <row r="55" spans="1:15" x14ac:dyDescent="0.2">
      <c r="A55" s="1515" t="s">
        <v>670</v>
      </c>
      <c r="B55" s="1516"/>
      <c r="C55" s="1516"/>
      <c r="D55" s="1516"/>
      <c r="E55" s="1516"/>
      <c r="F55" s="1516"/>
      <c r="G55" s="1516"/>
      <c r="H55" s="1516"/>
      <c r="I55" s="1516"/>
      <c r="J55" s="1516"/>
      <c r="K55" s="1516"/>
      <c r="L55" s="1516"/>
      <c r="M55" s="1516"/>
      <c r="N55" s="1515"/>
      <c r="O55" s="1515"/>
    </row>
    <row r="56" spans="1:15" x14ac:dyDescent="0.2">
      <c r="A56" s="1516"/>
      <c r="B56" s="548"/>
      <c r="C56" s="1516"/>
      <c r="D56" s="1516"/>
      <c r="E56" s="1516"/>
      <c r="F56" s="1516"/>
      <c r="G56" s="1516"/>
      <c r="H56" s="1516"/>
      <c r="I56" s="1516"/>
      <c r="J56" s="1516"/>
      <c r="K56" s="1516"/>
      <c r="L56" s="1516"/>
      <c r="M56" s="1516"/>
      <c r="N56" s="1515"/>
      <c r="O56" s="1515"/>
    </row>
    <row r="57" spans="1:15" x14ac:dyDescent="0.2">
      <c r="A57" s="1517"/>
      <c r="B57" s="549"/>
      <c r="C57" s="1516"/>
      <c r="D57" s="1516"/>
      <c r="E57" s="1516"/>
      <c r="F57" s="1516"/>
      <c r="G57" s="1516"/>
      <c r="H57" s="1516"/>
      <c r="I57" s="1516"/>
      <c r="J57" s="1516"/>
      <c r="K57" s="1516"/>
      <c r="L57" s="1516"/>
      <c r="M57" s="1516"/>
      <c r="N57" s="1515"/>
      <c r="O57" s="1515"/>
    </row>
    <row r="58" spans="1:15" x14ac:dyDescent="0.2">
      <c r="A58" s="1516"/>
      <c r="B58" s="549"/>
      <c r="C58" s="1516"/>
      <c r="D58" s="1516"/>
      <c r="E58" s="1516"/>
      <c r="F58" s="1516"/>
      <c r="G58" s="1516"/>
      <c r="H58" s="1516"/>
      <c r="I58" s="1516"/>
      <c r="J58" s="1516"/>
      <c r="K58" s="1516"/>
      <c r="L58" s="1516"/>
      <c r="M58" s="1516"/>
      <c r="N58" s="1515"/>
      <c r="O58" s="1515"/>
    </row>
    <row r="59" spans="1:15" x14ac:dyDescent="0.2">
      <c r="A59" s="1516"/>
      <c r="B59" s="549"/>
      <c r="C59" s="1516"/>
      <c r="D59" s="1516"/>
      <c r="E59" s="1516"/>
      <c r="F59" s="1516"/>
      <c r="G59" s="1516"/>
      <c r="H59" s="1516"/>
      <c r="I59" s="1516"/>
      <c r="J59" s="1516"/>
      <c r="K59" s="1516"/>
      <c r="L59" s="1516"/>
      <c r="M59" s="1516"/>
      <c r="N59" s="1515"/>
      <c r="O59" s="1515"/>
    </row>
    <row r="60" spans="1:15" x14ac:dyDescent="0.2">
      <c r="A60" s="1516"/>
      <c r="B60" s="1516"/>
      <c r="C60" s="1516"/>
      <c r="D60" s="1516"/>
      <c r="E60" s="1516"/>
      <c r="F60" s="1516"/>
      <c r="G60" s="1516"/>
      <c r="H60" s="1516"/>
      <c r="I60" s="1516"/>
      <c r="J60" s="1516"/>
      <c r="K60" s="1516"/>
      <c r="L60" s="1516"/>
      <c r="M60" s="1516"/>
      <c r="N60" s="1515"/>
      <c r="O60" s="1515"/>
    </row>
  </sheetData>
  <sheetProtection password="CD9E" sheet="1" objects="1" scenarios="1" selectLockedCells="1"/>
  <mergeCells count="8">
    <mergeCell ref="A4:M4"/>
    <mergeCell ref="A13:A14"/>
    <mergeCell ref="B13:C14"/>
    <mergeCell ref="D13:E14"/>
    <mergeCell ref="F13:G14"/>
    <mergeCell ref="H13:I14"/>
    <mergeCell ref="J13:K14"/>
    <mergeCell ref="L13:M14"/>
  </mergeCells>
  <dataValidations count="1">
    <dataValidation type="list" allowBlank="1" showInputMessage="1" showErrorMessage="1" sqref="B56:B59">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43"/>
    <pageSetUpPr fitToPage="1"/>
  </sheetPr>
  <dimension ref="A1:K40"/>
  <sheetViews>
    <sheetView showGridLines="0" zoomScaleNormal="100" workbookViewId="0">
      <selection activeCell="G13" sqref="G13:G18"/>
    </sheetView>
  </sheetViews>
  <sheetFormatPr baseColWidth="10" defaultColWidth="9.140625" defaultRowHeight="12.75" x14ac:dyDescent="0.2"/>
  <cols>
    <col min="1" max="1" width="22.140625" style="31" customWidth="1"/>
    <col min="2" max="2" width="12.7109375" style="31" customWidth="1"/>
    <col min="3" max="3" width="6.7109375" style="31" customWidth="1"/>
    <col min="4" max="4" width="12.7109375" style="31" customWidth="1"/>
    <col min="5" max="5" width="6.7109375" style="31" customWidth="1"/>
    <col min="6" max="7" width="12.7109375" style="31" customWidth="1"/>
    <col min="8" max="8" width="6.7109375" style="31" customWidth="1"/>
    <col min="9" max="16384" width="9.140625" style="31"/>
  </cols>
  <sheetData>
    <row r="1" spans="1:11" s="27" customFormat="1" ht="12" customHeight="1" x14ac:dyDescent="0.2">
      <c r="A1" s="26" t="s">
        <v>6</v>
      </c>
    </row>
    <row r="2" spans="1:11" s="29" customFormat="1" ht="12" customHeight="1" x14ac:dyDescent="0.2">
      <c r="A2" s="28" t="s">
        <v>10</v>
      </c>
    </row>
    <row r="3" spans="1:11" s="29" customFormat="1" ht="12" customHeight="1" x14ac:dyDescent="0.2">
      <c r="A3" s="28" t="s">
        <v>7</v>
      </c>
    </row>
    <row r="4" spans="1:11" x14ac:dyDescent="0.2">
      <c r="A4" s="30" t="s">
        <v>19</v>
      </c>
      <c r="B4" s="30"/>
      <c r="C4" s="30"/>
      <c r="D4" s="30"/>
      <c r="E4" s="30"/>
      <c r="F4" s="30"/>
      <c r="G4" s="30"/>
      <c r="H4" s="30"/>
      <c r="I4" s="30"/>
      <c r="J4" s="30"/>
      <c r="K4" s="30"/>
    </row>
    <row r="5" spans="1:11" s="29" customFormat="1" ht="12.75" customHeight="1" x14ac:dyDescent="0.2">
      <c r="A5" s="25"/>
    </row>
    <row r="6" spans="1:11" x14ac:dyDescent="0.2">
      <c r="A6" s="32"/>
      <c r="B6" s="32"/>
      <c r="C6" s="32"/>
      <c r="D6" s="32"/>
      <c r="E6" s="32"/>
      <c r="F6" s="32"/>
      <c r="G6" s="32"/>
      <c r="H6" s="32"/>
      <c r="I6" s="32"/>
      <c r="J6" s="32"/>
      <c r="K6" s="32"/>
    </row>
    <row r="7" spans="1:11" ht="15.75" x14ac:dyDescent="0.25">
      <c r="A7" s="33" t="s">
        <v>20</v>
      </c>
      <c r="B7" s="32"/>
      <c r="C7" s="32"/>
      <c r="D7" s="32"/>
      <c r="E7" s="32"/>
      <c r="F7" s="32"/>
      <c r="G7" s="32"/>
      <c r="H7" s="32"/>
      <c r="I7" s="32"/>
      <c r="J7" s="32"/>
      <c r="K7" s="32"/>
    </row>
    <row r="8" spans="1:11" x14ac:dyDescent="0.2">
      <c r="A8" s="34" t="s">
        <v>21</v>
      </c>
      <c r="B8" s="32"/>
      <c r="C8" s="32"/>
      <c r="D8" s="32"/>
      <c r="E8" s="32"/>
      <c r="F8" s="32"/>
      <c r="G8" s="32"/>
      <c r="H8" s="32"/>
      <c r="I8" s="32"/>
      <c r="J8" s="32"/>
      <c r="K8" s="32"/>
    </row>
    <row r="9" spans="1:11" x14ac:dyDescent="0.2">
      <c r="A9" s="34"/>
      <c r="B9" s="32"/>
      <c r="C9" s="32"/>
      <c r="D9" s="32"/>
      <c r="E9" s="32"/>
      <c r="F9" s="32"/>
      <c r="G9" s="32"/>
      <c r="H9" s="32"/>
      <c r="I9" s="32"/>
      <c r="J9" s="32"/>
      <c r="K9" s="32"/>
    </row>
    <row r="10" spans="1:11" x14ac:dyDescent="0.2">
      <c r="A10" s="297" t="s">
        <v>34</v>
      </c>
      <c r="B10" s="392">
        <v>2014</v>
      </c>
      <c r="C10" s="32"/>
      <c r="D10" s="32"/>
      <c r="E10" s="32"/>
      <c r="F10" s="32"/>
      <c r="G10" s="32"/>
      <c r="H10" s="32"/>
      <c r="I10" s="32"/>
      <c r="J10" s="32"/>
      <c r="K10" s="32"/>
    </row>
    <row r="11" spans="1:11" x14ac:dyDescent="0.2">
      <c r="A11" s="35"/>
      <c r="B11" s="35"/>
      <c r="C11" s="35"/>
      <c r="D11" s="35"/>
      <c r="E11" s="35"/>
      <c r="F11" s="35"/>
      <c r="G11" s="35"/>
      <c r="H11" s="558"/>
      <c r="I11" s="30"/>
      <c r="J11" s="30"/>
      <c r="K11" s="30"/>
    </row>
    <row r="12" spans="1:11" s="39" customFormat="1" ht="18" customHeight="1" x14ac:dyDescent="0.2">
      <c r="A12" s="37"/>
      <c r="B12" s="1651" t="s">
        <v>22</v>
      </c>
      <c r="C12" s="1652"/>
      <c r="D12" s="1652" t="s">
        <v>23</v>
      </c>
      <c r="E12" s="1652"/>
      <c r="F12" s="38" t="s">
        <v>24</v>
      </c>
      <c r="G12" s="1653" t="s">
        <v>25</v>
      </c>
      <c r="H12" s="1654"/>
      <c r="I12" s="32"/>
      <c r="J12" s="32"/>
      <c r="K12" s="32"/>
    </row>
    <row r="13" spans="1:11" s="39" customFormat="1" ht="15" customHeight="1" x14ac:dyDescent="0.2">
      <c r="A13" s="40" t="s">
        <v>26</v>
      </c>
      <c r="B13" s="41">
        <v>1211.78905207</v>
      </c>
      <c r="C13" s="1018"/>
      <c r="D13" s="42">
        <v>983.68758344499997</v>
      </c>
      <c r="E13" s="42"/>
      <c r="F13" s="1018"/>
      <c r="G13" s="1020">
        <f>SUM(B13,D13)</f>
        <v>2195.476635515</v>
      </c>
      <c r="H13" s="1024"/>
      <c r="I13" s="32"/>
      <c r="J13" s="32"/>
      <c r="K13" s="32"/>
    </row>
    <row r="14" spans="1:11" s="39" customFormat="1" ht="15" customHeight="1" x14ac:dyDescent="0.2">
      <c r="A14" s="40" t="s">
        <v>27</v>
      </c>
      <c r="B14" s="43">
        <v>2715.8331108100001</v>
      </c>
      <c r="C14" s="1019"/>
      <c r="D14" s="44">
        <v>1397.12149533</v>
      </c>
      <c r="E14" s="44"/>
      <c r="F14" s="1019"/>
      <c r="G14" s="1021">
        <f t="shared" ref="G14:G17" si="0">SUM(B14,D14)</f>
        <v>4112.9546061399997</v>
      </c>
      <c r="H14" s="615"/>
      <c r="I14" s="32"/>
      <c r="J14" s="32"/>
      <c r="K14" s="32"/>
    </row>
    <row r="15" spans="1:11" s="39" customFormat="1" ht="15" customHeight="1" x14ac:dyDescent="0.2">
      <c r="A15" s="40" t="s">
        <v>28</v>
      </c>
      <c r="B15" s="43">
        <v>1325.8397863800001</v>
      </c>
      <c r="C15" s="1019"/>
      <c r="D15" s="44">
        <v>798.35514018699996</v>
      </c>
      <c r="E15" s="44"/>
      <c r="F15" s="1019"/>
      <c r="G15" s="1021">
        <f t="shared" si="0"/>
        <v>2124.194926567</v>
      </c>
      <c r="H15" s="615"/>
      <c r="I15" s="32"/>
      <c r="J15" s="32"/>
      <c r="K15" s="32"/>
    </row>
    <row r="16" spans="1:11" s="39" customFormat="1" ht="15" customHeight="1" x14ac:dyDescent="0.2">
      <c r="A16" s="40" t="s">
        <v>29</v>
      </c>
      <c r="B16" s="43">
        <v>1318.71161549</v>
      </c>
      <c r="C16" s="1019"/>
      <c r="D16" s="44">
        <v>441.94659546100002</v>
      </c>
      <c r="E16" s="44"/>
      <c r="F16" s="1019"/>
      <c r="G16" s="1021">
        <f t="shared" si="0"/>
        <v>1760.658210951</v>
      </c>
      <c r="H16" s="615"/>
      <c r="I16" s="32"/>
      <c r="J16" s="32"/>
      <c r="K16" s="32"/>
    </row>
    <row r="17" spans="1:11" s="39" customFormat="1" ht="15" customHeight="1" x14ac:dyDescent="0.2">
      <c r="A17" s="40" t="s">
        <v>577</v>
      </c>
      <c r="B17" s="43">
        <v>320.767690254</v>
      </c>
      <c r="C17" s="1019"/>
      <c r="D17" s="44">
        <v>78.409879839799999</v>
      </c>
      <c r="E17" s="44"/>
      <c r="F17" s="1019"/>
      <c r="G17" s="1021">
        <f t="shared" si="0"/>
        <v>399.1775700938</v>
      </c>
      <c r="H17" s="615"/>
      <c r="I17" s="30"/>
      <c r="J17" s="30"/>
      <c r="K17" s="30"/>
    </row>
    <row r="18" spans="1:11" s="39" customFormat="1" ht="15" customHeight="1" x14ac:dyDescent="0.2">
      <c r="A18" s="46" t="s">
        <v>24</v>
      </c>
      <c r="B18" s="47"/>
      <c r="C18" s="49"/>
      <c r="D18" s="48"/>
      <c r="E18" s="48"/>
      <c r="F18" s="49"/>
      <c r="G18" s="1022"/>
      <c r="H18" s="1025"/>
      <c r="I18" s="32"/>
      <c r="J18" s="32"/>
      <c r="K18" s="32"/>
    </row>
    <row r="19" spans="1:11" s="39" customFormat="1" ht="18" customHeight="1" x14ac:dyDescent="0.2">
      <c r="A19" s="50" t="s">
        <v>31</v>
      </c>
      <c r="B19" s="51">
        <f>SUM(B13:B17)</f>
        <v>6892.9412550040006</v>
      </c>
      <c r="C19" s="52"/>
      <c r="D19" s="52">
        <f>SUM(D13:D17)</f>
        <v>3699.5206942627997</v>
      </c>
      <c r="E19" s="52"/>
      <c r="F19" s="53"/>
      <c r="G19" s="1023">
        <f>SUM(B19,D19)</f>
        <v>10592.461949266801</v>
      </c>
      <c r="H19" s="1026"/>
      <c r="I19" s="32"/>
      <c r="J19" s="32"/>
      <c r="K19" s="32"/>
    </row>
    <row r="20" spans="1:11" x14ac:dyDescent="0.2">
      <c r="A20" s="54" t="s">
        <v>578</v>
      </c>
      <c r="B20" s="32"/>
      <c r="C20" s="32"/>
      <c r="D20" s="32"/>
      <c r="E20" s="32"/>
      <c r="F20" s="32"/>
      <c r="G20" s="32"/>
      <c r="H20" s="32"/>
      <c r="I20" s="32"/>
      <c r="J20" s="32"/>
      <c r="K20" s="32"/>
    </row>
    <row r="21" spans="1:11" x14ac:dyDescent="0.2">
      <c r="A21" s="54"/>
      <c r="B21" s="32"/>
      <c r="C21" s="32"/>
      <c r="D21" s="32"/>
      <c r="E21" s="32"/>
      <c r="F21" s="32"/>
      <c r="G21" s="32"/>
      <c r="H21" s="32"/>
      <c r="I21" s="32"/>
      <c r="J21" s="32"/>
      <c r="K21" s="32"/>
    </row>
    <row r="22" spans="1:11" x14ac:dyDescent="0.2">
      <c r="A22" s="54"/>
      <c r="B22" s="32"/>
      <c r="C22" s="32"/>
      <c r="D22" s="32"/>
      <c r="E22" s="32"/>
      <c r="F22" s="32"/>
      <c r="G22" s="32"/>
      <c r="H22" s="32"/>
      <c r="I22" s="32"/>
      <c r="J22" s="32"/>
      <c r="K22" s="32"/>
    </row>
    <row r="23" spans="1:11" x14ac:dyDescent="0.2">
      <c r="A23" s="32"/>
      <c r="B23" s="32"/>
      <c r="C23" s="32"/>
      <c r="D23" s="32"/>
      <c r="E23" s="32"/>
      <c r="F23" s="32"/>
      <c r="G23" s="32"/>
      <c r="H23" s="32"/>
      <c r="I23" s="32"/>
      <c r="J23" s="32"/>
      <c r="K23" s="32"/>
    </row>
    <row r="24" spans="1:11" x14ac:dyDescent="0.2">
      <c r="A24" s="55" t="s">
        <v>32</v>
      </c>
      <c r="B24" s="56"/>
      <c r="C24" s="56"/>
      <c r="D24" s="57"/>
      <c r="E24" s="57"/>
      <c r="F24" s="57"/>
      <c r="G24" s="57"/>
      <c r="H24" s="57"/>
      <c r="I24" s="32"/>
      <c r="J24" s="32"/>
      <c r="K24" s="32"/>
    </row>
    <row r="25" spans="1:11" x14ac:dyDescent="0.2">
      <c r="A25" s="32"/>
      <c r="B25" s="58"/>
      <c r="C25" s="58"/>
      <c r="D25" s="59"/>
      <c r="E25" s="59"/>
      <c r="F25" s="59"/>
      <c r="G25" s="59"/>
      <c r="H25" s="59"/>
      <c r="I25" s="32"/>
      <c r="J25" s="32"/>
      <c r="K25" s="32"/>
    </row>
    <row r="26" spans="1:11" x14ac:dyDescent="0.2">
      <c r="A26" s="32"/>
      <c r="B26" s="58"/>
      <c r="C26" s="58"/>
      <c r="D26" s="59"/>
      <c r="E26" s="59"/>
      <c r="F26" s="59"/>
      <c r="G26" s="59"/>
      <c r="H26" s="59"/>
      <c r="I26" s="32"/>
      <c r="J26" s="32"/>
      <c r="K26" s="32"/>
    </row>
    <row r="27" spans="1:11" x14ac:dyDescent="0.2">
      <c r="A27" s="32"/>
      <c r="B27" s="58"/>
      <c r="C27" s="58"/>
      <c r="D27" s="59"/>
      <c r="E27" s="59"/>
      <c r="F27" s="59"/>
      <c r="G27" s="59"/>
      <c r="H27" s="59"/>
      <c r="I27" s="32"/>
      <c r="J27" s="32"/>
      <c r="K27" s="32"/>
    </row>
    <row r="28" spans="1:11" x14ac:dyDescent="0.2">
      <c r="A28" s="32"/>
      <c r="B28" s="32"/>
      <c r="C28" s="32"/>
      <c r="D28" s="32"/>
      <c r="E28" s="32"/>
      <c r="F28" s="32"/>
      <c r="G28" s="32"/>
      <c r="H28" s="32"/>
      <c r="I28" s="32"/>
      <c r="J28" s="32"/>
      <c r="K28" s="32"/>
    </row>
    <row r="29" spans="1:11" x14ac:dyDescent="0.2">
      <c r="A29" s="55" t="s">
        <v>33</v>
      </c>
      <c r="B29" s="56"/>
      <c r="C29" s="56"/>
      <c r="D29" s="57"/>
      <c r="E29" s="57"/>
      <c r="F29" s="57"/>
      <c r="G29" s="57"/>
      <c r="H29" s="57"/>
      <c r="I29" s="32"/>
      <c r="J29" s="32"/>
      <c r="K29" s="32"/>
    </row>
    <row r="30" spans="1:11" x14ac:dyDescent="0.2">
      <c r="A30" s="32"/>
      <c r="B30" s="58"/>
      <c r="C30" s="58"/>
      <c r="D30" s="59"/>
      <c r="E30" s="59"/>
      <c r="F30" s="59"/>
      <c r="G30" s="59"/>
      <c r="H30" s="59"/>
      <c r="I30" s="32"/>
      <c r="J30" s="32"/>
      <c r="K30" s="32"/>
    </row>
    <row r="31" spans="1:11" x14ac:dyDescent="0.2">
      <c r="A31" s="32"/>
      <c r="B31" s="58"/>
      <c r="C31" s="58"/>
      <c r="D31" s="59"/>
      <c r="E31" s="59"/>
      <c r="F31" s="59"/>
      <c r="G31" s="59"/>
      <c r="H31" s="59"/>
      <c r="I31" s="32"/>
      <c r="J31" s="32"/>
      <c r="K31" s="32"/>
    </row>
    <row r="32" spans="1:11" x14ac:dyDescent="0.2">
      <c r="A32" s="32"/>
      <c r="B32" s="58"/>
      <c r="C32" s="58"/>
      <c r="D32" s="59"/>
      <c r="E32" s="59"/>
      <c r="F32" s="59"/>
      <c r="G32" s="59"/>
      <c r="H32" s="59"/>
      <c r="I32" s="32"/>
      <c r="J32" s="32"/>
      <c r="K32" s="32"/>
    </row>
    <row r="33" spans="1:11" x14ac:dyDescent="0.2">
      <c r="A33" s="32"/>
      <c r="B33" s="32"/>
      <c r="C33" s="32"/>
      <c r="D33" s="32"/>
      <c r="E33" s="32"/>
      <c r="F33" s="32"/>
      <c r="G33" s="32"/>
      <c r="H33" s="32"/>
      <c r="I33" s="32"/>
      <c r="J33" s="32"/>
      <c r="K33" s="32"/>
    </row>
    <row r="34" spans="1:11" x14ac:dyDescent="0.2">
      <c r="A34" s="55" t="s">
        <v>656</v>
      </c>
      <c r="B34" s="32"/>
      <c r="C34" s="32"/>
      <c r="D34" s="32"/>
      <c r="E34" s="32"/>
      <c r="F34" s="32"/>
      <c r="G34" s="32"/>
      <c r="H34" s="32"/>
      <c r="I34" s="32"/>
      <c r="J34" s="32"/>
      <c r="K34" s="32"/>
    </row>
    <row r="35" spans="1:11" x14ac:dyDescent="0.2">
      <c r="A35" s="32"/>
      <c r="B35" s="32"/>
      <c r="C35" s="32"/>
      <c r="D35" s="32"/>
      <c r="E35" s="32"/>
      <c r="F35" s="32"/>
      <c r="G35" s="32"/>
      <c r="H35" s="32"/>
      <c r="I35" s="32"/>
      <c r="J35" s="32"/>
      <c r="K35" s="32"/>
    </row>
    <row r="36" spans="1:11" x14ac:dyDescent="0.2">
      <c r="A36" s="32"/>
      <c r="B36" s="548"/>
      <c r="C36" s="32"/>
      <c r="D36" s="32"/>
      <c r="E36" s="32"/>
      <c r="F36" s="32"/>
      <c r="G36" s="32"/>
      <c r="H36" s="32"/>
      <c r="I36" s="32"/>
      <c r="J36" s="32"/>
      <c r="K36" s="32"/>
    </row>
    <row r="37" spans="1:11" x14ac:dyDescent="0.2">
      <c r="A37" s="32"/>
      <c r="B37" s="549"/>
      <c r="C37" s="32"/>
      <c r="D37" s="32"/>
      <c r="E37" s="32"/>
      <c r="F37" s="32"/>
      <c r="G37" s="32"/>
      <c r="H37" s="32"/>
      <c r="I37" s="32"/>
      <c r="J37" s="32"/>
      <c r="K37" s="32"/>
    </row>
    <row r="38" spans="1:11" x14ac:dyDescent="0.2">
      <c r="A38" s="32"/>
      <c r="B38" s="549"/>
      <c r="C38" s="32"/>
      <c r="D38" s="32"/>
      <c r="E38" s="32"/>
      <c r="F38" s="32"/>
      <c r="G38" s="32"/>
      <c r="H38" s="32"/>
      <c r="I38" s="32"/>
      <c r="J38" s="32"/>
      <c r="K38" s="32"/>
    </row>
    <row r="39" spans="1:11" x14ac:dyDescent="0.2">
      <c r="A39" s="32"/>
      <c r="B39" s="549"/>
      <c r="C39" s="32"/>
      <c r="D39" s="32"/>
      <c r="E39" s="32"/>
      <c r="F39" s="32"/>
      <c r="G39" s="32"/>
      <c r="H39" s="32"/>
      <c r="I39" s="32"/>
      <c r="J39" s="32"/>
      <c r="K39" s="32"/>
    </row>
    <row r="40" spans="1:11" x14ac:dyDescent="0.2">
      <c r="A40" s="32"/>
      <c r="B40" s="32"/>
      <c r="C40" s="32"/>
      <c r="D40" s="32"/>
      <c r="E40" s="32"/>
      <c r="F40" s="32"/>
      <c r="G40" s="32"/>
      <c r="H40" s="32"/>
      <c r="I40" s="32"/>
      <c r="J40" s="32"/>
      <c r="K40" s="32"/>
    </row>
  </sheetData>
  <sheetProtection password="CD9E" sheet="1" objects="1" scenarios="1" selectLockedCells="1"/>
  <dataConsolidate/>
  <mergeCells count="3">
    <mergeCell ref="B12:C12"/>
    <mergeCell ref="D12:E12"/>
    <mergeCell ref="G12:H12"/>
  </mergeCells>
  <dataValidations count="1">
    <dataValidation type="list" allowBlank="1" showInputMessage="1" showErrorMessage="1" sqref="B36:B39">
      <formula1>ModelQuest</formula1>
    </dataValidation>
  </dataValidations>
  <hyperlinks>
    <hyperlink ref="A1" location="'List of tables'!A9" display="'List of tables'!A9"/>
    <hyperlink ref="A2" location="ExplNote!A1" display="Go to explanatory note"/>
    <hyperlink ref="A3" location="Cntry!A1" display="Go to country metadata"/>
  </hyperlinks>
  <pageMargins left="0.74803149606299213" right="0.74803149606299213" top="0.98425196850393704" bottom="0.98425196850393704" header="0.51181102362204722" footer="0.51181102362204722"/>
  <pageSetup paperSize="9" scale="83" orientation="landscape" r:id="rId1"/>
  <headerFooter alignWithMargins="0">
    <oddHeader>&amp;LCDH&amp;C &amp;F&amp;R&amp;A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43"/>
    <pageSetUpPr fitToPage="1"/>
  </sheetPr>
  <dimension ref="A1:W38"/>
  <sheetViews>
    <sheetView showGridLines="0" zoomScaleNormal="100" workbookViewId="0">
      <selection activeCell="B16" sqref="B16:D16"/>
    </sheetView>
  </sheetViews>
  <sheetFormatPr baseColWidth="10" defaultColWidth="9.140625" defaultRowHeight="15" customHeight="1" x14ac:dyDescent="0.2"/>
  <cols>
    <col min="1" max="1" width="16.42578125" style="31" customWidth="1"/>
    <col min="2" max="2" width="12.7109375" style="31" customWidth="1"/>
    <col min="3" max="3" width="6.7109375" style="31" customWidth="1"/>
    <col min="4" max="4" width="12.7109375" style="31" customWidth="1"/>
    <col min="5" max="5" width="6.7109375" style="31" customWidth="1"/>
    <col min="6" max="7" width="12.7109375" style="31" customWidth="1"/>
    <col min="8" max="8" width="6.7109375" style="31" customWidth="1"/>
    <col min="9" max="9" width="12.7109375" style="31" customWidth="1"/>
    <col min="10" max="10" width="6.7109375" style="31" customWidth="1"/>
    <col min="11" max="11" width="12.7109375" style="31" customWidth="1"/>
    <col min="12" max="12" width="6.7109375" style="31" customWidth="1"/>
    <col min="13" max="14" width="12.7109375" style="31" customWidth="1"/>
    <col min="15" max="15" width="6.7109375" style="31" customWidth="1"/>
    <col min="16" max="16" width="12.7109375" style="31" customWidth="1"/>
    <col min="17" max="17" width="6.7109375" style="31" customWidth="1"/>
    <col min="18" max="18" width="12.7109375" style="31" customWidth="1"/>
    <col min="19" max="19" width="6.7109375" style="31" customWidth="1"/>
    <col min="20" max="21" width="12.7109375" style="31" customWidth="1"/>
    <col min="22" max="22" width="6.7109375" style="31" customWidth="1"/>
    <col min="23" max="16384" width="9.140625" style="31"/>
  </cols>
  <sheetData>
    <row r="1" spans="1:23" ht="12" customHeight="1" x14ac:dyDescent="0.2">
      <c r="A1" s="26" t="s">
        <v>6</v>
      </c>
      <c r="B1" s="24"/>
      <c r="C1" s="24"/>
      <c r="T1" s="27"/>
      <c r="U1" s="27"/>
      <c r="V1" s="27"/>
      <c r="W1" s="27"/>
    </row>
    <row r="2" spans="1:23" ht="12" customHeight="1" x14ac:dyDescent="0.2">
      <c r="A2" s="28" t="s">
        <v>10</v>
      </c>
      <c r="B2" s="25"/>
      <c r="C2" s="25"/>
      <c r="T2" s="29"/>
      <c r="U2" s="29"/>
      <c r="V2" s="29"/>
      <c r="W2" s="29"/>
    </row>
    <row r="3" spans="1:23" ht="12" customHeight="1" x14ac:dyDescent="0.2">
      <c r="A3" s="28" t="s">
        <v>7</v>
      </c>
      <c r="B3" s="25"/>
      <c r="C3" s="25"/>
      <c r="T3" s="29"/>
      <c r="U3" s="29"/>
      <c r="V3" s="29"/>
      <c r="W3" s="29"/>
    </row>
    <row r="4" spans="1:23" ht="12.75" x14ac:dyDescent="0.2">
      <c r="A4" s="30" t="s">
        <v>19</v>
      </c>
      <c r="B4" s="30"/>
      <c r="C4" s="30"/>
      <c r="D4" s="30"/>
      <c r="E4" s="30"/>
      <c r="F4" s="30"/>
      <c r="G4" s="30"/>
      <c r="H4" s="30"/>
      <c r="I4" s="30"/>
      <c r="J4" s="30"/>
      <c r="K4" s="30"/>
      <c r="L4" s="30"/>
      <c r="M4" s="30"/>
      <c r="N4" s="30"/>
      <c r="O4" s="30"/>
      <c r="P4" s="30"/>
      <c r="Q4" s="30"/>
      <c r="R4" s="30"/>
      <c r="S4" s="30"/>
      <c r="T4" s="30"/>
      <c r="U4" s="30"/>
      <c r="V4" s="30"/>
      <c r="W4" s="30"/>
    </row>
    <row r="6" spans="1:23" ht="15" customHeight="1" x14ac:dyDescent="0.2">
      <c r="A6" s="32"/>
      <c r="B6" s="32"/>
      <c r="C6" s="32"/>
      <c r="D6" s="32"/>
      <c r="E6" s="32"/>
      <c r="F6" s="32"/>
      <c r="G6" s="32"/>
      <c r="H6" s="32"/>
      <c r="I6" s="32"/>
      <c r="J6" s="32"/>
      <c r="K6" s="32"/>
      <c r="L6" s="32"/>
      <c r="M6" s="32"/>
      <c r="N6" s="32"/>
      <c r="O6" s="32"/>
      <c r="P6" s="32"/>
      <c r="Q6" s="32"/>
      <c r="R6" s="32"/>
      <c r="S6" s="32"/>
      <c r="T6" s="32"/>
      <c r="U6" s="32"/>
      <c r="V6" s="32"/>
      <c r="W6" s="32"/>
    </row>
    <row r="7" spans="1:23" ht="15" customHeight="1" x14ac:dyDescent="0.25">
      <c r="A7" s="33" t="s">
        <v>807</v>
      </c>
      <c r="B7" s="33"/>
      <c r="C7" s="33"/>
      <c r="D7" s="32"/>
      <c r="E7" s="32"/>
      <c r="F7" s="32"/>
      <c r="G7" s="32"/>
      <c r="H7" s="32"/>
      <c r="I7" s="32"/>
      <c r="J7" s="32"/>
      <c r="K7" s="32"/>
      <c r="L7" s="32"/>
      <c r="M7" s="32"/>
      <c r="N7" s="32"/>
      <c r="O7" s="32"/>
      <c r="P7" s="32"/>
      <c r="Q7" s="32"/>
      <c r="R7" s="32"/>
      <c r="S7" s="32"/>
      <c r="T7" s="32"/>
      <c r="U7" s="32"/>
      <c r="V7" s="32"/>
      <c r="W7" s="32"/>
    </row>
    <row r="8" spans="1:23" ht="15" customHeight="1" x14ac:dyDescent="0.2">
      <c r="A8" s="34" t="s">
        <v>21</v>
      </c>
      <c r="B8" s="34"/>
      <c r="C8" s="34"/>
      <c r="D8" s="32"/>
      <c r="E8" s="32"/>
      <c r="F8" s="32"/>
      <c r="G8" s="32"/>
      <c r="H8" s="32"/>
      <c r="I8" s="32"/>
      <c r="J8" s="32"/>
      <c r="K8" s="32"/>
      <c r="L8" s="32"/>
      <c r="M8" s="32"/>
      <c r="N8" s="32"/>
      <c r="O8" s="32"/>
      <c r="P8" s="32"/>
      <c r="Q8" s="32"/>
      <c r="R8" s="32"/>
      <c r="S8" s="32"/>
      <c r="T8" s="32"/>
      <c r="U8" s="32"/>
      <c r="V8" s="32"/>
      <c r="W8" s="32"/>
    </row>
    <row r="9" spans="1:23" ht="15" customHeight="1" x14ac:dyDescent="0.2">
      <c r="A9" s="32"/>
      <c r="B9" s="32"/>
      <c r="C9" s="32"/>
      <c r="D9" s="32"/>
      <c r="E9" s="32"/>
      <c r="F9" s="32"/>
      <c r="G9" s="32"/>
      <c r="H9" s="32"/>
      <c r="I9" s="32"/>
      <c r="J9" s="32"/>
      <c r="K9" s="32"/>
      <c r="L9" s="32"/>
      <c r="M9" s="32"/>
      <c r="N9" s="32"/>
      <c r="O9" s="32"/>
      <c r="P9" s="32"/>
      <c r="Q9" s="32"/>
      <c r="R9" s="32"/>
      <c r="S9" s="32"/>
      <c r="T9" s="32"/>
      <c r="U9" s="32"/>
      <c r="V9" s="32"/>
      <c r="W9" s="32"/>
    </row>
    <row r="10" spans="1:23" s="223" customFormat="1" ht="15" customHeight="1" x14ac:dyDescent="0.2">
      <c r="A10" s="297" t="s">
        <v>34</v>
      </c>
      <c r="B10" s="392">
        <v>2014</v>
      </c>
      <c r="C10" s="354"/>
      <c r="D10" s="354"/>
      <c r="E10" s="354"/>
      <c r="F10" s="354"/>
      <c r="G10" s="355"/>
      <c r="H10" s="355"/>
      <c r="I10" s="355"/>
      <c r="J10" s="355"/>
      <c r="K10" s="355"/>
      <c r="L10" s="355"/>
      <c r="M10" s="355"/>
      <c r="N10" s="355"/>
      <c r="O10" s="355"/>
      <c r="P10" s="355"/>
      <c r="Q10" s="355"/>
      <c r="R10" s="355"/>
      <c r="S10" s="355"/>
      <c r="T10" s="355"/>
      <c r="U10" s="355"/>
      <c r="V10" s="355"/>
      <c r="W10" s="32"/>
    </row>
    <row r="11" spans="1:23" s="223" customFormat="1" ht="15" customHeight="1" x14ac:dyDescent="0.2">
      <c r="A11" s="354"/>
      <c r="B11" s="354"/>
      <c r="C11" s="354"/>
      <c r="D11" s="355"/>
      <c r="E11" s="355"/>
      <c r="F11" s="355"/>
      <c r="G11" s="355"/>
      <c r="H11" s="355"/>
      <c r="I11" s="355"/>
      <c r="J11" s="355"/>
      <c r="K11" s="355"/>
      <c r="L11" s="355"/>
      <c r="M11" s="355"/>
      <c r="N11" s="356"/>
      <c r="O11" s="356"/>
      <c r="P11" s="355"/>
      <c r="Q11" s="355"/>
      <c r="R11" s="355"/>
      <c r="S11" s="355"/>
      <c r="T11" s="355"/>
      <c r="U11" s="356"/>
      <c r="V11" s="356"/>
      <c r="W11" s="32"/>
    </row>
    <row r="12" spans="1:23" s="102" customFormat="1" ht="15" customHeight="1" x14ac:dyDescent="0.2">
      <c r="A12" s="60"/>
      <c r="B12" s="357" t="str">
        <f>"Citizens of "&amp;Cntry!D8</f>
        <v xml:space="preserve">Citizens of Chile </v>
      </c>
      <c r="C12" s="357"/>
      <c r="D12" s="357"/>
      <c r="E12" s="290"/>
      <c r="F12" s="290"/>
      <c r="G12" s="292"/>
      <c r="H12" s="290"/>
      <c r="I12" s="357" t="str">
        <f>"Non citizens of "&amp;Cntry!D8</f>
        <v xml:space="preserve">Non citizens of Chile </v>
      </c>
      <c r="J12" s="290"/>
      <c r="K12" s="290"/>
      <c r="L12" s="290"/>
      <c r="M12" s="290"/>
      <c r="N12" s="358"/>
      <c r="O12" s="358"/>
      <c r="P12" s="290"/>
      <c r="Q12" s="290"/>
      <c r="R12" s="290"/>
      <c r="S12" s="290"/>
      <c r="T12" s="290"/>
      <c r="U12" s="359"/>
      <c r="V12" s="1038"/>
      <c r="W12" s="64"/>
    </row>
    <row r="13" spans="1:23" s="102" customFormat="1" ht="18" customHeight="1" x14ac:dyDescent="0.2">
      <c r="A13" s="61"/>
      <c r="B13" s="360" t="s">
        <v>35</v>
      </c>
      <c r="C13" s="360"/>
      <c r="D13" s="361"/>
      <c r="E13" s="362"/>
      <c r="F13" s="362"/>
      <c r="G13" s="363"/>
      <c r="H13" s="367"/>
      <c r="I13" s="360" t="s">
        <v>36</v>
      </c>
      <c r="J13" s="1034"/>
      <c r="K13" s="362"/>
      <c r="L13" s="362"/>
      <c r="M13" s="362"/>
      <c r="N13" s="364"/>
      <c r="O13" s="364"/>
      <c r="P13" s="360"/>
      <c r="Q13" s="1034"/>
      <c r="R13" s="362"/>
      <c r="S13" s="362"/>
      <c r="T13" s="362"/>
      <c r="U13" s="365"/>
      <c r="V13" s="1039"/>
      <c r="W13" s="64"/>
    </row>
    <row r="14" spans="1:23" s="102" customFormat="1" ht="18" customHeight="1" x14ac:dyDescent="0.2">
      <c r="A14" s="61"/>
      <c r="B14" s="1655" t="s">
        <v>39</v>
      </c>
      <c r="C14" s="1656"/>
      <c r="D14" s="1656" t="s">
        <v>40</v>
      </c>
      <c r="E14" s="1656"/>
      <c r="F14" s="1659" t="s">
        <v>41</v>
      </c>
      <c r="G14" s="1661" t="s">
        <v>42</v>
      </c>
      <c r="H14" s="1662"/>
      <c r="I14" s="1036" t="s">
        <v>37</v>
      </c>
      <c r="J14" s="366"/>
      <c r="K14" s="367"/>
      <c r="L14" s="367"/>
      <c r="M14" s="36"/>
      <c r="N14" s="368"/>
      <c r="O14" s="382"/>
      <c r="P14" s="366" t="s">
        <v>38</v>
      </c>
      <c r="Q14" s="366"/>
      <c r="R14" s="367"/>
      <c r="S14" s="367"/>
      <c r="T14" s="36"/>
      <c r="U14" s="369"/>
      <c r="V14" s="1040"/>
      <c r="W14" s="64"/>
    </row>
    <row r="15" spans="1:23" s="102" customFormat="1" ht="39.75" customHeight="1" x14ac:dyDescent="0.2">
      <c r="A15" s="370"/>
      <c r="B15" s="1657"/>
      <c r="C15" s="1658"/>
      <c r="D15" s="1658"/>
      <c r="E15" s="1658"/>
      <c r="F15" s="1660"/>
      <c r="G15" s="1663"/>
      <c r="H15" s="1664"/>
      <c r="I15" s="371" t="s">
        <v>43</v>
      </c>
      <c r="J15" s="371"/>
      <c r="K15" s="371" t="s">
        <v>44</v>
      </c>
      <c r="L15" s="371"/>
      <c r="M15" s="372" t="s">
        <v>45</v>
      </c>
      <c r="N15" s="373" t="s">
        <v>42</v>
      </c>
      <c r="O15" s="1037"/>
      <c r="P15" s="371" t="s">
        <v>43</v>
      </c>
      <c r="Q15" s="371"/>
      <c r="R15" s="371" t="s">
        <v>44</v>
      </c>
      <c r="S15" s="371"/>
      <c r="T15" s="372" t="s">
        <v>45</v>
      </c>
      <c r="U15" s="373" t="s">
        <v>42</v>
      </c>
      <c r="V15" s="1037"/>
      <c r="W15" s="64"/>
    </row>
    <row r="16" spans="1:23" s="102" customFormat="1" ht="15" customHeight="1" x14ac:dyDescent="0.2">
      <c r="A16" s="374" t="s">
        <v>46</v>
      </c>
      <c r="B16" s="393">
        <v>9223.85313752</v>
      </c>
      <c r="C16" s="1027"/>
      <c r="D16" s="394">
        <v>14.2563417891</v>
      </c>
      <c r="E16" s="1031"/>
      <c r="F16" s="395"/>
      <c r="G16" s="1033">
        <f>SUM(B16,D16)</f>
        <v>9238.1094793090997</v>
      </c>
      <c r="H16" s="657"/>
      <c r="I16" s="393"/>
      <c r="J16" s="1027"/>
      <c r="K16" s="394"/>
      <c r="L16" s="1031"/>
      <c r="M16" s="395"/>
      <c r="N16" s="1033"/>
      <c r="O16" s="657"/>
      <c r="P16" s="393"/>
      <c r="Q16" s="1027"/>
      <c r="R16" s="394"/>
      <c r="S16" s="1031"/>
      <c r="T16" s="395"/>
      <c r="U16" s="1033"/>
      <c r="V16" s="657"/>
      <c r="W16" s="64"/>
    </row>
    <row r="17" spans="1:23" s="102" customFormat="1" ht="15" customHeight="1" x14ac:dyDescent="0.2">
      <c r="A17" s="331" t="s">
        <v>47</v>
      </c>
      <c r="B17" s="396">
        <v>128.30707610100001</v>
      </c>
      <c r="C17" s="1028"/>
      <c r="D17" s="397">
        <v>313.63951935900002</v>
      </c>
      <c r="E17" s="1032"/>
      <c r="F17" s="398"/>
      <c r="G17" s="1019">
        <f>SUM(B17:D17)</f>
        <v>441.94659546000003</v>
      </c>
      <c r="H17" s="615"/>
      <c r="I17" s="396">
        <v>876.76502002699999</v>
      </c>
      <c r="J17" s="1028"/>
      <c r="K17" s="397">
        <v>28.512683578099999</v>
      </c>
      <c r="L17" s="1032"/>
      <c r="M17" s="398"/>
      <c r="N17" s="1019">
        <f>SUM(I17,K17)</f>
        <v>905.27770360509999</v>
      </c>
      <c r="O17" s="615"/>
      <c r="P17" s="396">
        <v>185.33244325800001</v>
      </c>
      <c r="Q17" s="1028"/>
      <c r="R17" s="397">
        <v>7.1281708945300002</v>
      </c>
      <c r="S17" s="1032"/>
      <c r="T17" s="398"/>
      <c r="U17" s="1019">
        <f>SUM(P17,R17)</f>
        <v>192.46061415253001</v>
      </c>
      <c r="V17" s="615"/>
      <c r="W17" s="64"/>
    </row>
    <row r="18" spans="1:23" s="102" customFormat="1" ht="15" customHeight="1" x14ac:dyDescent="0.2">
      <c r="A18" s="375" t="s">
        <v>24</v>
      </c>
      <c r="B18" s="399"/>
      <c r="C18" s="1029"/>
      <c r="D18" s="400"/>
      <c r="E18" s="400"/>
      <c r="F18" s="401"/>
      <c r="G18" s="1035"/>
      <c r="H18" s="1025"/>
      <c r="I18" s="399"/>
      <c r="J18" s="1029"/>
      <c r="K18" s="400"/>
      <c r="L18" s="400"/>
      <c r="M18" s="401">
        <v>7.1281708999999998</v>
      </c>
      <c r="N18" s="1035">
        <f>M18</f>
        <v>7.1281708999999998</v>
      </c>
      <c r="O18" s="1025"/>
      <c r="P18" s="399"/>
      <c r="Q18" s="1029"/>
      <c r="R18" s="400"/>
      <c r="S18" s="400"/>
      <c r="T18" s="401"/>
      <c r="U18" s="1035"/>
      <c r="V18" s="1025"/>
      <c r="W18" s="64"/>
    </row>
    <row r="19" spans="1:23" s="102" customFormat="1" ht="15" customHeight="1" x14ac:dyDescent="0.2">
      <c r="A19" s="376" t="s">
        <v>31</v>
      </c>
      <c r="B19" s="402">
        <f>B16+B17</f>
        <v>9352.1602136210004</v>
      </c>
      <c r="C19" s="1030"/>
      <c r="D19" s="403">
        <f>SUM(D16:D17)</f>
        <v>327.89586114810004</v>
      </c>
      <c r="E19" s="403"/>
      <c r="F19" s="404"/>
      <c r="G19" s="665">
        <f>SUM(G16:G18)</f>
        <v>9680.0560747690997</v>
      </c>
      <c r="H19" s="1026"/>
      <c r="I19" s="402">
        <f>I17</f>
        <v>876.76502002699999</v>
      </c>
      <c r="J19" s="1030"/>
      <c r="K19" s="403">
        <f>K17</f>
        <v>28.512683578099999</v>
      </c>
      <c r="L19" s="403"/>
      <c r="M19" s="404">
        <f>M18</f>
        <v>7.1281708999999998</v>
      </c>
      <c r="N19" s="665">
        <f>SUM(N17:N18)</f>
        <v>912.40587450509997</v>
      </c>
      <c r="O19" s="1026"/>
      <c r="P19" s="402">
        <f>P17</f>
        <v>185.33244325800001</v>
      </c>
      <c r="Q19" s="1030"/>
      <c r="R19" s="403">
        <f>R17</f>
        <v>7.1281708945300002</v>
      </c>
      <c r="S19" s="403"/>
      <c r="T19" s="404"/>
      <c r="U19" s="665">
        <f>SUM(P19,R19)</f>
        <v>192.46061415253001</v>
      </c>
      <c r="V19" s="1026"/>
      <c r="W19" s="64"/>
    </row>
    <row r="20" spans="1:23" s="102" customFormat="1" ht="15" customHeight="1" x14ac:dyDescent="0.2">
      <c r="A20" s="377"/>
      <c r="B20" s="378"/>
      <c r="C20" s="378"/>
      <c r="D20" s="379"/>
      <c r="E20" s="379"/>
      <c r="F20" s="379"/>
      <c r="G20" s="379"/>
      <c r="H20" s="379"/>
      <c r="I20" s="379"/>
      <c r="J20" s="379"/>
      <c r="K20" s="379"/>
      <c r="L20" s="379"/>
      <c r="M20" s="379"/>
      <c r="N20" s="380"/>
      <c r="O20" s="380"/>
      <c r="P20" s="381" t="s">
        <v>48</v>
      </c>
      <c r="Q20" s="381"/>
      <c r="R20" s="382"/>
      <c r="S20" s="382"/>
      <c r="T20" s="382"/>
      <c r="U20" s="366"/>
      <c r="V20" s="366"/>
      <c r="W20" s="64"/>
    </row>
    <row r="21" spans="1:23" s="102" customFormat="1" ht="15" customHeight="1" x14ac:dyDescent="0.2">
      <c r="A21" s="377"/>
      <c r="B21" s="378"/>
      <c r="C21" s="378"/>
      <c r="D21" s="379"/>
      <c r="E21" s="379"/>
      <c r="F21" s="379"/>
      <c r="G21" s="379"/>
      <c r="H21" s="379"/>
      <c r="I21" s="379"/>
      <c r="J21" s="379"/>
      <c r="K21" s="379"/>
      <c r="L21" s="379"/>
      <c r="M21" s="379"/>
      <c r="N21" s="380"/>
      <c r="O21" s="380"/>
      <c r="P21" s="381"/>
      <c r="Q21" s="381"/>
      <c r="R21" s="382"/>
      <c r="S21" s="382"/>
      <c r="T21" s="382"/>
      <c r="U21" s="366"/>
      <c r="V21" s="366"/>
      <c r="W21" s="64"/>
    </row>
    <row r="22" spans="1:23" ht="15" customHeight="1" x14ac:dyDescent="0.2">
      <c r="A22" s="55"/>
      <c r="B22" s="55"/>
      <c r="C22" s="55"/>
      <c r="D22" s="32"/>
      <c r="E22" s="32"/>
      <c r="F22" s="32"/>
      <c r="G22" s="32"/>
      <c r="H22" s="32"/>
      <c r="I22" s="32"/>
      <c r="J22" s="32"/>
      <c r="K22" s="32"/>
      <c r="L22" s="32"/>
      <c r="M22" s="32"/>
      <c r="N22" s="32"/>
      <c r="O22" s="32"/>
      <c r="P22" s="32"/>
      <c r="Q22" s="32"/>
      <c r="R22" s="32"/>
      <c r="S22" s="32"/>
      <c r="T22" s="32"/>
      <c r="U22" s="32"/>
      <c r="V22" s="32"/>
      <c r="W22" s="32"/>
    </row>
    <row r="23" spans="1:23" ht="12.75" x14ac:dyDescent="0.2">
      <c r="A23" s="55" t="s">
        <v>32</v>
      </c>
      <c r="B23" s="56"/>
      <c r="C23" s="56"/>
      <c r="D23" s="57"/>
      <c r="E23" s="57"/>
      <c r="F23" s="57"/>
      <c r="G23" s="57"/>
      <c r="H23" s="57"/>
      <c r="I23" s="57"/>
      <c r="J23" s="57"/>
      <c r="K23" s="57"/>
      <c r="L23" s="57"/>
      <c r="M23" s="57"/>
      <c r="N23" s="57"/>
      <c r="O23" s="57"/>
      <c r="P23" s="57"/>
      <c r="Q23" s="57"/>
      <c r="R23" s="57"/>
      <c r="S23" s="57"/>
      <c r="T23" s="57"/>
      <c r="U23" s="57"/>
      <c r="V23" s="57"/>
      <c r="W23" s="32"/>
    </row>
    <row r="24" spans="1:23" ht="12.75" x14ac:dyDescent="0.2">
      <c r="A24" s="32"/>
      <c r="B24" s="58"/>
      <c r="C24" s="58"/>
      <c r="D24" s="59"/>
      <c r="E24" s="59"/>
      <c r="F24" s="59"/>
      <c r="G24" s="59"/>
      <c r="H24" s="59"/>
      <c r="I24" s="59"/>
      <c r="J24" s="59"/>
      <c r="K24" s="59"/>
      <c r="L24" s="59"/>
      <c r="M24" s="59"/>
      <c r="N24" s="59"/>
      <c r="O24" s="59"/>
      <c r="P24" s="59"/>
      <c r="Q24" s="59"/>
      <c r="R24" s="59"/>
      <c r="S24" s="59"/>
      <c r="T24" s="59"/>
      <c r="U24" s="59"/>
      <c r="V24" s="59"/>
      <c r="W24" s="32"/>
    </row>
    <row r="25" spans="1:23" ht="12.75" x14ac:dyDescent="0.2">
      <c r="A25" s="32"/>
      <c r="B25" s="58"/>
      <c r="C25" s="58"/>
      <c r="D25" s="59"/>
      <c r="E25" s="59"/>
      <c r="F25" s="59"/>
      <c r="G25" s="59"/>
      <c r="H25" s="59"/>
      <c r="I25" s="59"/>
      <c r="J25" s="59"/>
      <c r="K25" s="59"/>
      <c r="L25" s="59"/>
      <c r="M25" s="59"/>
      <c r="N25" s="59"/>
      <c r="O25" s="59"/>
      <c r="P25" s="59"/>
      <c r="Q25" s="59"/>
      <c r="R25" s="59"/>
      <c r="S25" s="59"/>
      <c r="T25" s="59"/>
      <c r="U25" s="59"/>
      <c r="V25" s="59"/>
      <c r="W25" s="32"/>
    </row>
    <row r="26" spans="1:23" ht="12.75" x14ac:dyDescent="0.2">
      <c r="A26" s="32"/>
      <c r="B26" s="58"/>
      <c r="C26" s="58"/>
      <c r="D26" s="59"/>
      <c r="E26" s="59"/>
      <c r="F26" s="59"/>
      <c r="G26" s="59"/>
      <c r="H26" s="59"/>
      <c r="I26" s="59"/>
      <c r="J26" s="59"/>
      <c r="K26" s="59"/>
      <c r="L26" s="59"/>
      <c r="M26" s="59"/>
      <c r="N26" s="59"/>
      <c r="O26" s="59"/>
      <c r="P26" s="59"/>
      <c r="Q26" s="59"/>
      <c r="R26" s="59"/>
      <c r="S26" s="59"/>
      <c r="T26" s="59"/>
      <c r="U26" s="59"/>
      <c r="V26" s="59"/>
      <c r="W26" s="32"/>
    </row>
    <row r="27" spans="1:23" ht="12.75" x14ac:dyDescent="0.2">
      <c r="A27" s="32"/>
      <c r="B27" s="32"/>
      <c r="C27" s="32"/>
      <c r="D27" s="32"/>
      <c r="E27" s="32"/>
      <c r="F27" s="32"/>
      <c r="G27" s="32"/>
      <c r="H27" s="32"/>
      <c r="I27" s="32"/>
      <c r="J27" s="32"/>
      <c r="K27" s="32"/>
      <c r="L27" s="32"/>
      <c r="M27" s="32"/>
      <c r="N27" s="32"/>
      <c r="O27" s="32"/>
      <c r="P27" s="32"/>
      <c r="Q27" s="32"/>
      <c r="R27" s="32"/>
      <c r="S27" s="32"/>
      <c r="T27" s="32"/>
      <c r="U27" s="32"/>
      <c r="V27" s="32"/>
      <c r="W27" s="32"/>
    </row>
    <row r="28" spans="1:23" ht="12.75" x14ac:dyDescent="0.2">
      <c r="A28" s="55" t="s">
        <v>33</v>
      </c>
      <c r="B28" s="56"/>
      <c r="C28" s="56"/>
      <c r="D28" s="57"/>
      <c r="E28" s="57"/>
      <c r="F28" s="57"/>
      <c r="G28" s="57"/>
      <c r="H28" s="57"/>
      <c r="I28" s="57"/>
      <c r="J28" s="57"/>
      <c r="K28" s="57"/>
      <c r="L28" s="57"/>
      <c r="M28" s="57"/>
      <c r="N28" s="57"/>
      <c r="O28" s="57"/>
      <c r="P28" s="57"/>
      <c r="Q28" s="57"/>
      <c r="R28" s="57"/>
      <c r="S28" s="57"/>
      <c r="T28" s="57"/>
      <c r="U28" s="57"/>
      <c r="V28" s="57"/>
      <c r="W28" s="32"/>
    </row>
    <row r="29" spans="1:23" ht="12.75" x14ac:dyDescent="0.2">
      <c r="A29" s="32"/>
      <c r="B29" s="58"/>
      <c r="C29" s="58"/>
      <c r="D29" s="59"/>
      <c r="E29" s="59"/>
      <c r="F29" s="59"/>
      <c r="G29" s="59"/>
      <c r="H29" s="59"/>
      <c r="I29" s="59"/>
      <c r="J29" s="59"/>
      <c r="K29" s="59"/>
      <c r="L29" s="59"/>
      <c r="M29" s="59"/>
      <c r="N29" s="59"/>
      <c r="O29" s="59"/>
      <c r="P29" s="59"/>
      <c r="Q29" s="59"/>
      <c r="R29" s="59"/>
      <c r="S29" s="59"/>
      <c r="T29" s="59"/>
      <c r="U29" s="59"/>
      <c r="V29" s="59"/>
      <c r="W29" s="32"/>
    </row>
    <row r="30" spans="1:23" ht="12.75" x14ac:dyDescent="0.2">
      <c r="A30" s="32"/>
      <c r="B30" s="58"/>
      <c r="C30" s="58"/>
      <c r="D30" s="59"/>
      <c r="E30" s="59"/>
      <c r="F30" s="59"/>
      <c r="G30" s="59"/>
      <c r="H30" s="59"/>
      <c r="I30" s="59"/>
      <c r="J30" s="59"/>
      <c r="K30" s="59"/>
      <c r="L30" s="59"/>
      <c r="M30" s="59"/>
      <c r="N30" s="59"/>
      <c r="O30" s="59"/>
      <c r="P30" s="59"/>
      <c r="Q30" s="59"/>
      <c r="R30" s="59"/>
      <c r="S30" s="59"/>
      <c r="T30" s="59"/>
      <c r="U30" s="59"/>
      <c r="V30" s="59"/>
      <c r="W30" s="32"/>
    </row>
    <row r="31" spans="1:23" ht="12.75" x14ac:dyDescent="0.2">
      <c r="A31" s="32"/>
      <c r="B31" s="58"/>
      <c r="C31" s="58"/>
      <c r="D31" s="59"/>
      <c r="E31" s="59"/>
      <c r="F31" s="59"/>
      <c r="G31" s="59"/>
      <c r="H31" s="59"/>
      <c r="I31" s="59"/>
      <c r="J31" s="59"/>
      <c r="K31" s="59"/>
      <c r="L31" s="59"/>
      <c r="M31" s="59"/>
      <c r="N31" s="59"/>
      <c r="O31" s="59"/>
      <c r="P31" s="59"/>
      <c r="Q31" s="59"/>
      <c r="R31" s="59"/>
      <c r="S31" s="59"/>
      <c r="T31" s="59"/>
      <c r="U31" s="59"/>
      <c r="V31" s="59"/>
      <c r="W31" s="32"/>
    </row>
    <row r="32" spans="1:23" ht="12.75" x14ac:dyDescent="0.2">
      <c r="A32" s="32"/>
      <c r="B32" s="32"/>
      <c r="C32" s="32"/>
      <c r="D32" s="32"/>
      <c r="E32" s="32"/>
      <c r="F32" s="32"/>
      <c r="G32" s="32"/>
      <c r="H32" s="32"/>
      <c r="I32" s="32"/>
      <c r="J32" s="32"/>
      <c r="K32" s="32"/>
      <c r="L32" s="32"/>
      <c r="M32" s="32"/>
      <c r="N32" s="32"/>
      <c r="O32" s="32"/>
      <c r="P32" s="32"/>
      <c r="Q32" s="32"/>
      <c r="R32" s="32"/>
      <c r="S32" s="32"/>
      <c r="T32" s="32"/>
      <c r="U32" s="32"/>
      <c r="V32" s="32"/>
      <c r="W32" s="32"/>
    </row>
    <row r="33" spans="1:23" ht="12.75" x14ac:dyDescent="0.2">
      <c r="A33" s="55" t="s">
        <v>659</v>
      </c>
      <c r="B33" s="32"/>
      <c r="C33" s="32"/>
      <c r="D33" s="32"/>
      <c r="E33" s="32"/>
      <c r="F33" s="32"/>
      <c r="G33" s="32"/>
      <c r="H33" s="32"/>
      <c r="I33" s="32"/>
      <c r="J33" s="32"/>
      <c r="K33" s="32"/>
      <c r="L33" s="32"/>
      <c r="M33" s="32"/>
      <c r="N33" s="32"/>
      <c r="O33" s="32"/>
      <c r="P33" s="32"/>
      <c r="Q33" s="32"/>
      <c r="R33" s="32"/>
      <c r="S33" s="32"/>
      <c r="T33" s="32"/>
      <c r="U33" s="32"/>
      <c r="V33" s="32"/>
      <c r="W33" s="32"/>
    </row>
    <row r="34" spans="1:23" ht="12.75" x14ac:dyDescent="0.2">
      <c r="A34" s="55"/>
      <c r="B34" s="548"/>
      <c r="C34" s="32"/>
      <c r="D34" s="32"/>
      <c r="E34" s="32"/>
      <c r="F34" s="32"/>
      <c r="G34" s="32"/>
      <c r="H34" s="32"/>
      <c r="I34" s="32"/>
      <c r="J34" s="32"/>
      <c r="K34" s="32"/>
      <c r="L34" s="32"/>
      <c r="M34" s="32"/>
      <c r="N34" s="32"/>
      <c r="O34" s="32"/>
      <c r="P34" s="32"/>
      <c r="Q34" s="32"/>
      <c r="R34" s="32"/>
      <c r="S34" s="32"/>
      <c r="T34" s="32"/>
      <c r="U34" s="32"/>
      <c r="V34" s="32"/>
      <c r="W34" s="32"/>
    </row>
    <row r="35" spans="1:23" ht="12.75" x14ac:dyDescent="0.2">
      <c r="A35" s="546"/>
      <c r="B35" s="549"/>
      <c r="C35" s="32"/>
      <c r="D35" s="32"/>
      <c r="E35" s="32"/>
      <c r="F35" s="32"/>
      <c r="G35" s="32"/>
      <c r="H35" s="32"/>
      <c r="I35" s="32"/>
      <c r="J35" s="32"/>
      <c r="K35" s="32"/>
      <c r="L35" s="32"/>
      <c r="M35" s="32"/>
      <c r="N35" s="32"/>
      <c r="O35" s="32"/>
      <c r="P35" s="32"/>
      <c r="Q35" s="32"/>
      <c r="R35" s="32"/>
      <c r="S35" s="32"/>
      <c r="T35" s="32"/>
      <c r="U35" s="32"/>
      <c r="V35" s="32"/>
      <c r="W35" s="32"/>
    </row>
    <row r="36" spans="1:23" ht="15" customHeight="1" x14ac:dyDescent="0.2">
      <c r="A36" s="547"/>
      <c r="B36" s="549"/>
      <c r="C36" s="32"/>
      <c r="D36" s="32"/>
      <c r="E36" s="32"/>
      <c r="F36" s="32"/>
      <c r="G36" s="32"/>
      <c r="H36" s="32"/>
      <c r="I36" s="32"/>
      <c r="J36" s="32"/>
      <c r="K36" s="32"/>
      <c r="L36" s="32"/>
      <c r="M36" s="32"/>
      <c r="N36" s="32"/>
      <c r="O36" s="32"/>
      <c r="P36" s="32"/>
      <c r="Q36" s="32"/>
      <c r="R36" s="32"/>
      <c r="S36" s="32"/>
      <c r="T36" s="32"/>
      <c r="U36" s="32"/>
      <c r="V36" s="32"/>
      <c r="W36" s="32"/>
    </row>
    <row r="37" spans="1:23" ht="15" customHeight="1" x14ac:dyDescent="0.2">
      <c r="A37" s="32"/>
      <c r="B37" s="549"/>
      <c r="C37" s="32"/>
      <c r="D37" s="32"/>
      <c r="E37" s="32"/>
      <c r="F37" s="32"/>
      <c r="G37" s="32"/>
      <c r="H37" s="32"/>
      <c r="I37" s="32"/>
      <c r="J37" s="32"/>
      <c r="K37" s="32"/>
      <c r="L37" s="32"/>
      <c r="M37" s="32"/>
      <c r="N37" s="32"/>
      <c r="O37" s="32"/>
      <c r="P37" s="32"/>
      <c r="Q37" s="32"/>
      <c r="R37" s="32"/>
      <c r="S37" s="32"/>
      <c r="T37" s="32"/>
      <c r="U37" s="32"/>
      <c r="V37" s="32"/>
      <c r="W37" s="32"/>
    </row>
    <row r="38" spans="1:23" ht="15" customHeight="1" x14ac:dyDescent="0.2">
      <c r="A38" s="32"/>
      <c r="B38" s="32"/>
      <c r="C38" s="32"/>
      <c r="D38" s="32"/>
      <c r="E38" s="32"/>
      <c r="F38" s="32"/>
      <c r="G38" s="32"/>
      <c r="H38" s="32"/>
      <c r="I38" s="32"/>
      <c r="J38" s="32"/>
      <c r="K38" s="32"/>
      <c r="L38" s="32"/>
      <c r="M38" s="32"/>
      <c r="N38" s="32"/>
      <c r="O38" s="32"/>
      <c r="P38" s="32"/>
      <c r="Q38" s="32"/>
      <c r="R38" s="32"/>
      <c r="S38" s="32"/>
      <c r="T38" s="32"/>
      <c r="U38" s="32"/>
      <c r="V38" s="32"/>
      <c r="W38" s="32"/>
    </row>
  </sheetData>
  <sheetProtection password="CD9E" sheet="1" objects="1" scenarios="1" selectLockedCells="1"/>
  <mergeCells count="4">
    <mergeCell ref="B14:C15"/>
    <mergeCell ref="D14:E15"/>
    <mergeCell ref="F14:F15"/>
    <mergeCell ref="G14:H15"/>
  </mergeCells>
  <dataValidations count="1">
    <dataValidation type="list" allowBlank="1" showInputMessage="1" showErrorMessage="1" sqref="B34:B37">
      <formula1>ModelQuest</formula1>
    </dataValidation>
  </dataValidations>
  <hyperlinks>
    <hyperlink ref="A1" location="'List of tables'!A9" display="'List of tables'!A9"/>
    <hyperlink ref="A2" location="ExplNote!A1" display="Go to explanatory note"/>
    <hyperlink ref="A3" location="Cntry!A1" display="Go to country metadata"/>
  </hyperlinks>
  <pageMargins left="0.47244094488188981" right="0.47244094488188981" top="0.82677165354330717" bottom="0.74803149606299213" header="0.51181102362204722" footer="0.51181102362204722"/>
  <pageSetup paperSize="9" scale="89" orientation="landscape" r:id="rId1"/>
  <headerFooter alignWithMargins="0">
    <oddHeader>&amp;LCDH&amp;C &amp;F&amp;R&amp;A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indexed="43"/>
    <pageSetUpPr fitToPage="1"/>
  </sheetPr>
  <dimension ref="A1:N35"/>
  <sheetViews>
    <sheetView showGridLines="0" zoomScale="90" zoomScaleNormal="90" workbookViewId="0">
      <selection activeCell="K19" sqref="K19"/>
    </sheetView>
  </sheetViews>
  <sheetFormatPr baseColWidth="10" defaultColWidth="9.140625" defaultRowHeight="15" customHeight="1" x14ac:dyDescent="0.2"/>
  <cols>
    <col min="1" max="1" width="29.140625" style="66" customWidth="1"/>
    <col min="2" max="2" width="12.7109375" style="66" customWidth="1"/>
    <col min="3" max="3" width="6.7109375" style="66" customWidth="1"/>
    <col min="4" max="4" width="12.7109375" style="66" customWidth="1"/>
    <col min="5" max="5" width="6.7109375" style="66" customWidth="1"/>
    <col min="6" max="6" width="12.7109375" style="66" customWidth="1"/>
    <col min="7" max="7" width="6.7109375" style="66" customWidth="1"/>
    <col min="8" max="9" width="12.7109375" style="66" customWidth="1"/>
    <col min="10" max="10" width="6.7109375" style="66" customWidth="1"/>
    <col min="11" max="12" width="12.7109375" style="66" customWidth="1"/>
    <col min="13" max="13" width="6.7109375" style="66" customWidth="1"/>
    <col min="14" max="16384" width="9.140625" style="66"/>
  </cols>
  <sheetData>
    <row r="1" spans="1:14" ht="12" customHeight="1" x14ac:dyDescent="0.2">
      <c r="A1" s="414" t="s">
        <v>6</v>
      </c>
    </row>
    <row r="2" spans="1:14" ht="12" customHeight="1" x14ac:dyDescent="0.2">
      <c r="A2" s="415" t="s">
        <v>10</v>
      </c>
    </row>
    <row r="3" spans="1:14" ht="12" customHeight="1" x14ac:dyDescent="0.2">
      <c r="A3" s="415" t="s">
        <v>7</v>
      </c>
    </row>
    <row r="4" spans="1:14" s="31" customFormat="1" ht="12.75" x14ac:dyDescent="0.2">
      <c r="A4" s="30" t="s">
        <v>19</v>
      </c>
      <c r="B4" s="30"/>
      <c r="C4" s="30"/>
      <c r="D4" s="30"/>
      <c r="E4" s="30"/>
      <c r="F4" s="30"/>
      <c r="G4" s="30"/>
      <c r="H4" s="30"/>
      <c r="I4" s="30"/>
      <c r="J4" s="30"/>
      <c r="K4" s="30"/>
      <c r="L4" s="30"/>
      <c r="M4" s="30"/>
      <c r="N4" s="30"/>
    </row>
    <row r="6" spans="1:14" ht="15" customHeight="1" x14ac:dyDescent="0.2">
      <c r="A6" s="64"/>
      <c r="B6" s="64"/>
      <c r="C6" s="64"/>
      <c r="D6" s="64"/>
      <c r="E6" s="64"/>
      <c r="F6" s="64"/>
      <c r="G6" s="64"/>
      <c r="H6" s="64"/>
      <c r="I6" s="64"/>
      <c r="J6" s="64"/>
      <c r="K6" s="64"/>
      <c r="L6" s="64"/>
      <c r="M6" s="64"/>
      <c r="N6" s="64"/>
    </row>
    <row r="7" spans="1:14" ht="15" customHeight="1" x14ac:dyDescent="0.25">
      <c r="A7" s="62" t="s">
        <v>808</v>
      </c>
      <c r="B7" s="64"/>
      <c r="C7" s="64"/>
      <c r="D7" s="64"/>
      <c r="E7" s="64"/>
      <c r="F7" s="64"/>
      <c r="G7" s="64"/>
      <c r="H7" s="64"/>
      <c r="I7" s="64"/>
      <c r="J7" s="64"/>
      <c r="K7" s="64"/>
      <c r="L7" s="64"/>
      <c r="M7" s="64"/>
      <c r="N7" s="64"/>
    </row>
    <row r="8" spans="1:14" ht="15" customHeight="1" x14ac:dyDescent="0.2">
      <c r="A8" s="63" t="s">
        <v>21</v>
      </c>
      <c r="B8" s="64"/>
      <c r="C8" s="64"/>
      <c r="D8" s="64"/>
      <c r="E8" s="64"/>
      <c r="F8" s="64"/>
      <c r="G8" s="64"/>
      <c r="H8" s="64"/>
      <c r="I8" s="64"/>
      <c r="J8" s="64"/>
      <c r="K8" s="64"/>
      <c r="L8" s="64"/>
      <c r="M8" s="64"/>
      <c r="N8" s="64"/>
    </row>
    <row r="9" spans="1:14" ht="15" customHeight="1" x14ac:dyDescent="0.2">
      <c r="A9" s="63"/>
      <c r="B9" s="64"/>
      <c r="C9" s="64"/>
      <c r="D9" s="64"/>
      <c r="E9" s="64"/>
      <c r="F9" s="64"/>
      <c r="G9" s="64"/>
      <c r="H9" s="64"/>
      <c r="I9" s="64"/>
      <c r="J9" s="64"/>
      <c r="K9" s="64"/>
      <c r="L9" s="64"/>
      <c r="M9" s="64"/>
      <c r="N9" s="64"/>
    </row>
    <row r="10" spans="1:14" ht="15" customHeight="1" x14ac:dyDescent="0.2">
      <c r="A10" s="297" t="s">
        <v>34</v>
      </c>
      <c r="B10" s="392">
        <v>2014</v>
      </c>
      <c r="C10" s="64"/>
      <c r="D10" s="64"/>
      <c r="E10" s="64"/>
      <c r="F10" s="64"/>
      <c r="G10" s="64"/>
      <c r="H10" s="64"/>
      <c r="I10" s="64"/>
      <c r="J10" s="64"/>
      <c r="K10" s="64"/>
      <c r="L10" s="64"/>
      <c r="M10" s="64"/>
      <c r="N10" s="64"/>
    </row>
    <row r="11" spans="1:14" ht="15" customHeight="1" x14ac:dyDescent="0.2">
      <c r="A11" s="64"/>
      <c r="B11" s="64"/>
      <c r="C11" s="64"/>
      <c r="D11" s="64"/>
      <c r="E11" s="64"/>
      <c r="F11" s="64"/>
      <c r="G11" s="64"/>
      <c r="H11" s="64"/>
      <c r="I11" s="64"/>
      <c r="J11" s="64"/>
      <c r="K11" s="64"/>
      <c r="L11" s="64"/>
      <c r="M11" s="64"/>
      <c r="N11" s="64"/>
    </row>
    <row r="12" spans="1:14" ht="15" customHeight="1" x14ac:dyDescent="0.2">
      <c r="A12" s="348"/>
      <c r="B12" s="1670" t="s">
        <v>51</v>
      </c>
      <c r="C12" s="1671"/>
      <c r="D12" s="304" t="s">
        <v>50</v>
      </c>
      <c r="E12" s="304"/>
      <c r="F12" s="304"/>
      <c r="G12" s="304"/>
      <c r="H12" s="304"/>
      <c r="I12" s="305"/>
      <c r="J12" s="305"/>
      <c r="K12" s="306" t="s">
        <v>24</v>
      </c>
      <c r="L12" s="303"/>
      <c r="M12" s="307"/>
      <c r="N12" s="64"/>
    </row>
    <row r="13" spans="1:14" ht="12" customHeight="1" x14ac:dyDescent="0.2">
      <c r="A13" s="349"/>
      <c r="B13" s="1672" t="s">
        <v>666</v>
      </c>
      <c r="C13" s="1673"/>
      <c r="D13" s="308" t="s">
        <v>35</v>
      </c>
      <c r="E13" s="308"/>
      <c r="F13" s="308"/>
      <c r="G13" s="308"/>
      <c r="H13" s="308"/>
      <c r="I13" s="1045"/>
      <c r="J13" s="1045"/>
      <c r="K13" s="309" t="s">
        <v>52</v>
      </c>
      <c r="L13" s="1667" t="s">
        <v>25</v>
      </c>
      <c r="M13" s="1668"/>
      <c r="N13" s="64"/>
    </row>
    <row r="14" spans="1:14" ht="43.5" customHeight="1" x14ac:dyDescent="0.2">
      <c r="A14" s="350"/>
      <c r="B14" s="1674" t="str">
        <f>Cntry!$D$8</f>
        <v xml:space="preserve">Chile </v>
      </c>
      <c r="C14" s="1675"/>
      <c r="D14" s="1669" t="s">
        <v>43</v>
      </c>
      <c r="E14" s="1669"/>
      <c r="F14" s="1669" t="s">
        <v>44</v>
      </c>
      <c r="G14" s="1669"/>
      <c r="H14" s="311" t="s">
        <v>45</v>
      </c>
      <c r="I14" s="1665" t="s">
        <v>42</v>
      </c>
      <c r="J14" s="1666"/>
      <c r="K14" s="312"/>
      <c r="L14" s="1048"/>
      <c r="M14" s="313"/>
      <c r="N14" s="64"/>
    </row>
    <row r="15" spans="1:14" ht="19.5" customHeight="1" x14ac:dyDescent="0.2">
      <c r="A15" s="351" t="s">
        <v>53</v>
      </c>
      <c r="B15" s="407">
        <v>9680.0560747700001</v>
      </c>
      <c r="C15" s="657"/>
      <c r="D15" s="408">
        <v>876.76502002699999</v>
      </c>
      <c r="E15" s="1041"/>
      <c r="F15" s="409">
        <v>28.512683578099999</v>
      </c>
      <c r="G15" s="1043"/>
      <c r="H15" s="410"/>
      <c r="I15" s="411">
        <f>SUM(D15,F15)</f>
        <v>905.27770360509999</v>
      </c>
      <c r="J15" s="410"/>
      <c r="K15" s="411">
        <f>K16</f>
        <v>7.1281708999999998</v>
      </c>
      <c r="L15" s="1049">
        <f>SUM(B15,I15,K15)</f>
        <v>10592.461949275099</v>
      </c>
      <c r="M15" s="657"/>
      <c r="N15" s="64"/>
    </row>
    <row r="16" spans="1:14" s="421" customFormat="1" ht="45" x14ac:dyDescent="0.2">
      <c r="A16" s="352" t="s">
        <v>54</v>
      </c>
      <c r="B16" s="416">
        <f>42.7690253672+171.076101469+1853.32443258+5438.79439252</f>
        <v>7505.963951936199</v>
      </c>
      <c r="C16" s="1046"/>
      <c r="D16" s="417">
        <f>14.2563417891+213.845126836+ 477.587449933</f>
        <v>705.6889185581</v>
      </c>
      <c r="E16" s="1042"/>
      <c r="F16" s="418">
        <f>14.2563417891</f>
        <v>14.2563417891</v>
      </c>
      <c r="G16" s="1044"/>
      <c r="H16" s="419"/>
      <c r="I16" s="420">
        <f>SUM(D16,F16)</f>
        <v>719.94526034720002</v>
      </c>
      <c r="J16" s="419"/>
      <c r="K16" s="420">
        <v>7.1281708999999998</v>
      </c>
      <c r="L16" s="1047">
        <f>SUM(B16+I16+K16)</f>
        <v>8233.0373831833986</v>
      </c>
      <c r="M16" s="1046"/>
      <c r="N16" s="64"/>
    </row>
    <row r="17" spans="1:14" ht="15" customHeight="1" x14ac:dyDescent="0.2">
      <c r="A17" s="64"/>
      <c r="B17" s="64"/>
      <c r="C17" s="64"/>
      <c r="D17" s="64"/>
      <c r="E17" s="64"/>
      <c r="F17" s="64"/>
      <c r="G17" s="64"/>
      <c r="H17" s="64"/>
      <c r="I17" s="64"/>
      <c r="J17" s="64"/>
      <c r="K17" s="64"/>
      <c r="L17" s="64"/>
      <c r="M17" s="64"/>
      <c r="N17" s="64"/>
    </row>
    <row r="18" spans="1:14" s="353" customFormat="1" ht="15" customHeight="1" x14ac:dyDescent="0.2">
      <c r="A18" s="64"/>
      <c r="B18" s="64"/>
      <c r="C18" s="64"/>
      <c r="D18" s="64"/>
      <c r="E18" s="64"/>
      <c r="F18" s="64"/>
      <c r="G18" s="64"/>
      <c r="H18" s="64"/>
      <c r="I18" s="64"/>
      <c r="J18" s="64"/>
      <c r="K18" s="64"/>
      <c r="L18" s="64"/>
      <c r="M18" s="64"/>
      <c r="N18" s="64"/>
    </row>
    <row r="19" spans="1:14" ht="12.75" x14ac:dyDescent="0.2">
      <c r="A19" s="65" t="s">
        <v>32</v>
      </c>
      <c r="B19" s="56"/>
      <c r="C19" s="56"/>
      <c r="D19" s="412"/>
      <c r="E19" s="412"/>
      <c r="F19" s="412"/>
      <c r="G19" s="412"/>
      <c r="H19" s="412"/>
      <c r="I19" s="412"/>
      <c r="J19" s="412"/>
      <c r="K19" s="412"/>
      <c r="L19" s="412"/>
      <c r="M19" s="412"/>
      <c r="N19" s="64"/>
    </row>
    <row r="20" spans="1:14" ht="12.75" x14ac:dyDescent="0.2">
      <c r="A20" s="64"/>
      <c r="B20" s="58"/>
      <c r="C20" s="58"/>
      <c r="D20" s="413"/>
      <c r="E20" s="413"/>
      <c r="F20" s="413"/>
      <c r="G20" s="413"/>
      <c r="H20" s="413"/>
      <c r="I20" s="413"/>
      <c r="J20" s="413"/>
      <c r="K20" s="413"/>
      <c r="L20" s="413"/>
      <c r="M20" s="413"/>
      <c r="N20" s="64"/>
    </row>
    <row r="21" spans="1:14" ht="12.75" x14ac:dyDescent="0.2">
      <c r="A21" s="64"/>
      <c r="B21" s="58"/>
      <c r="C21" s="58"/>
      <c r="D21" s="413"/>
      <c r="E21" s="413"/>
      <c r="F21" s="413"/>
      <c r="G21" s="413"/>
      <c r="H21" s="413"/>
      <c r="I21" s="413"/>
      <c r="J21" s="413"/>
      <c r="K21" s="413"/>
      <c r="L21" s="413"/>
      <c r="M21" s="413"/>
      <c r="N21" s="64"/>
    </row>
    <row r="22" spans="1:14" ht="12.75" x14ac:dyDescent="0.2">
      <c r="A22" s="64"/>
      <c r="B22" s="58"/>
      <c r="C22" s="58"/>
      <c r="D22" s="413"/>
      <c r="E22" s="413"/>
      <c r="F22" s="413"/>
      <c r="G22" s="413"/>
      <c r="H22" s="413"/>
      <c r="I22" s="413"/>
      <c r="J22" s="413"/>
      <c r="K22" s="413"/>
      <c r="L22" s="413"/>
      <c r="M22" s="413"/>
      <c r="N22" s="64"/>
    </row>
    <row r="23" spans="1:14" ht="12.75" x14ac:dyDescent="0.2">
      <c r="A23" s="64"/>
      <c r="B23" s="64"/>
      <c r="C23" s="64"/>
      <c r="D23" s="64"/>
      <c r="E23" s="64"/>
      <c r="F23" s="64"/>
      <c r="G23" s="64"/>
      <c r="H23" s="64"/>
      <c r="I23" s="64"/>
      <c r="J23" s="64"/>
      <c r="K23" s="64"/>
      <c r="L23" s="64"/>
      <c r="M23" s="64"/>
      <c r="N23" s="64"/>
    </row>
    <row r="24" spans="1:14" ht="12.75" x14ac:dyDescent="0.2">
      <c r="A24" s="65" t="s">
        <v>33</v>
      </c>
      <c r="B24" s="56"/>
      <c r="C24" s="56"/>
      <c r="D24" s="412"/>
      <c r="E24" s="412"/>
      <c r="F24" s="412"/>
      <c r="G24" s="412"/>
      <c r="H24" s="412"/>
      <c r="I24" s="412"/>
      <c r="J24" s="412"/>
      <c r="K24" s="412"/>
      <c r="L24" s="412"/>
      <c r="M24" s="412"/>
      <c r="N24" s="64"/>
    </row>
    <row r="25" spans="1:14" ht="12.75" x14ac:dyDescent="0.2">
      <c r="A25" s="64"/>
      <c r="B25" s="58"/>
      <c r="C25" s="58"/>
      <c r="D25" s="413"/>
      <c r="E25" s="413"/>
      <c r="F25" s="413"/>
      <c r="G25" s="413"/>
      <c r="H25" s="413"/>
      <c r="I25" s="413"/>
      <c r="J25" s="413"/>
      <c r="K25" s="413"/>
      <c r="L25" s="413"/>
      <c r="M25" s="413"/>
      <c r="N25" s="64"/>
    </row>
    <row r="26" spans="1:14" ht="12.75" x14ac:dyDescent="0.2">
      <c r="A26" s="64"/>
      <c r="B26" s="58"/>
      <c r="C26" s="58"/>
      <c r="D26" s="413"/>
      <c r="E26" s="413"/>
      <c r="F26" s="413"/>
      <c r="G26" s="413"/>
      <c r="H26" s="413"/>
      <c r="I26" s="413"/>
      <c r="J26" s="413"/>
      <c r="K26" s="413"/>
      <c r="L26" s="413"/>
      <c r="M26" s="413"/>
      <c r="N26" s="64"/>
    </row>
    <row r="27" spans="1:14" ht="12.75" x14ac:dyDescent="0.2">
      <c r="A27" s="64"/>
      <c r="B27" s="58"/>
      <c r="C27" s="58"/>
      <c r="D27" s="413"/>
      <c r="E27" s="413"/>
      <c r="F27" s="413"/>
      <c r="G27" s="413"/>
      <c r="H27" s="413"/>
      <c r="I27" s="413"/>
      <c r="J27" s="413"/>
      <c r="K27" s="413"/>
      <c r="L27" s="413"/>
      <c r="M27" s="413"/>
      <c r="N27" s="64"/>
    </row>
    <row r="28" spans="1:14" ht="12.75" x14ac:dyDescent="0.2">
      <c r="A28" s="64"/>
      <c r="B28" s="64"/>
      <c r="C28" s="64"/>
      <c r="D28" s="64"/>
      <c r="E28" s="64"/>
      <c r="F28" s="64"/>
      <c r="G28" s="64"/>
      <c r="H28" s="64"/>
      <c r="I28" s="64"/>
      <c r="J28" s="64"/>
      <c r="K28" s="64"/>
      <c r="L28" s="64"/>
      <c r="M28" s="64"/>
      <c r="N28" s="64"/>
    </row>
    <row r="29" spans="1:14" s="31" customFormat="1" ht="12.75" x14ac:dyDescent="0.2">
      <c r="A29" s="55" t="s">
        <v>656</v>
      </c>
      <c r="B29" s="32"/>
      <c r="C29" s="32"/>
      <c r="D29" s="32"/>
      <c r="E29" s="32"/>
      <c r="F29" s="32"/>
      <c r="G29" s="32"/>
      <c r="H29" s="32"/>
      <c r="I29" s="32"/>
      <c r="J29" s="32"/>
      <c r="K29" s="32"/>
      <c r="L29" s="32"/>
      <c r="M29" s="32"/>
      <c r="N29" s="64"/>
    </row>
    <row r="30" spans="1:14" s="31" customFormat="1" ht="12.75" x14ac:dyDescent="0.2">
      <c r="A30" s="32"/>
      <c r="B30" s="32"/>
      <c r="C30" s="32"/>
      <c r="D30" s="32"/>
      <c r="E30" s="32"/>
      <c r="F30" s="32"/>
      <c r="G30" s="32"/>
      <c r="H30" s="32"/>
      <c r="I30" s="32"/>
      <c r="J30" s="32"/>
      <c r="K30" s="32"/>
      <c r="L30" s="32"/>
      <c r="M30" s="32"/>
      <c r="N30" s="64"/>
    </row>
    <row r="31" spans="1:14" s="31" customFormat="1" ht="12.75" x14ac:dyDescent="0.2">
      <c r="A31" s="32"/>
      <c r="B31" s="548"/>
      <c r="C31" s="32"/>
      <c r="D31" s="32"/>
      <c r="E31" s="32"/>
      <c r="F31" s="32"/>
      <c r="G31" s="32"/>
      <c r="H31" s="32"/>
      <c r="I31" s="32"/>
      <c r="J31" s="32"/>
      <c r="K31" s="32"/>
      <c r="L31" s="32"/>
      <c r="M31" s="32"/>
      <c r="N31" s="64"/>
    </row>
    <row r="32" spans="1:14" s="31" customFormat="1" ht="12.75" x14ac:dyDescent="0.2">
      <c r="A32" s="32"/>
      <c r="B32" s="549"/>
      <c r="C32" s="32"/>
      <c r="D32" s="32"/>
      <c r="E32" s="32"/>
      <c r="F32" s="32"/>
      <c r="G32" s="32"/>
      <c r="H32" s="32"/>
      <c r="I32" s="32"/>
      <c r="J32" s="32"/>
      <c r="K32" s="32"/>
      <c r="L32" s="32"/>
      <c r="M32" s="32"/>
      <c r="N32" s="64"/>
    </row>
    <row r="33" spans="1:14" s="31" customFormat="1" ht="12.75" x14ac:dyDescent="0.2">
      <c r="A33" s="32"/>
      <c r="B33" s="549"/>
      <c r="C33" s="32"/>
      <c r="D33" s="32"/>
      <c r="E33" s="32"/>
      <c r="F33" s="32"/>
      <c r="G33" s="32"/>
      <c r="H33" s="32"/>
      <c r="I33" s="32"/>
      <c r="J33" s="32"/>
      <c r="K33" s="32"/>
      <c r="L33" s="32"/>
      <c r="M33" s="32"/>
      <c r="N33" s="64"/>
    </row>
    <row r="34" spans="1:14" s="31" customFormat="1" ht="12.75" x14ac:dyDescent="0.2">
      <c r="A34" s="32"/>
      <c r="B34" s="549"/>
      <c r="C34" s="32"/>
      <c r="D34" s="32"/>
      <c r="E34" s="32"/>
      <c r="F34" s="32"/>
      <c r="G34" s="32"/>
      <c r="H34" s="32"/>
      <c r="I34" s="32"/>
      <c r="J34" s="32"/>
      <c r="K34" s="32"/>
      <c r="L34" s="32"/>
      <c r="M34" s="32"/>
      <c r="N34" s="64"/>
    </row>
    <row r="35" spans="1:14" s="31" customFormat="1" ht="12.75" x14ac:dyDescent="0.2">
      <c r="A35" s="32"/>
      <c r="B35" s="32"/>
      <c r="C35" s="32"/>
      <c r="D35" s="32"/>
      <c r="E35" s="32"/>
      <c r="F35" s="32"/>
      <c r="G35" s="32"/>
      <c r="H35" s="32"/>
      <c r="I35" s="32"/>
      <c r="J35" s="32"/>
      <c r="K35" s="32"/>
      <c r="L35" s="32"/>
      <c r="M35" s="32"/>
      <c r="N35" s="64"/>
    </row>
  </sheetData>
  <sheetProtection password="CD9E" sheet="1" objects="1" scenarios="1" selectLockedCells="1"/>
  <mergeCells count="7">
    <mergeCell ref="I14:J14"/>
    <mergeCell ref="L13:M13"/>
    <mergeCell ref="D14:E14"/>
    <mergeCell ref="F14:G14"/>
    <mergeCell ref="B12:C12"/>
    <mergeCell ref="B13:C13"/>
    <mergeCell ref="B14:C14"/>
  </mergeCells>
  <dataValidations count="1">
    <dataValidation type="list" allowBlank="1" showInputMessage="1" showErrorMessage="1" sqref="B31:B34">
      <formula1>ModelQuest</formula1>
    </dataValidation>
  </dataValidations>
  <hyperlinks>
    <hyperlink ref="A1" location="'List of tables'!A9" display="'List of tables'!A9"/>
    <hyperlink ref="A2" location="ExplNote!A1" display="Go to explanatory note"/>
    <hyperlink ref="A3" location="Cntry!A1" display="Go to country metadata"/>
  </hyperlinks>
  <pageMargins left="0.47244094488188981" right="0.47244094488188981" top="0.82677165354330717" bottom="0.74803149606299213" header="0.51181102362204722" footer="0.51181102362204722"/>
  <pageSetup paperSize="9" scale="56" orientation="landscape" r:id="rId1"/>
  <headerFooter alignWithMargins="0">
    <oddHeader>&amp;LCDH&amp;C &amp;F&amp;R&amp;A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43"/>
    <pageSetUpPr fitToPage="1"/>
  </sheetPr>
  <dimension ref="A1:Q107"/>
  <sheetViews>
    <sheetView showGridLines="0" zoomScale="90" zoomScaleNormal="90" workbookViewId="0">
      <selection activeCell="G14" sqref="G14"/>
    </sheetView>
  </sheetViews>
  <sheetFormatPr baseColWidth="10" defaultColWidth="9.140625" defaultRowHeight="15" customHeight="1" x14ac:dyDescent="0.2"/>
  <cols>
    <col min="1" max="1" width="45.42578125" style="144" customWidth="1"/>
    <col min="2" max="2" width="12.7109375" style="144" customWidth="1"/>
    <col min="3" max="3" width="6.7109375" style="144" customWidth="1"/>
    <col min="4" max="4" width="12.7109375" style="144" customWidth="1"/>
    <col min="5" max="5" width="6.7109375" style="144" customWidth="1"/>
    <col min="6" max="7" width="12.7109375" style="144" customWidth="1"/>
    <col min="8" max="8" width="6.7109375" style="144" customWidth="1"/>
    <col min="9" max="16384" width="9.140625" style="144"/>
  </cols>
  <sheetData>
    <row r="1" spans="1:9" s="66" customFormat="1" ht="12" customHeight="1" x14ac:dyDescent="0.2">
      <c r="A1" s="414" t="s">
        <v>6</v>
      </c>
    </row>
    <row r="2" spans="1:9" s="66" customFormat="1" ht="12" customHeight="1" x14ac:dyDescent="0.2">
      <c r="A2" s="415" t="s">
        <v>10</v>
      </c>
    </row>
    <row r="3" spans="1:9" s="66" customFormat="1" ht="12" customHeight="1" x14ac:dyDescent="0.2">
      <c r="A3" s="415" t="s">
        <v>7</v>
      </c>
    </row>
    <row r="4" spans="1:9" s="31" customFormat="1" ht="12.75" x14ac:dyDescent="0.2">
      <c r="A4" s="30" t="s">
        <v>19</v>
      </c>
      <c r="B4" s="30"/>
      <c r="C4" s="30"/>
      <c r="D4" s="30"/>
      <c r="E4" s="30"/>
      <c r="F4" s="30"/>
      <c r="G4" s="30"/>
      <c r="H4" s="30"/>
      <c r="I4" s="30"/>
    </row>
    <row r="6" spans="1:9" ht="15" customHeight="1" x14ac:dyDescent="0.2">
      <c r="A6" s="289"/>
      <c r="B6" s="289"/>
      <c r="C6" s="289"/>
      <c r="D6" s="289"/>
      <c r="E6" s="289"/>
      <c r="F6" s="289"/>
      <c r="G6" s="289"/>
      <c r="H6" s="289"/>
      <c r="I6" s="289"/>
    </row>
    <row r="7" spans="1:9" ht="15" customHeight="1" x14ac:dyDescent="0.25">
      <c r="A7" s="62" t="s">
        <v>55</v>
      </c>
      <c r="B7" s="289"/>
      <c r="C7" s="289"/>
      <c r="D7" s="289"/>
      <c r="E7" s="289"/>
      <c r="F7" s="289"/>
      <c r="G7" s="289"/>
      <c r="H7" s="289"/>
      <c r="I7" s="289"/>
    </row>
    <row r="8" spans="1:9" ht="15" customHeight="1" x14ac:dyDescent="0.2">
      <c r="A8" s="63" t="s">
        <v>21</v>
      </c>
      <c r="B8" s="289"/>
      <c r="C8" s="289"/>
      <c r="D8" s="289"/>
      <c r="E8" s="289"/>
      <c r="F8" s="289"/>
      <c r="G8" s="289"/>
      <c r="H8" s="289"/>
      <c r="I8" s="289"/>
    </row>
    <row r="9" spans="1:9" ht="15" customHeight="1" x14ac:dyDescent="0.2">
      <c r="A9" s="289"/>
      <c r="B9" s="289"/>
      <c r="C9" s="289"/>
      <c r="D9" s="289"/>
      <c r="E9" s="289"/>
      <c r="F9" s="289"/>
      <c r="G9" s="289"/>
      <c r="H9" s="289"/>
      <c r="I9" s="289"/>
    </row>
    <row r="10" spans="1:9" ht="15" customHeight="1" x14ac:dyDescent="0.2">
      <c r="A10" s="297" t="s">
        <v>34</v>
      </c>
      <c r="B10" s="392">
        <v>2014</v>
      </c>
      <c r="C10" s="289"/>
      <c r="D10" s="289"/>
      <c r="E10" s="289"/>
      <c r="F10" s="289"/>
      <c r="G10" s="289"/>
      <c r="H10" s="289"/>
      <c r="I10" s="289"/>
    </row>
    <row r="11" spans="1:9" ht="15" customHeight="1" x14ac:dyDescent="0.2">
      <c r="A11" s="554"/>
      <c r="B11" s="289"/>
      <c r="C11" s="289"/>
      <c r="D11" s="289"/>
      <c r="E11" s="289"/>
      <c r="F11" s="289"/>
      <c r="G11" s="289"/>
      <c r="H11" s="289"/>
      <c r="I11" s="289"/>
    </row>
    <row r="12" spans="1:9" s="281" customFormat="1" ht="15" customHeight="1" x14ac:dyDescent="0.2">
      <c r="A12" s="338"/>
      <c r="B12" s="1651" t="s">
        <v>22</v>
      </c>
      <c r="C12" s="1652"/>
      <c r="D12" s="1652" t="s">
        <v>23</v>
      </c>
      <c r="E12" s="1652"/>
      <c r="F12" s="38" t="s">
        <v>24</v>
      </c>
      <c r="G12" s="1653" t="s">
        <v>25</v>
      </c>
      <c r="H12" s="1676"/>
      <c r="I12" s="289"/>
    </row>
    <row r="13" spans="1:9" s="281" customFormat="1" ht="15" customHeight="1" x14ac:dyDescent="0.2">
      <c r="A13" s="339" t="s">
        <v>31</v>
      </c>
      <c r="B13" s="422">
        <f>SUM(B14,B18,B22)</f>
        <v>6892.9412550081006</v>
      </c>
      <c r="C13" s="1050"/>
      <c r="D13" s="423">
        <f>SUM(D14,D18)</f>
        <v>3699.5206942550003</v>
      </c>
      <c r="E13" s="423"/>
      <c r="F13" s="424"/>
      <c r="G13" s="518">
        <f>SUM(G14,G18,G22)</f>
        <v>10592.461949263101</v>
      </c>
      <c r="H13" s="1054"/>
      <c r="I13" s="289"/>
    </row>
    <row r="14" spans="1:9" s="281" customFormat="1" ht="15" customHeight="1" x14ac:dyDescent="0.2">
      <c r="A14" s="340" t="str">
        <f>"Citizens of "&amp;Cntry!D8</f>
        <v xml:space="preserve">Citizens of Chile </v>
      </c>
      <c r="B14" s="425">
        <f>SUM(B15,B16)</f>
        <v>6365.4566088080001</v>
      </c>
      <c r="C14" s="1051"/>
      <c r="D14" s="426">
        <f>SUM(D15,D16)</f>
        <v>3314.5994659510002</v>
      </c>
      <c r="E14" s="426"/>
      <c r="F14" s="427"/>
      <c r="G14" s="581">
        <f>SUM(B14:D14)</f>
        <v>9680.0560747590007</v>
      </c>
      <c r="H14" s="1055"/>
      <c r="I14" s="289"/>
    </row>
    <row r="15" spans="1:9" s="281" customFormat="1" ht="12.75" x14ac:dyDescent="0.2">
      <c r="A15" s="341" t="s">
        <v>56</v>
      </c>
      <c r="B15" s="43">
        <v>6180.1241655499998</v>
      </c>
      <c r="C15" s="1019"/>
      <c r="D15" s="44">
        <v>3172.0360480600002</v>
      </c>
      <c r="E15" s="44"/>
      <c r="F15" s="1019"/>
      <c r="G15" s="1021">
        <f>SUM(B15,D15)</f>
        <v>9352.1602136100009</v>
      </c>
      <c r="H15" s="657"/>
      <c r="I15" s="289"/>
    </row>
    <row r="16" spans="1:9" s="281" customFormat="1" ht="15" customHeight="1" x14ac:dyDescent="0.2">
      <c r="A16" s="342" t="s">
        <v>57</v>
      </c>
      <c r="B16" s="43">
        <v>185.33244325800001</v>
      </c>
      <c r="C16" s="1019"/>
      <c r="D16" s="44">
        <v>142.563417891</v>
      </c>
      <c r="E16" s="44"/>
      <c r="F16" s="1019"/>
      <c r="G16" s="1021">
        <f>SUM(B16,D16)</f>
        <v>327.89586114899998</v>
      </c>
      <c r="H16" s="615"/>
      <c r="I16" s="289"/>
    </row>
    <row r="17" spans="1:9" s="281" customFormat="1" ht="15" customHeight="1" x14ac:dyDescent="0.2">
      <c r="A17" s="343" t="s">
        <v>58</v>
      </c>
      <c r="B17" s="43"/>
      <c r="C17" s="1019"/>
      <c r="D17" s="44"/>
      <c r="E17" s="44"/>
      <c r="F17" s="1019"/>
      <c r="G17" s="1021"/>
      <c r="H17" s="615"/>
      <c r="I17" s="289"/>
    </row>
    <row r="18" spans="1:9" s="281" customFormat="1" ht="15" customHeight="1" x14ac:dyDescent="0.2">
      <c r="A18" s="340" t="str">
        <f>"Foreign citizens of "&amp;Cntry!D8</f>
        <v xml:space="preserve">Foreign citizens of Chile </v>
      </c>
      <c r="B18" s="43">
        <f>SUM(B19,B20)</f>
        <v>520.35647530009999</v>
      </c>
      <c r="C18" s="1019"/>
      <c r="D18" s="44">
        <f>SUM(D19,D20)</f>
        <v>384.92122830400001</v>
      </c>
      <c r="E18" s="44"/>
      <c r="F18" s="1019"/>
      <c r="G18" s="1021">
        <f>SUM(B18:D18)</f>
        <v>905.2777036041</v>
      </c>
      <c r="H18" s="615"/>
      <c r="I18" s="289"/>
    </row>
    <row r="19" spans="1:9" s="281" customFormat="1" ht="15" customHeight="1" x14ac:dyDescent="0.2">
      <c r="A19" s="341" t="s">
        <v>59</v>
      </c>
      <c r="B19" s="43">
        <v>491.84379172199999</v>
      </c>
      <c r="C19" s="1019"/>
      <c r="D19" s="44">
        <v>384.92122830400001</v>
      </c>
      <c r="E19" s="44"/>
      <c r="F19" s="1019"/>
      <c r="G19" s="1021">
        <f>SUM(B19,D19)</f>
        <v>876.765020026</v>
      </c>
      <c r="H19" s="615"/>
      <c r="I19" s="289"/>
    </row>
    <row r="20" spans="1:9" s="281" customFormat="1" ht="15" customHeight="1" x14ac:dyDescent="0.2">
      <c r="A20" s="342" t="s">
        <v>60</v>
      </c>
      <c r="B20" s="43">
        <v>28.512683578099999</v>
      </c>
      <c r="C20" s="1019"/>
      <c r="D20" s="44">
        <v>0</v>
      </c>
      <c r="E20" s="44"/>
      <c r="F20" s="1019"/>
      <c r="G20" s="1021">
        <f>SUM(B20,D20)</f>
        <v>28.512683578099999</v>
      </c>
      <c r="H20" s="615"/>
      <c r="I20" s="289"/>
    </row>
    <row r="21" spans="1:9" s="281" customFormat="1" ht="15" customHeight="1" x14ac:dyDescent="0.2">
      <c r="A21" s="343" t="s">
        <v>61</v>
      </c>
      <c r="B21" s="43"/>
      <c r="C21" s="1019"/>
      <c r="D21" s="44"/>
      <c r="E21" s="44"/>
      <c r="F21" s="1019"/>
      <c r="G21" s="1021"/>
      <c r="H21" s="615"/>
      <c r="I21" s="289"/>
    </row>
    <row r="22" spans="1:9" s="281" customFormat="1" ht="15" customHeight="1" x14ac:dyDescent="0.2">
      <c r="A22" s="344" t="s">
        <v>62</v>
      </c>
      <c r="B22" s="463">
        <v>7.1281708999999998</v>
      </c>
      <c r="C22" s="1052"/>
      <c r="D22" s="464"/>
      <c r="E22" s="464"/>
      <c r="F22" s="1052"/>
      <c r="G22" s="1053">
        <f>B22</f>
        <v>7.1281708999999998</v>
      </c>
      <c r="H22" s="1046"/>
      <c r="I22" s="289"/>
    </row>
    <row r="23" spans="1:9" s="281" customFormat="1" ht="15" customHeight="1" x14ac:dyDescent="0.2">
      <c r="A23" s="550" t="s">
        <v>63</v>
      </c>
      <c r="B23" s="460"/>
      <c r="C23" s="663"/>
      <c r="D23" s="461"/>
      <c r="E23" s="461"/>
      <c r="F23" s="663"/>
      <c r="G23" s="1077"/>
      <c r="H23" s="657"/>
      <c r="I23" s="289"/>
    </row>
    <row r="24" spans="1:9" s="281" customFormat="1" ht="15" customHeight="1" x14ac:dyDescent="0.2">
      <c r="A24" s="628" t="s">
        <v>676</v>
      </c>
      <c r="B24" s="43"/>
      <c r="C24" s="1019"/>
      <c r="D24" s="44"/>
      <c r="E24" s="44"/>
      <c r="F24" s="1019"/>
      <c r="G24" s="1021"/>
      <c r="H24" s="615"/>
      <c r="I24" s="289"/>
    </row>
    <row r="25" spans="1:9" s="281" customFormat="1" ht="15" customHeight="1" x14ac:dyDescent="0.2">
      <c r="A25" s="551" t="s">
        <v>64</v>
      </c>
      <c r="B25" s="43"/>
      <c r="C25" s="1019"/>
      <c r="D25" s="44"/>
      <c r="E25" s="44"/>
      <c r="F25" s="1019"/>
      <c r="G25" s="1021"/>
      <c r="H25" s="615"/>
      <c r="I25" s="289"/>
    </row>
    <row r="26" spans="1:9" s="281" customFormat="1" ht="15" customHeight="1" x14ac:dyDescent="0.2">
      <c r="A26" s="551" t="s">
        <v>65</v>
      </c>
      <c r="B26" s="43"/>
      <c r="C26" s="1019"/>
      <c r="D26" s="44"/>
      <c r="E26" s="44"/>
      <c r="F26" s="1019"/>
      <c r="G26" s="1021"/>
      <c r="H26" s="615"/>
      <c r="I26" s="289"/>
    </row>
    <row r="27" spans="1:9" s="281" customFormat="1" ht="15" customHeight="1" x14ac:dyDescent="0.2">
      <c r="A27" s="551" t="s">
        <v>66</v>
      </c>
      <c r="B27" s="43"/>
      <c r="C27" s="1019"/>
      <c r="D27" s="44"/>
      <c r="E27" s="44"/>
      <c r="F27" s="1019"/>
      <c r="G27" s="1021"/>
      <c r="H27" s="615"/>
      <c r="I27" s="289"/>
    </row>
    <row r="28" spans="1:9" s="281" customFormat="1" ht="15" customHeight="1" x14ac:dyDescent="0.2">
      <c r="A28" s="551" t="s">
        <v>67</v>
      </c>
      <c r="B28" s="43"/>
      <c r="C28" s="1019"/>
      <c r="D28" s="44"/>
      <c r="E28" s="44"/>
      <c r="F28" s="1019"/>
      <c r="G28" s="1021"/>
      <c r="H28" s="615"/>
      <c r="I28" s="289"/>
    </row>
    <row r="29" spans="1:9" s="281" customFormat="1" ht="15" customHeight="1" x14ac:dyDescent="0.2">
      <c r="A29" s="551" t="s">
        <v>68</v>
      </c>
      <c r="B29" s="43"/>
      <c r="C29" s="1019"/>
      <c r="D29" s="44"/>
      <c r="E29" s="44"/>
      <c r="F29" s="1019"/>
      <c r="G29" s="1021"/>
      <c r="H29" s="615"/>
      <c r="I29" s="289"/>
    </row>
    <row r="30" spans="1:9" s="281" customFormat="1" ht="15" customHeight="1" x14ac:dyDescent="0.2">
      <c r="A30" s="552" t="s">
        <v>660</v>
      </c>
      <c r="B30" s="43"/>
      <c r="C30" s="1019"/>
      <c r="D30" s="44"/>
      <c r="E30" s="44"/>
      <c r="F30" s="1019"/>
      <c r="G30" s="1021"/>
      <c r="H30" s="615"/>
      <c r="I30" s="289"/>
    </row>
    <row r="31" spans="1:9" s="281" customFormat="1" ht="15" customHeight="1" x14ac:dyDescent="0.2">
      <c r="A31" s="552" t="s">
        <v>69</v>
      </c>
      <c r="B31" s="43"/>
      <c r="C31" s="1019"/>
      <c r="D31" s="44"/>
      <c r="E31" s="44"/>
      <c r="F31" s="1019"/>
      <c r="G31" s="1021"/>
      <c r="H31" s="615"/>
      <c r="I31" s="289"/>
    </row>
    <row r="32" spans="1:9" s="281" customFormat="1" ht="15" customHeight="1" x14ac:dyDescent="0.2">
      <c r="A32" s="551" t="s">
        <v>70</v>
      </c>
      <c r="B32" s="43"/>
      <c r="C32" s="1019"/>
      <c r="D32" s="44"/>
      <c r="E32" s="44"/>
      <c r="F32" s="1019"/>
      <c r="G32" s="1021"/>
      <c r="H32" s="615"/>
      <c r="I32" s="289"/>
    </row>
    <row r="33" spans="1:9" s="281" customFormat="1" ht="15" customHeight="1" x14ac:dyDescent="0.2">
      <c r="A33" s="551" t="s">
        <v>71</v>
      </c>
      <c r="B33" s="43"/>
      <c r="C33" s="1019"/>
      <c r="D33" s="44"/>
      <c r="E33" s="44"/>
      <c r="F33" s="1019"/>
      <c r="G33" s="1021"/>
      <c r="H33" s="615"/>
      <c r="I33" s="289"/>
    </row>
    <row r="34" spans="1:9" s="281" customFormat="1" ht="15" customHeight="1" x14ac:dyDescent="0.2">
      <c r="A34" s="553" t="s">
        <v>72</v>
      </c>
      <c r="B34" s="463"/>
      <c r="C34" s="1052"/>
      <c r="D34" s="464"/>
      <c r="E34" s="464"/>
      <c r="F34" s="1052"/>
      <c r="G34" s="1053"/>
      <c r="H34" s="1046"/>
      <c r="I34" s="289"/>
    </row>
    <row r="35" spans="1:9" s="281" customFormat="1" ht="15" customHeight="1" x14ac:dyDescent="0.2">
      <c r="A35" s="345" t="s">
        <v>73</v>
      </c>
      <c r="B35" s="460"/>
      <c r="C35" s="663"/>
      <c r="D35" s="461"/>
      <c r="E35" s="461"/>
      <c r="F35" s="663"/>
      <c r="G35" s="1077"/>
      <c r="H35" s="657"/>
      <c r="I35" s="289"/>
    </row>
    <row r="36" spans="1:9" s="281" customFormat="1" ht="15" customHeight="1" x14ac:dyDescent="0.2">
      <c r="A36" s="346" t="s">
        <v>74</v>
      </c>
      <c r="B36" s="43">
        <v>128.30707610100001</v>
      </c>
      <c r="C36" s="1019"/>
      <c r="D36" s="44">
        <v>106.922563418</v>
      </c>
      <c r="E36" s="44"/>
      <c r="F36" s="1019"/>
      <c r="G36" s="1021">
        <f>SUM(B36,D36)</f>
        <v>235.22963951899999</v>
      </c>
      <c r="H36" s="615"/>
      <c r="I36" s="289"/>
    </row>
    <row r="37" spans="1:9" s="281" customFormat="1" ht="15" customHeight="1" x14ac:dyDescent="0.2">
      <c r="A37" s="346" t="s">
        <v>75</v>
      </c>
      <c r="B37" s="43">
        <v>7.1281708945300002</v>
      </c>
      <c r="C37" s="1019"/>
      <c r="D37" s="44">
        <v>0</v>
      </c>
      <c r="E37" s="44"/>
      <c r="F37" s="1019"/>
      <c r="G37" s="1021">
        <f t="shared" ref="G37:G82" si="0">SUM(B37,D37)</f>
        <v>7.1281708945300002</v>
      </c>
      <c r="H37" s="615"/>
      <c r="I37" s="289"/>
    </row>
    <row r="38" spans="1:9" s="281" customFormat="1" ht="15" customHeight="1" x14ac:dyDescent="0.2">
      <c r="A38" s="346" t="s">
        <v>76</v>
      </c>
      <c r="B38" s="43">
        <v>0</v>
      </c>
      <c r="C38" s="1019"/>
      <c r="D38" s="44">
        <v>7.1281708945300002</v>
      </c>
      <c r="E38" s="44"/>
      <c r="F38" s="1019"/>
      <c r="G38" s="1021">
        <f t="shared" si="0"/>
        <v>7.1281708945300002</v>
      </c>
      <c r="H38" s="615"/>
      <c r="I38" s="289"/>
    </row>
    <row r="39" spans="1:9" s="281" customFormat="1" ht="15" customHeight="1" x14ac:dyDescent="0.2">
      <c r="A39" s="346" t="s">
        <v>77</v>
      </c>
      <c r="B39" s="43">
        <v>7.1281708945300002</v>
      </c>
      <c r="C39" s="1019"/>
      <c r="D39" s="44">
        <v>0</v>
      </c>
      <c r="E39" s="44"/>
      <c r="F39" s="1019"/>
      <c r="G39" s="1021">
        <f t="shared" si="0"/>
        <v>7.1281708945300002</v>
      </c>
      <c r="H39" s="615"/>
      <c r="I39" s="289"/>
    </row>
    <row r="40" spans="1:9" s="281" customFormat="1" ht="15" customHeight="1" x14ac:dyDescent="0.2">
      <c r="A40" s="346" t="s">
        <v>78</v>
      </c>
      <c r="B40" s="43">
        <v>7.1281708945300002</v>
      </c>
      <c r="C40" s="1019"/>
      <c r="D40" s="44">
        <v>0</v>
      </c>
      <c r="E40" s="44"/>
      <c r="F40" s="1019"/>
      <c r="G40" s="1021">
        <f t="shared" si="0"/>
        <v>7.1281708945300002</v>
      </c>
      <c r="H40" s="615"/>
      <c r="I40" s="289"/>
    </row>
    <row r="41" spans="1:9" s="281" customFormat="1" ht="15" customHeight="1" x14ac:dyDescent="0.2">
      <c r="A41" s="346" t="s">
        <v>79</v>
      </c>
      <c r="B41" s="43">
        <v>0</v>
      </c>
      <c r="C41" s="1019"/>
      <c r="D41" s="44">
        <v>7.1281708945300002</v>
      </c>
      <c r="E41" s="44"/>
      <c r="F41" s="1019"/>
      <c r="G41" s="1021">
        <f t="shared" si="0"/>
        <v>7.1281708945300002</v>
      </c>
      <c r="H41" s="615"/>
      <c r="I41" s="289"/>
    </row>
    <row r="42" spans="1:9" s="281" customFormat="1" ht="15" customHeight="1" x14ac:dyDescent="0.2">
      <c r="A42" s="346" t="s">
        <v>80</v>
      </c>
      <c r="B42" s="43">
        <v>0</v>
      </c>
      <c r="C42" s="1019"/>
      <c r="D42" s="44">
        <v>0</v>
      </c>
      <c r="E42" s="44"/>
      <c r="F42" s="1019"/>
      <c r="G42" s="1021">
        <f t="shared" si="0"/>
        <v>0</v>
      </c>
      <c r="H42" s="615"/>
      <c r="I42" s="289"/>
    </row>
    <row r="43" spans="1:9" s="281" customFormat="1" ht="15" customHeight="1" x14ac:dyDescent="0.2">
      <c r="A43" s="346" t="s">
        <v>81</v>
      </c>
      <c r="B43" s="43">
        <v>0</v>
      </c>
      <c r="C43" s="1019"/>
      <c r="D43" s="44">
        <v>0</v>
      </c>
      <c r="E43" s="44"/>
      <c r="F43" s="1019"/>
      <c r="G43" s="1021">
        <f t="shared" si="0"/>
        <v>0</v>
      </c>
      <c r="H43" s="615"/>
      <c r="I43" s="289"/>
    </row>
    <row r="44" spans="1:9" s="281" customFormat="1" ht="15" customHeight="1" x14ac:dyDescent="0.2">
      <c r="A44" s="346" t="s">
        <v>82</v>
      </c>
      <c r="B44" s="43">
        <v>0</v>
      </c>
      <c r="C44" s="1019"/>
      <c r="D44" s="44">
        <v>0</v>
      </c>
      <c r="E44" s="44"/>
      <c r="F44" s="1019"/>
      <c r="G44" s="1021">
        <f t="shared" si="0"/>
        <v>0</v>
      </c>
      <c r="H44" s="615"/>
      <c r="I44" s="289"/>
    </row>
    <row r="45" spans="1:9" s="281" customFormat="1" ht="15" customHeight="1" x14ac:dyDescent="0.2">
      <c r="A45" s="346" t="s">
        <v>83</v>
      </c>
      <c r="B45" s="43">
        <v>0</v>
      </c>
      <c r="C45" s="1019"/>
      <c r="D45" s="44">
        <v>0</v>
      </c>
      <c r="E45" s="44"/>
      <c r="F45" s="1019"/>
      <c r="G45" s="1021">
        <f t="shared" si="0"/>
        <v>0</v>
      </c>
      <c r="H45" s="615"/>
      <c r="I45" s="289"/>
    </row>
    <row r="46" spans="1:9" s="281" customFormat="1" ht="15" customHeight="1" x14ac:dyDescent="0.2">
      <c r="A46" s="346" t="s">
        <v>84</v>
      </c>
      <c r="B46" s="43">
        <v>0</v>
      </c>
      <c r="C46" s="1019"/>
      <c r="D46" s="44">
        <v>0</v>
      </c>
      <c r="E46" s="44"/>
      <c r="F46" s="1019"/>
      <c r="G46" s="1021">
        <f t="shared" si="0"/>
        <v>0</v>
      </c>
      <c r="H46" s="615"/>
      <c r="I46" s="289"/>
    </row>
    <row r="47" spans="1:9" s="281" customFormat="1" ht="15" customHeight="1" x14ac:dyDescent="0.2">
      <c r="A47" s="346" t="s">
        <v>85</v>
      </c>
      <c r="B47" s="43">
        <v>0</v>
      </c>
      <c r="C47" s="1019"/>
      <c r="D47" s="44">
        <v>0</v>
      </c>
      <c r="E47" s="44"/>
      <c r="F47" s="1019"/>
      <c r="G47" s="1021">
        <f t="shared" si="0"/>
        <v>0</v>
      </c>
      <c r="H47" s="615"/>
      <c r="I47" s="289"/>
    </row>
    <row r="48" spans="1:9" s="281" customFormat="1" ht="15" customHeight="1" x14ac:dyDescent="0.2">
      <c r="A48" s="346" t="s">
        <v>86</v>
      </c>
      <c r="B48" s="43">
        <v>0</v>
      </c>
      <c r="C48" s="1019"/>
      <c r="D48" s="44">
        <v>0</v>
      </c>
      <c r="E48" s="44"/>
      <c r="F48" s="1019"/>
      <c r="G48" s="1021">
        <f t="shared" si="0"/>
        <v>0</v>
      </c>
      <c r="H48" s="615"/>
      <c r="I48" s="289"/>
    </row>
    <row r="49" spans="1:9" s="281" customFormat="1" ht="15" customHeight="1" x14ac:dyDescent="0.2">
      <c r="A49" s="346" t="s">
        <v>87</v>
      </c>
      <c r="B49" s="43">
        <v>0</v>
      </c>
      <c r="C49" s="1019"/>
      <c r="D49" s="44">
        <v>0</v>
      </c>
      <c r="E49" s="44"/>
      <c r="F49" s="1019"/>
      <c r="G49" s="1021">
        <f t="shared" si="0"/>
        <v>0</v>
      </c>
      <c r="H49" s="615"/>
      <c r="I49" s="289"/>
    </row>
    <row r="50" spans="1:9" s="281" customFormat="1" ht="15" customHeight="1" x14ac:dyDescent="0.2">
      <c r="A50" s="346" t="s">
        <v>88</v>
      </c>
      <c r="B50" s="43">
        <v>35.640854472599997</v>
      </c>
      <c r="C50" s="1019"/>
      <c r="D50" s="44">
        <v>21.384512683600001</v>
      </c>
      <c r="E50" s="44"/>
      <c r="F50" s="1019"/>
      <c r="G50" s="1021">
        <f t="shared" si="0"/>
        <v>57.025367156199998</v>
      </c>
      <c r="H50" s="615"/>
      <c r="I50" s="289"/>
    </row>
    <row r="51" spans="1:9" s="281" customFormat="1" ht="15" customHeight="1" x14ac:dyDescent="0.2">
      <c r="A51" s="346" t="s">
        <v>89</v>
      </c>
      <c r="B51" s="43">
        <v>49.897196261700003</v>
      </c>
      <c r="C51" s="1019"/>
      <c r="D51" s="44">
        <v>28.512683578099999</v>
      </c>
      <c r="E51" s="44"/>
      <c r="F51" s="1019"/>
      <c r="G51" s="1021">
        <f t="shared" si="0"/>
        <v>78.409879839799999</v>
      </c>
      <c r="H51" s="615"/>
      <c r="I51" s="289"/>
    </row>
    <row r="52" spans="1:9" s="281" customFormat="1" ht="15" customHeight="1" x14ac:dyDescent="0.2">
      <c r="A52" s="346" t="s">
        <v>90</v>
      </c>
      <c r="B52" s="43">
        <v>0</v>
      </c>
      <c r="C52" s="1019"/>
      <c r="D52" s="44">
        <v>7.1281708945300002</v>
      </c>
      <c r="E52" s="44"/>
      <c r="F52" s="1019"/>
      <c r="G52" s="1021">
        <f t="shared" si="0"/>
        <v>7.1281708945300002</v>
      </c>
      <c r="H52" s="615"/>
      <c r="I52" s="289"/>
    </row>
    <row r="53" spans="1:9" s="281" customFormat="1" ht="15" customHeight="1" x14ac:dyDescent="0.2">
      <c r="A53" s="346" t="s">
        <v>91</v>
      </c>
      <c r="B53" s="43">
        <v>0</v>
      </c>
      <c r="C53" s="1019"/>
      <c r="D53" s="44">
        <v>0</v>
      </c>
      <c r="E53" s="44"/>
      <c r="F53" s="1019"/>
      <c r="G53" s="1021">
        <f t="shared" si="0"/>
        <v>0</v>
      </c>
      <c r="H53" s="615"/>
      <c r="I53" s="289"/>
    </row>
    <row r="54" spans="1:9" s="281" customFormat="1" ht="15" customHeight="1" x14ac:dyDescent="0.2">
      <c r="A54" s="346" t="s">
        <v>92</v>
      </c>
      <c r="B54" s="43">
        <v>0</v>
      </c>
      <c r="C54" s="1019"/>
      <c r="D54" s="44">
        <v>0</v>
      </c>
      <c r="E54" s="44"/>
      <c r="F54" s="1019"/>
      <c r="G54" s="1021">
        <f t="shared" si="0"/>
        <v>0</v>
      </c>
      <c r="H54" s="615"/>
      <c r="I54" s="289"/>
    </row>
    <row r="55" spans="1:9" s="281" customFormat="1" ht="15" customHeight="1" x14ac:dyDescent="0.2">
      <c r="A55" s="346" t="s">
        <v>93</v>
      </c>
      <c r="B55" s="43">
        <v>0</v>
      </c>
      <c r="C55" s="1019"/>
      <c r="D55" s="44">
        <v>0</v>
      </c>
      <c r="E55" s="44"/>
      <c r="F55" s="1019"/>
      <c r="G55" s="1021">
        <f t="shared" si="0"/>
        <v>0</v>
      </c>
      <c r="H55" s="615"/>
      <c r="I55" s="289"/>
    </row>
    <row r="56" spans="1:9" s="281" customFormat="1" ht="15" customHeight="1" x14ac:dyDescent="0.2">
      <c r="A56" s="346" t="s">
        <v>94</v>
      </c>
      <c r="B56" s="43">
        <v>0</v>
      </c>
      <c r="C56" s="1019"/>
      <c r="D56" s="44">
        <v>0</v>
      </c>
      <c r="E56" s="44"/>
      <c r="F56" s="1019"/>
      <c r="G56" s="1021">
        <f t="shared" si="0"/>
        <v>0</v>
      </c>
      <c r="H56" s="615"/>
      <c r="I56" s="289"/>
    </row>
    <row r="57" spans="1:9" s="281" customFormat="1" ht="15" customHeight="1" x14ac:dyDescent="0.2">
      <c r="A57" s="346" t="s">
        <v>95</v>
      </c>
      <c r="B57" s="43">
        <v>28.512683578099999</v>
      </c>
      <c r="C57" s="1019"/>
      <c r="D57" s="44">
        <v>7.1281708945300002</v>
      </c>
      <c r="E57" s="44"/>
      <c r="F57" s="1019"/>
      <c r="G57" s="1021">
        <f t="shared" si="0"/>
        <v>35.640854472629997</v>
      </c>
      <c r="H57" s="615"/>
      <c r="I57" s="289"/>
    </row>
    <row r="58" spans="1:9" s="281" customFormat="1" ht="15" customHeight="1" x14ac:dyDescent="0.2">
      <c r="A58" s="346" t="s">
        <v>96</v>
      </c>
      <c r="B58" s="43">
        <v>7.1281708945300002</v>
      </c>
      <c r="C58" s="1019"/>
      <c r="D58" s="44">
        <v>0</v>
      </c>
      <c r="E58" s="44"/>
      <c r="F58" s="1019"/>
      <c r="G58" s="1021">
        <f t="shared" si="0"/>
        <v>7.1281708945300002</v>
      </c>
      <c r="H58" s="615"/>
      <c r="I58" s="289"/>
    </row>
    <row r="59" spans="1:9" s="281" customFormat="1" ht="15" customHeight="1" x14ac:dyDescent="0.2">
      <c r="A59" s="346" t="s">
        <v>97</v>
      </c>
      <c r="B59" s="43">
        <v>0</v>
      </c>
      <c r="C59" s="1019"/>
      <c r="D59" s="44">
        <v>0</v>
      </c>
      <c r="E59" s="44"/>
      <c r="F59" s="1019"/>
      <c r="G59" s="1021">
        <f t="shared" si="0"/>
        <v>0</v>
      </c>
      <c r="H59" s="615"/>
      <c r="I59" s="289"/>
    </row>
    <row r="60" spans="1:9" s="281" customFormat="1" ht="15" customHeight="1" x14ac:dyDescent="0.2">
      <c r="A60" s="346" t="s">
        <v>98</v>
      </c>
      <c r="B60" s="43">
        <v>0</v>
      </c>
      <c r="C60" s="1019"/>
      <c r="D60" s="44">
        <v>0</v>
      </c>
      <c r="E60" s="44"/>
      <c r="F60" s="1019"/>
      <c r="G60" s="1021">
        <f t="shared" si="0"/>
        <v>0</v>
      </c>
      <c r="H60" s="615"/>
      <c r="I60" s="289"/>
    </row>
    <row r="61" spans="1:9" s="281" customFormat="1" ht="15" customHeight="1" x14ac:dyDescent="0.2">
      <c r="A61" s="346" t="s">
        <v>99</v>
      </c>
      <c r="B61" s="43">
        <v>0</v>
      </c>
      <c r="C61" s="1019"/>
      <c r="D61" s="44">
        <v>0</v>
      </c>
      <c r="E61" s="44"/>
      <c r="F61" s="1019"/>
      <c r="G61" s="1021">
        <f t="shared" si="0"/>
        <v>0</v>
      </c>
      <c r="H61" s="615"/>
      <c r="I61" s="289"/>
    </row>
    <row r="62" spans="1:9" s="281" customFormat="1" ht="15" customHeight="1" x14ac:dyDescent="0.2">
      <c r="A62" s="346" t="s">
        <v>100</v>
      </c>
      <c r="B62" s="43">
        <v>0</v>
      </c>
      <c r="C62" s="1019"/>
      <c r="D62" s="44">
        <v>0</v>
      </c>
      <c r="E62" s="44"/>
      <c r="F62" s="1019"/>
      <c r="G62" s="1021">
        <f t="shared" si="0"/>
        <v>0</v>
      </c>
      <c r="H62" s="615"/>
      <c r="I62" s="289"/>
    </row>
    <row r="63" spans="1:9" s="281" customFormat="1" ht="15" customHeight="1" x14ac:dyDescent="0.2">
      <c r="A63" s="346" t="s">
        <v>101</v>
      </c>
      <c r="B63" s="43">
        <v>0</v>
      </c>
      <c r="C63" s="1019"/>
      <c r="D63" s="44">
        <v>0</v>
      </c>
      <c r="E63" s="44"/>
      <c r="F63" s="1019"/>
      <c r="G63" s="1021">
        <f t="shared" si="0"/>
        <v>0</v>
      </c>
      <c r="H63" s="615"/>
      <c r="I63" s="289"/>
    </row>
    <row r="64" spans="1:9" s="281" customFormat="1" ht="15" customHeight="1" x14ac:dyDescent="0.2">
      <c r="A64" s="346" t="s">
        <v>102</v>
      </c>
      <c r="B64" s="43">
        <v>0</v>
      </c>
      <c r="C64" s="1019"/>
      <c r="D64" s="44">
        <v>0</v>
      </c>
      <c r="E64" s="44"/>
      <c r="F64" s="1019"/>
      <c r="G64" s="1021">
        <f t="shared" si="0"/>
        <v>0</v>
      </c>
      <c r="H64" s="615"/>
      <c r="I64" s="289"/>
    </row>
    <row r="65" spans="1:9" s="281" customFormat="1" ht="15" customHeight="1" x14ac:dyDescent="0.2">
      <c r="A65" s="346" t="s">
        <v>103</v>
      </c>
      <c r="B65" s="43">
        <v>28.512683578099999</v>
      </c>
      <c r="C65" s="1019"/>
      <c r="D65" s="44">
        <v>7.1281708945300002</v>
      </c>
      <c r="E65" s="44"/>
      <c r="F65" s="1019"/>
      <c r="G65" s="1021">
        <f t="shared" si="0"/>
        <v>35.640854472629997</v>
      </c>
      <c r="H65" s="615"/>
      <c r="I65" s="289"/>
    </row>
    <row r="66" spans="1:9" s="281" customFormat="1" ht="15" customHeight="1" x14ac:dyDescent="0.2">
      <c r="A66" s="346" t="s">
        <v>104</v>
      </c>
      <c r="B66" s="43">
        <v>0</v>
      </c>
      <c r="C66" s="1019"/>
      <c r="D66" s="44">
        <v>0</v>
      </c>
      <c r="E66" s="44"/>
      <c r="F66" s="1019"/>
      <c r="G66" s="1021">
        <f t="shared" si="0"/>
        <v>0</v>
      </c>
      <c r="H66" s="615"/>
      <c r="I66" s="289"/>
    </row>
    <row r="67" spans="1:9" s="281" customFormat="1" ht="15" customHeight="1" x14ac:dyDescent="0.2">
      <c r="A67" s="346" t="s">
        <v>215</v>
      </c>
      <c r="B67" s="43">
        <v>7.1281708945300002</v>
      </c>
      <c r="C67" s="1019"/>
      <c r="D67" s="44">
        <v>7.1281708945300002</v>
      </c>
      <c r="E67" s="44"/>
      <c r="F67" s="1019"/>
      <c r="G67" s="1021">
        <f t="shared" si="0"/>
        <v>14.25634178906</v>
      </c>
      <c r="H67" s="615"/>
      <c r="I67" s="289"/>
    </row>
    <row r="68" spans="1:9" s="281" customFormat="1" ht="15" customHeight="1" x14ac:dyDescent="0.2">
      <c r="A68" s="346" t="s">
        <v>105</v>
      </c>
      <c r="B68" s="43">
        <v>0</v>
      </c>
      <c r="C68" s="1019"/>
      <c r="D68" s="44">
        <v>0</v>
      </c>
      <c r="E68" s="44"/>
      <c r="F68" s="1019"/>
      <c r="G68" s="1021">
        <f t="shared" si="0"/>
        <v>0</v>
      </c>
      <c r="H68" s="615"/>
      <c r="I68" s="289"/>
    </row>
    <row r="69" spans="1:9" s="281" customFormat="1" ht="15" customHeight="1" x14ac:dyDescent="0.2">
      <c r="A69" s="346" t="s">
        <v>106</v>
      </c>
      <c r="B69" s="43">
        <v>7.1281708945300002</v>
      </c>
      <c r="C69" s="1019"/>
      <c r="D69" s="44">
        <v>0</v>
      </c>
      <c r="E69" s="44"/>
      <c r="F69" s="1019"/>
      <c r="G69" s="1021">
        <f t="shared" si="0"/>
        <v>7.1281708945300002</v>
      </c>
      <c r="H69" s="615"/>
      <c r="I69" s="289"/>
    </row>
    <row r="70" spans="1:9" s="281" customFormat="1" ht="15" customHeight="1" x14ac:dyDescent="0.2">
      <c r="A70" s="346" t="s">
        <v>107</v>
      </c>
      <c r="B70" s="43">
        <v>0</v>
      </c>
      <c r="C70" s="1019"/>
      <c r="D70" s="44">
        <v>0</v>
      </c>
      <c r="E70" s="44"/>
      <c r="F70" s="1019"/>
      <c r="G70" s="1021">
        <f t="shared" si="0"/>
        <v>0</v>
      </c>
      <c r="H70" s="615"/>
      <c r="I70" s="289"/>
    </row>
    <row r="71" spans="1:9" s="281" customFormat="1" ht="15" customHeight="1" x14ac:dyDescent="0.2">
      <c r="A71" s="346" t="s">
        <v>108</v>
      </c>
      <c r="B71" s="43">
        <v>7.1281708945300002</v>
      </c>
      <c r="C71" s="1019"/>
      <c r="D71" s="44">
        <v>7.1281708945300002</v>
      </c>
      <c r="E71" s="44"/>
      <c r="F71" s="1019"/>
      <c r="G71" s="1021">
        <f t="shared" si="0"/>
        <v>14.25634178906</v>
      </c>
      <c r="H71" s="615"/>
      <c r="I71" s="289"/>
    </row>
    <row r="72" spans="1:9" s="281" customFormat="1" ht="15" customHeight="1" x14ac:dyDescent="0.2">
      <c r="A72" s="346" t="s">
        <v>13</v>
      </c>
      <c r="B72" s="43">
        <v>0</v>
      </c>
      <c r="C72" s="1019"/>
      <c r="D72" s="44">
        <v>14.2563417891</v>
      </c>
      <c r="E72" s="44"/>
      <c r="F72" s="1019"/>
      <c r="G72" s="1021">
        <f t="shared" si="0"/>
        <v>14.2563417891</v>
      </c>
      <c r="H72" s="615"/>
      <c r="I72" s="289"/>
    </row>
    <row r="73" spans="1:9" s="281" customFormat="1" ht="15" customHeight="1" x14ac:dyDescent="0.2">
      <c r="A73" s="346" t="s">
        <v>216</v>
      </c>
      <c r="B73" s="43">
        <v>0</v>
      </c>
      <c r="C73" s="1019"/>
      <c r="D73" s="44">
        <v>0</v>
      </c>
      <c r="E73" s="44"/>
      <c r="F73" s="1019"/>
      <c r="G73" s="1021">
        <f t="shared" si="0"/>
        <v>0</v>
      </c>
      <c r="H73" s="615"/>
      <c r="I73" s="289"/>
    </row>
    <row r="74" spans="1:9" s="281" customFormat="1" ht="15" customHeight="1" x14ac:dyDescent="0.2">
      <c r="A74" s="346" t="s">
        <v>109</v>
      </c>
      <c r="B74" s="43">
        <v>0</v>
      </c>
      <c r="C74" s="1019"/>
      <c r="D74" s="44">
        <v>0</v>
      </c>
      <c r="E74" s="44"/>
      <c r="F74" s="1019"/>
      <c r="G74" s="1021">
        <f t="shared" si="0"/>
        <v>0</v>
      </c>
      <c r="H74" s="615"/>
      <c r="I74" s="289"/>
    </row>
    <row r="75" spans="1:9" s="281" customFormat="1" ht="15" customHeight="1" x14ac:dyDescent="0.2">
      <c r="A75" s="346" t="s">
        <v>110</v>
      </c>
      <c r="B75" s="43">
        <v>42.769025367200001</v>
      </c>
      <c r="C75" s="1019"/>
      <c r="D75" s="44">
        <v>28.512683578099999</v>
      </c>
      <c r="E75" s="44"/>
      <c r="F75" s="1019"/>
      <c r="G75" s="1021">
        <f t="shared" si="0"/>
        <v>71.281708945299997</v>
      </c>
      <c r="H75" s="615"/>
      <c r="I75" s="289"/>
    </row>
    <row r="76" spans="1:9" s="281" customFormat="1" ht="15" customHeight="1" x14ac:dyDescent="0.2">
      <c r="A76" s="346" t="s">
        <v>111</v>
      </c>
      <c r="B76" s="43">
        <v>0</v>
      </c>
      <c r="C76" s="1019"/>
      <c r="D76" s="44">
        <v>0</v>
      </c>
      <c r="E76" s="44"/>
      <c r="F76" s="1019"/>
      <c r="G76" s="1021">
        <f t="shared" si="0"/>
        <v>0</v>
      </c>
      <c r="H76" s="615"/>
      <c r="I76" s="289"/>
    </row>
    <row r="77" spans="1:9" s="281" customFormat="1" ht="15" customHeight="1" x14ac:dyDescent="0.2">
      <c r="A77" s="346" t="s">
        <v>112</v>
      </c>
      <c r="B77" s="43">
        <v>0</v>
      </c>
      <c r="C77" s="1019"/>
      <c r="D77" s="44">
        <v>14.2563417891</v>
      </c>
      <c r="E77" s="44"/>
      <c r="F77" s="1019"/>
      <c r="G77" s="1021">
        <f t="shared" si="0"/>
        <v>14.2563417891</v>
      </c>
      <c r="H77" s="615"/>
      <c r="I77" s="289"/>
    </row>
    <row r="78" spans="1:9" s="281" customFormat="1" ht="15" customHeight="1" x14ac:dyDescent="0.2">
      <c r="A78" s="346" t="s">
        <v>113</v>
      </c>
      <c r="B78" s="43">
        <v>0</v>
      </c>
      <c r="C78" s="1019"/>
      <c r="D78" s="44">
        <v>0</v>
      </c>
      <c r="E78" s="44"/>
      <c r="F78" s="1019"/>
      <c r="G78" s="1021">
        <f t="shared" si="0"/>
        <v>0</v>
      </c>
      <c r="H78" s="615"/>
      <c r="I78" s="289"/>
    </row>
    <row r="79" spans="1:9" s="281" customFormat="1" ht="15" customHeight="1" x14ac:dyDescent="0.2">
      <c r="A79" s="346" t="s">
        <v>114</v>
      </c>
      <c r="B79" s="43">
        <v>0</v>
      </c>
      <c r="C79" s="1019"/>
      <c r="D79" s="44">
        <v>0</v>
      </c>
      <c r="E79" s="44"/>
      <c r="F79" s="1019"/>
      <c r="G79" s="1021">
        <f t="shared" si="0"/>
        <v>0</v>
      </c>
      <c r="H79" s="615"/>
      <c r="I79" s="289"/>
    </row>
    <row r="80" spans="1:9" s="281" customFormat="1" ht="15" customHeight="1" x14ac:dyDescent="0.2">
      <c r="A80" s="346" t="s">
        <v>115</v>
      </c>
      <c r="B80" s="43">
        <v>0</v>
      </c>
      <c r="C80" s="1019"/>
      <c r="D80" s="44">
        <v>0</v>
      </c>
      <c r="E80" s="44"/>
      <c r="F80" s="1019"/>
      <c r="G80" s="1021">
        <f t="shared" si="0"/>
        <v>0</v>
      </c>
      <c r="H80" s="615"/>
      <c r="I80" s="289"/>
    </row>
    <row r="81" spans="1:9" s="281" customFormat="1" ht="15" customHeight="1" x14ac:dyDescent="0.2">
      <c r="A81" s="346" t="s">
        <v>116</v>
      </c>
      <c r="B81" s="43">
        <v>7.1281708945300002</v>
      </c>
      <c r="C81" s="1019"/>
      <c r="D81" s="44">
        <f>7.12817089453+ 7.12817089453</f>
        <v>14.25634178906</v>
      </c>
      <c r="E81" s="44"/>
      <c r="F81" s="1019"/>
      <c r="G81" s="1021">
        <f t="shared" si="0"/>
        <v>21.38451268359</v>
      </c>
      <c r="H81" s="615"/>
      <c r="I81" s="289"/>
    </row>
    <row r="82" spans="1:9" s="281" customFormat="1" ht="15" customHeight="1" x14ac:dyDescent="0.2">
      <c r="A82" s="346" t="s">
        <v>117</v>
      </c>
      <c r="B82" s="43">
        <v>28.512683578099999</v>
      </c>
      <c r="C82" s="1019"/>
      <c r="D82" s="44">
        <v>71.281708945299997</v>
      </c>
      <c r="E82" s="44"/>
      <c r="F82" s="1019"/>
      <c r="G82" s="1021">
        <f t="shared" si="0"/>
        <v>99.794392523399992</v>
      </c>
      <c r="H82" s="615"/>
      <c r="I82" s="289"/>
    </row>
    <row r="83" spans="1:9" s="281" customFormat="1" ht="15" customHeight="1" x14ac:dyDescent="0.2">
      <c r="A83" s="347" t="s">
        <v>62</v>
      </c>
      <c r="B83" s="463"/>
      <c r="C83" s="1052"/>
      <c r="D83" s="464"/>
      <c r="E83" s="464"/>
      <c r="F83" s="1052"/>
      <c r="G83" s="1053"/>
      <c r="H83" s="1046"/>
      <c r="I83" s="289"/>
    </row>
    <row r="84" spans="1:9" s="281" customFormat="1" ht="15" customHeight="1" x14ac:dyDescent="0.2">
      <c r="A84" s="322"/>
      <c r="B84" s="323"/>
      <c r="C84" s="323"/>
      <c r="D84" s="323"/>
      <c r="E84" s="323"/>
      <c r="F84" s="323"/>
      <c r="G84" s="324"/>
      <c r="H84" s="324"/>
      <c r="I84" s="289"/>
    </row>
    <row r="85" spans="1:9" s="281" customFormat="1" ht="15" customHeight="1" x14ac:dyDescent="0.2">
      <c r="A85" s="325" t="s">
        <v>118</v>
      </c>
      <c r="B85" s="323"/>
      <c r="C85" s="323"/>
      <c r="D85" s="323"/>
      <c r="E85" s="323"/>
      <c r="F85" s="323"/>
      <c r="G85" s="324"/>
      <c r="H85" s="324"/>
      <c r="I85" s="289"/>
    </row>
    <row r="86" spans="1:9" ht="15" customHeight="1" x14ac:dyDescent="0.2">
      <c r="A86" s="326" t="s">
        <v>119</v>
      </c>
      <c r="B86" s="322"/>
      <c r="C86" s="322"/>
      <c r="D86" s="322"/>
      <c r="E86" s="322"/>
      <c r="F86" s="322"/>
      <c r="G86" s="322"/>
      <c r="H86" s="322"/>
      <c r="I86" s="289"/>
    </row>
    <row r="87" spans="1:9" ht="15" customHeight="1" x14ac:dyDescent="0.2">
      <c r="A87" s="327" t="s">
        <v>120</v>
      </c>
      <c r="B87" s="328"/>
      <c r="C87" s="328"/>
      <c r="D87" s="328"/>
      <c r="E87" s="328"/>
      <c r="F87" s="328"/>
      <c r="G87" s="328"/>
      <c r="H87" s="328"/>
      <c r="I87" s="289"/>
    </row>
    <row r="88" spans="1:9" ht="15" customHeight="1" x14ac:dyDescent="0.2">
      <c r="A88" s="329" t="s">
        <v>121</v>
      </c>
      <c r="B88" s="322"/>
      <c r="C88" s="322"/>
      <c r="D88" s="322"/>
      <c r="E88" s="322"/>
      <c r="F88" s="322"/>
      <c r="G88" s="322"/>
      <c r="H88" s="322"/>
      <c r="I88" s="289"/>
    </row>
    <row r="89" spans="1:9" ht="15" customHeight="1" x14ac:dyDescent="0.2">
      <c r="A89" s="289"/>
      <c r="B89" s="322"/>
      <c r="C89" s="322"/>
      <c r="D89" s="322"/>
      <c r="E89" s="322"/>
      <c r="F89" s="322"/>
      <c r="G89" s="322"/>
      <c r="H89" s="322"/>
      <c r="I89" s="289"/>
    </row>
    <row r="90" spans="1:9" s="31" customFormat="1" ht="12.75" x14ac:dyDescent="0.2">
      <c r="A90" s="55" t="s">
        <v>32</v>
      </c>
      <c r="B90" s="56"/>
      <c r="C90" s="56"/>
      <c r="D90" s="57"/>
      <c r="E90" s="57"/>
      <c r="F90" s="57"/>
      <c r="G90" s="57"/>
      <c r="H90" s="57"/>
      <c r="I90" s="289"/>
    </row>
    <row r="91" spans="1:9" s="31" customFormat="1" ht="12.75" x14ac:dyDescent="0.2">
      <c r="A91" s="32"/>
      <c r="B91" s="58"/>
      <c r="C91" s="58"/>
      <c r="D91" s="59"/>
      <c r="E91" s="59"/>
      <c r="F91" s="59"/>
      <c r="G91" s="59"/>
      <c r="H91" s="59"/>
      <c r="I91" s="289"/>
    </row>
    <row r="92" spans="1:9" s="31" customFormat="1" ht="12.75" x14ac:dyDescent="0.2">
      <c r="A92" s="32"/>
      <c r="B92" s="58"/>
      <c r="C92" s="58"/>
      <c r="D92" s="59"/>
      <c r="E92" s="59"/>
      <c r="F92" s="59"/>
      <c r="G92" s="59"/>
      <c r="H92" s="59"/>
      <c r="I92" s="289"/>
    </row>
    <row r="93" spans="1:9" s="31" customFormat="1" ht="12.75" x14ac:dyDescent="0.2">
      <c r="A93" s="32"/>
      <c r="B93" s="58"/>
      <c r="C93" s="58"/>
      <c r="D93" s="59"/>
      <c r="E93" s="59"/>
      <c r="F93" s="59"/>
      <c r="G93" s="59"/>
      <c r="H93" s="59"/>
      <c r="I93" s="289"/>
    </row>
    <row r="94" spans="1:9" s="31" customFormat="1" ht="12.75" x14ac:dyDescent="0.2">
      <c r="A94" s="32"/>
      <c r="B94" s="32"/>
      <c r="C94" s="32"/>
      <c r="D94" s="32"/>
      <c r="E94" s="32"/>
      <c r="F94" s="32"/>
      <c r="G94" s="32"/>
      <c r="H94" s="32"/>
      <c r="I94" s="289"/>
    </row>
    <row r="95" spans="1:9" s="31" customFormat="1" ht="12.75" x14ac:dyDescent="0.2">
      <c r="A95" s="55" t="s">
        <v>33</v>
      </c>
      <c r="B95" s="56"/>
      <c r="C95" s="56"/>
      <c r="D95" s="57"/>
      <c r="E95" s="57"/>
      <c r="F95" s="57"/>
      <c r="G95" s="57"/>
      <c r="H95" s="57"/>
      <c r="I95" s="289"/>
    </row>
    <row r="96" spans="1:9" s="31" customFormat="1" ht="12.75" x14ac:dyDescent="0.2">
      <c r="A96" s="32"/>
      <c r="B96" s="58"/>
      <c r="C96" s="58"/>
      <c r="D96" s="59"/>
      <c r="E96" s="59"/>
      <c r="F96" s="59"/>
      <c r="G96" s="59"/>
      <c r="H96" s="59"/>
      <c r="I96" s="289"/>
    </row>
    <row r="97" spans="1:17" s="31" customFormat="1" ht="12.75" x14ac:dyDescent="0.2">
      <c r="A97" s="32"/>
      <c r="B97" s="58"/>
      <c r="C97" s="58"/>
      <c r="D97" s="59"/>
      <c r="E97" s="59"/>
      <c r="F97" s="59"/>
      <c r="G97" s="59"/>
      <c r="H97" s="59"/>
      <c r="I97" s="289"/>
    </row>
    <row r="98" spans="1:17" s="31" customFormat="1" ht="12.75" x14ac:dyDescent="0.2">
      <c r="A98" s="32"/>
      <c r="B98" s="58"/>
      <c r="C98" s="58"/>
      <c r="D98" s="59"/>
      <c r="E98" s="59"/>
      <c r="F98" s="59"/>
      <c r="G98" s="59"/>
      <c r="H98" s="59"/>
      <c r="I98" s="289"/>
    </row>
    <row r="99" spans="1:17" s="31" customFormat="1" ht="12.75" x14ac:dyDescent="0.2">
      <c r="A99" s="32"/>
      <c r="B99" s="32"/>
      <c r="C99" s="32"/>
      <c r="D99" s="32"/>
      <c r="E99" s="32"/>
      <c r="F99" s="32"/>
      <c r="G99" s="32"/>
      <c r="H99" s="32"/>
      <c r="I99" s="289"/>
    </row>
    <row r="100" spans="1:17" s="31" customFormat="1" ht="12.75" x14ac:dyDescent="0.2">
      <c r="A100" s="55" t="s">
        <v>656</v>
      </c>
      <c r="B100" s="32"/>
      <c r="C100" s="32"/>
      <c r="D100" s="32"/>
      <c r="E100" s="32"/>
      <c r="F100" s="32"/>
      <c r="G100" s="32"/>
      <c r="H100" s="32"/>
      <c r="I100" s="289"/>
      <c r="J100"/>
      <c r="K100"/>
      <c r="L100"/>
      <c r="M100"/>
      <c r="N100"/>
      <c r="O100"/>
      <c r="P100"/>
      <c r="Q100"/>
    </row>
    <row r="101" spans="1:17" s="31" customFormat="1" ht="12.75" x14ac:dyDescent="0.2">
      <c r="A101" s="32"/>
      <c r="B101" s="32"/>
      <c r="C101" s="32"/>
      <c r="D101" s="32"/>
      <c r="E101" s="32"/>
      <c r="F101" s="32"/>
      <c r="G101" s="32"/>
      <c r="H101" s="32"/>
      <c r="I101" s="289"/>
      <c r="J101"/>
      <c r="K101"/>
      <c r="L101"/>
      <c r="M101"/>
      <c r="N101"/>
      <c r="O101"/>
      <c r="P101"/>
      <c r="Q101"/>
    </row>
    <row r="102" spans="1:17" s="31" customFormat="1" ht="12.75" x14ac:dyDescent="0.2">
      <c r="A102" s="32"/>
      <c r="B102" s="548"/>
      <c r="C102" s="32"/>
      <c r="D102" s="32"/>
      <c r="E102" s="32"/>
      <c r="F102" s="32"/>
      <c r="G102" s="32"/>
      <c r="H102" s="32"/>
      <c r="I102" s="289"/>
      <c r="J102"/>
      <c r="K102"/>
      <c r="L102"/>
      <c r="M102"/>
      <c r="N102"/>
      <c r="O102"/>
      <c r="P102"/>
      <c r="Q102"/>
    </row>
    <row r="103" spans="1:17" s="31" customFormat="1" ht="12.75" x14ac:dyDescent="0.2">
      <c r="A103" s="32"/>
      <c r="B103" s="549"/>
      <c r="C103" s="32"/>
      <c r="D103" s="32"/>
      <c r="E103" s="32"/>
      <c r="F103" s="32"/>
      <c r="G103" s="32"/>
      <c r="H103" s="32"/>
      <c r="I103" s="289"/>
      <c r="J103"/>
      <c r="K103"/>
      <c r="L103"/>
      <c r="M103"/>
      <c r="N103"/>
      <c r="O103"/>
      <c r="P103"/>
      <c r="Q103"/>
    </row>
    <row r="104" spans="1:17" s="31" customFormat="1" ht="12.75" x14ac:dyDescent="0.2">
      <c r="A104" s="32"/>
      <c r="B104" s="549"/>
      <c r="C104" s="32"/>
      <c r="D104" s="32"/>
      <c r="E104" s="32"/>
      <c r="F104" s="32"/>
      <c r="G104" s="32"/>
      <c r="H104" s="32"/>
      <c r="I104" s="289"/>
      <c r="J104"/>
      <c r="K104"/>
      <c r="L104"/>
      <c r="M104"/>
      <c r="N104"/>
      <c r="O104"/>
      <c r="P104"/>
      <c r="Q104"/>
    </row>
    <row r="105" spans="1:17" s="31" customFormat="1" ht="12.75" x14ac:dyDescent="0.2">
      <c r="A105" s="32"/>
      <c r="B105" s="549"/>
      <c r="C105" s="32"/>
      <c r="D105" s="32"/>
      <c r="E105" s="32"/>
      <c r="F105" s="32"/>
      <c r="G105" s="32"/>
      <c r="H105" s="32"/>
      <c r="I105" s="289"/>
      <c r="J105"/>
      <c r="K105"/>
      <c r="L105"/>
      <c r="M105"/>
      <c r="N105"/>
      <c r="O105"/>
      <c r="P105"/>
      <c r="Q105"/>
    </row>
    <row r="106" spans="1:17" s="31" customFormat="1" ht="12.75" x14ac:dyDescent="0.2">
      <c r="A106" s="32"/>
      <c r="B106" s="32"/>
      <c r="C106" s="32"/>
      <c r="D106" s="32"/>
      <c r="E106" s="32"/>
      <c r="F106" s="32"/>
      <c r="G106" s="32"/>
      <c r="H106" s="32"/>
      <c r="I106" s="289"/>
      <c r="J106"/>
      <c r="K106"/>
      <c r="L106"/>
      <c r="M106"/>
      <c r="N106"/>
      <c r="O106"/>
      <c r="P106"/>
      <c r="Q106"/>
    </row>
    <row r="107" spans="1:17" ht="15" customHeight="1" x14ac:dyDescent="0.2">
      <c r="I107"/>
      <c r="J107"/>
      <c r="K107"/>
      <c r="L107"/>
      <c r="M107"/>
      <c r="N107"/>
      <c r="O107"/>
      <c r="P107"/>
      <c r="Q107"/>
    </row>
  </sheetData>
  <sheetProtection password="CD9E" sheet="1" objects="1" scenarios="1" selectLockedCells="1"/>
  <mergeCells count="3">
    <mergeCell ref="B12:C12"/>
    <mergeCell ref="D12:E12"/>
    <mergeCell ref="G12:H12"/>
  </mergeCells>
  <dataValidations count="1">
    <dataValidation type="list" allowBlank="1" showInputMessage="1" showErrorMessage="1" sqref="B102:B105">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55118110236220474" right="0.55118110236220474" top="0.78740157480314965" bottom="0.78740157480314965" header="0.51181102362204722" footer="0.51181102362204722"/>
  <pageSetup paperSize="9" scale="48" orientation="portrait" r:id="rId1"/>
  <headerFooter alignWithMargins="0">
    <oddHeader>&amp;LCDH&amp;C &amp;F&amp;R&amp;A</oddHeader>
    <oddFooter>Page &amp;P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43"/>
    <pageSetUpPr fitToPage="1"/>
  </sheetPr>
  <dimension ref="A1:N40"/>
  <sheetViews>
    <sheetView showGridLines="0" topLeftCell="B1" zoomScale="90" zoomScaleNormal="90" workbookViewId="0">
      <selection activeCell="K15" sqref="K15"/>
    </sheetView>
  </sheetViews>
  <sheetFormatPr baseColWidth="10" defaultColWidth="9.140625" defaultRowHeight="15" customHeight="1" x14ac:dyDescent="0.2"/>
  <cols>
    <col min="1" max="1" width="22.140625" style="31" customWidth="1"/>
    <col min="2" max="2" width="12.7109375" style="31" customWidth="1"/>
    <col min="3" max="3" width="6.7109375" style="31" customWidth="1"/>
    <col min="4" max="4" width="12.7109375" style="31" customWidth="1"/>
    <col min="5" max="5" width="6.7109375" style="31" customWidth="1"/>
    <col min="6" max="6" width="12.7109375" style="31" customWidth="1"/>
    <col min="7" max="7" width="6.7109375" style="31" customWidth="1"/>
    <col min="8" max="8" width="9.42578125" style="31" customWidth="1"/>
    <col min="9" max="9" width="12.7109375" style="31" customWidth="1"/>
    <col min="10" max="10" width="6.7109375" style="31" customWidth="1"/>
    <col min="11" max="11" width="11" style="31" customWidth="1"/>
    <col min="12" max="12" width="12.7109375" style="31" customWidth="1"/>
    <col min="13" max="13" width="6.7109375" style="31" customWidth="1"/>
    <col min="14" max="16384" width="9.140625" style="31"/>
  </cols>
  <sheetData>
    <row r="1" spans="1:14" s="66" customFormat="1" ht="12" customHeight="1" x14ac:dyDescent="0.2">
      <c r="A1" s="414" t="s">
        <v>6</v>
      </c>
    </row>
    <row r="2" spans="1:14" s="66" customFormat="1" ht="12" customHeight="1" x14ac:dyDescent="0.2">
      <c r="A2" s="415" t="s">
        <v>10</v>
      </c>
    </row>
    <row r="3" spans="1:14" s="66" customFormat="1" ht="12" customHeight="1" x14ac:dyDescent="0.2">
      <c r="A3" s="415" t="s">
        <v>7</v>
      </c>
    </row>
    <row r="4" spans="1:14" ht="12.75" x14ac:dyDescent="0.2">
      <c r="A4" s="30" t="s">
        <v>19</v>
      </c>
      <c r="B4" s="30"/>
      <c r="C4" s="30"/>
      <c r="D4" s="30"/>
      <c r="E4" s="30"/>
      <c r="F4" s="30"/>
      <c r="G4" s="30"/>
      <c r="H4" s="30"/>
      <c r="I4" s="30"/>
      <c r="J4" s="30"/>
      <c r="K4" s="30"/>
      <c r="L4" s="30"/>
      <c r="M4" s="30"/>
      <c r="N4" s="30"/>
    </row>
    <row r="5" spans="1:14" s="131" customFormat="1" ht="15" customHeight="1" x14ac:dyDescent="0.2"/>
    <row r="6" spans="1:14" ht="15" customHeight="1" x14ac:dyDescent="0.2">
      <c r="A6" s="32"/>
      <c r="B6" s="32"/>
      <c r="C6" s="32"/>
      <c r="D6" s="32"/>
      <c r="E6" s="32"/>
      <c r="F6" s="32"/>
      <c r="G6" s="32"/>
      <c r="H6" s="32"/>
      <c r="I6" s="32"/>
      <c r="J6" s="32"/>
      <c r="K6" s="32"/>
      <c r="L6" s="32"/>
      <c r="M6" s="32"/>
      <c r="N6" s="32"/>
    </row>
    <row r="7" spans="1:14" ht="15" customHeight="1" x14ac:dyDescent="0.25">
      <c r="A7" s="62" t="s">
        <v>809</v>
      </c>
      <c r="B7" s="32"/>
      <c r="C7" s="32"/>
      <c r="D7" s="32"/>
      <c r="E7" s="32"/>
      <c r="F7" s="32"/>
      <c r="G7" s="32"/>
      <c r="H7" s="32"/>
      <c r="I7" s="32"/>
      <c r="J7" s="32"/>
      <c r="K7" s="32"/>
      <c r="L7" s="32"/>
      <c r="M7" s="32"/>
      <c r="N7" s="32"/>
    </row>
    <row r="8" spans="1:14" ht="15" customHeight="1" x14ac:dyDescent="0.2">
      <c r="A8" s="63" t="s">
        <v>21</v>
      </c>
      <c r="B8" s="32"/>
      <c r="C8" s="32"/>
      <c r="D8" s="32"/>
      <c r="E8" s="32"/>
      <c r="F8" s="32"/>
      <c r="G8" s="32"/>
      <c r="H8" s="32"/>
      <c r="I8" s="32"/>
      <c r="J8" s="32"/>
      <c r="K8" s="32"/>
      <c r="L8" s="32"/>
      <c r="M8" s="32"/>
      <c r="N8" s="32"/>
    </row>
    <row r="9" spans="1:14" ht="15" customHeight="1" x14ac:dyDescent="0.2">
      <c r="A9" s="63"/>
      <c r="B9" s="32"/>
      <c r="C9" s="32"/>
      <c r="D9" s="32"/>
      <c r="E9" s="32"/>
      <c r="F9" s="32"/>
      <c r="G9" s="32"/>
      <c r="H9" s="32"/>
      <c r="I9" s="32"/>
      <c r="J9" s="32"/>
      <c r="K9" s="32"/>
      <c r="L9" s="32"/>
      <c r="M9" s="32"/>
      <c r="N9" s="32"/>
    </row>
    <row r="10" spans="1:14" ht="15" customHeight="1" x14ac:dyDescent="0.2">
      <c r="A10" s="297" t="s">
        <v>34</v>
      </c>
      <c r="B10" s="392">
        <v>2014</v>
      </c>
      <c r="C10" s="32"/>
      <c r="D10" s="32"/>
      <c r="E10" s="32"/>
      <c r="F10" s="32"/>
      <c r="G10" s="32"/>
      <c r="H10" s="32"/>
      <c r="I10" s="32"/>
      <c r="J10" s="32"/>
      <c r="K10" s="32"/>
      <c r="L10" s="32"/>
      <c r="M10" s="32"/>
      <c r="N10" s="32"/>
    </row>
    <row r="11" spans="1:14" ht="15" customHeight="1" x14ac:dyDescent="0.2">
      <c r="A11" s="35"/>
      <c r="B11" s="35"/>
      <c r="C11" s="35"/>
      <c r="D11" s="35"/>
      <c r="E11" s="35"/>
      <c r="F11" s="35"/>
      <c r="G11" s="35"/>
      <c r="H11" s="35"/>
      <c r="I11" s="35"/>
      <c r="J11" s="35"/>
      <c r="K11" s="35"/>
      <c r="L11" s="35"/>
      <c r="M11" s="558"/>
      <c r="N11" s="32"/>
    </row>
    <row r="12" spans="1:14" ht="15" customHeight="1" x14ac:dyDescent="0.2">
      <c r="A12" s="1677"/>
      <c r="B12" s="1670" t="s">
        <v>51</v>
      </c>
      <c r="C12" s="1671"/>
      <c r="D12" s="304" t="s">
        <v>50</v>
      </c>
      <c r="E12" s="304"/>
      <c r="F12" s="304"/>
      <c r="G12" s="304"/>
      <c r="H12" s="304"/>
      <c r="I12" s="305"/>
      <c r="J12" s="305"/>
      <c r="K12" s="306" t="s">
        <v>24</v>
      </c>
      <c r="L12" s="303"/>
      <c r="M12" s="307"/>
      <c r="N12" s="32"/>
    </row>
    <row r="13" spans="1:14" ht="15" customHeight="1" x14ac:dyDescent="0.2">
      <c r="A13" s="1677"/>
      <c r="B13" s="1672" t="s">
        <v>666</v>
      </c>
      <c r="C13" s="1673"/>
      <c r="D13" s="308" t="s">
        <v>35</v>
      </c>
      <c r="E13" s="308"/>
      <c r="F13" s="308"/>
      <c r="G13" s="308"/>
      <c r="H13" s="308"/>
      <c r="I13" s="1045"/>
      <c r="J13" s="1045"/>
      <c r="K13" s="309" t="s">
        <v>52</v>
      </c>
      <c r="L13" s="1667" t="s">
        <v>25</v>
      </c>
      <c r="M13" s="1668"/>
      <c r="N13" s="32"/>
    </row>
    <row r="14" spans="1:14" ht="42" customHeight="1" x14ac:dyDescent="0.2">
      <c r="A14" s="310"/>
      <c r="B14" s="1674" t="str">
        <f>Cntry!$D$8</f>
        <v xml:space="preserve">Chile </v>
      </c>
      <c r="C14" s="1675"/>
      <c r="D14" s="1669" t="s">
        <v>43</v>
      </c>
      <c r="E14" s="1669"/>
      <c r="F14" s="1669" t="s">
        <v>44</v>
      </c>
      <c r="G14" s="1669"/>
      <c r="H14" s="311" t="s">
        <v>45</v>
      </c>
      <c r="I14" s="1665" t="s">
        <v>42</v>
      </c>
      <c r="J14" s="1666"/>
      <c r="K14" s="312"/>
      <c r="L14" s="1048"/>
      <c r="M14" s="313"/>
      <c r="N14" s="32"/>
    </row>
    <row r="15" spans="1:14" ht="15" customHeight="1" x14ac:dyDescent="0.2">
      <c r="A15" s="40" t="s">
        <v>26</v>
      </c>
      <c r="B15" s="407">
        <f>1995.88785047+64.1535380507</f>
        <v>2060.0413885206999</v>
      </c>
      <c r="C15" s="657"/>
      <c r="D15" s="408">
        <v>106.922563418</v>
      </c>
      <c r="E15" s="1041"/>
      <c r="F15" s="409">
        <v>21.384512683600001</v>
      </c>
      <c r="G15" s="1043"/>
      <c r="H15" s="410"/>
      <c r="I15" s="411">
        <f>SUM(D15,F15)</f>
        <v>128.30707610159999</v>
      </c>
      <c r="J15" s="410"/>
      <c r="K15" s="411">
        <v>7.1281708999999998</v>
      </c>
      <c r="L15" s="1049">
        <f>SUM(B15,I15,K15)</f>
        <v>2195.4766355223001</v>
      </c>
      <c r="M15" s="1064"/>
      <c r="N15" s="32"/>
    </row>
    <row r="16" spans="1:14" ht="15" customHeight="1" x14ac:dyDescent="0.2">
      <c r="A16" s="40" t="s">
        <v>27</v>
      </c>
      <c r="B16" s="428">
        <f>3564.08544726+114.050734312</f>
        <v>3678.1361815719997</v>
      </c>
      <c r="C16" s="1060"/>
      <c r="D16" s="449">
        <v>427.69025367199998</v>
      </c>
      <c r="E16" s="573"/>
      <c r="F16" s="430">
        <v>7.1281708945300002</v>
      </c>
      <c r="G16" s="1060"/>
      <c r="H16" s="431"/>
      <c r="I16" s="432">
        <f t="shared" ref="I16:I19" si="0">SUM(D16,F16)</f>
        <v>434.81842456652998</v>
      </c>
      <c r="J16" s="431"/>
      <c r="K16" s="432"/>
      <c r="L16" s="1049">
        <f t="shared" ref="L16:L18" si="1">SUM(B16,I16)</f>
        <v>4112.9546061385299</v>
      </c>
      <c r="M16" s="1065"/>
      <c r="N16" s="32"/>
    </row>
    <row r="17" spans="1:14" ht="15" customHeight="1" x14ac:dyDescent="0.2">
      <c r="A17" s="40" t="s">
        <v>28</v>
      </c>
      <c r="B17" s="428">
        <f>1831.93991989+57.0253671562</f>
        <v>1888.9652870462</v>
      </c>
      <c r="C17" s="1060"/>
      <c r="D17" s="449">
        <v>235.22963951899999</v>
      </c>
      <c r="E17" s="573"/>
      <c r="F17" s="430">
        <v>0</v>
      </c>
      <c r="G17" s="1060"/>
      <c r="H17" s="431"/>
      <c r="I17" s="432">
        <f t="shared" si="0"/>
        <v>235.22963951899999</v>
      </c>
      <c r="J17" s="431"/>
      <c r="K17" s="432"/>
      <c r="L17" s="1049">
        <f t="shared" si="1"/>
        <v>2124.1949265652001</v>
      </c>
      <c r="M17" s="1065"/>
      <c r="N17" s="32"/>
    </row>
    <row r="18" spans="1:14" ht="15" customHeight="1" x14ac:dyDescent="0.2">
      <c r="A18" s="40" t="s">
        <v>29</v>
      </c>
      <c r="B18" s="428">
        <f>1589.58210948+71.2817089453</f>
        <v>1660.8638184253</v>
      </c>
      <c r="C18" s="1060"/>
      <c r="D18" s="449">
        <v>99.794392523400006</v>
      </c>
      <c r="E18" s="573"/>
      <c r="F18" s="430">
        <v>0</v>
      </c>
      <c r="G18" s="1060"/>
      <c r="H18" s="431"/>
      <c r="I18" s="432">
        <f t="shared" si="0"/>
        <v>99.794392523400006</v>
      </c>
      <c r="J18" s="431"/>
      <c r="K18" s="432"/>
      <c r="L18" s="1049">
        <f t="shared" si="1"/>
        <v>1760.6582109486999</v>
      </c>
      <c r="M18" s="1065"/>
      <c r="N18" s="32"/>
    </row>
    <row r="19" spans="1:14" ht="15" customHeight="1" x14ac:dyDescent="0.2">
      <c r="A19" s="40" t="s">
        <v>577</v>
      </c>
      <c r="B19" s="428">
        <f>370.664886515+21.3845126836</f>
        <v>392.04939919859999</v>
      </c>
      <c r="C19" s="1060"/>
      <c r="D19" s="449">
        <v>7.1281708945300002</v>
      </c>
      <c r="E19" s="573"/>
      <c r="F19" s="430">
        <v>0</v>
      </c>
      <c r="G19" s="1060"/>
      <c r="H19" s="431"/>
      <c r="I19" s="432">
        <f t="shared" si="0"/>
        <v>7.1281708945300002</v>
      </c>
      <c r="J19" s="431"/>
      <c r="K19" s="432"/>
      <c r="L19" s="1049">
        <f>SUM(B19,I19)</f>
        <v>399.17757009312999</v>
      </c>
      <c r="M19" s="1065"/>
      <c r="N19" s="32"/>
    </row>
    <row r="20" spans="1:14" ht="15" customHeight="1" x14ac:dyDescent="0.2">
      <c r="A20" s="46" t="s">
        <v>24</v>
      </c>
      <c r="B20" s="434"/>
      <c r="C20" s="1061"/>
      <c r="D20" s="453"/>
      <c r="E20" s="575"/>
      <c r="F20" s="435"/>
      <c r="G20" s="1061"/>
      <c r="H20" s="436"/>
      <c r="I20" s="437"/>
      <c r="J20" s="436"/>
      <c r="K20" s="437"/>
      <c r="L20" s="1057"/>
      <c r="M20" s="1066"/>
      <c r="N20" s="32"/>
    </row>
    <row r="21" spans="1:14" ht="15" customHeight="1" x14ac:dyDescent="0.2">
      <c r="A21" s="50" t="s">
        <v>31</v>
      </c>
      <c r="B21" s="439">
        <f>SUM(B15:B20)</f>
        <v>9680.0560747627987</v>
      </c>
      <c r="C21" s="1062"/>
      <c r="D21" s="1063">
        <f>SUM(D15:D20)</f>
        <v>876.76502002692996</v>
      </c>
      <c r="E21" s="1059"/>
      <c r="F21" s="440">
        <f>SUM(F15:F20)</f>
        <v>28.512683578130002</v>
      </c>
      <c r="G21" s="1062"/>
      <c r="H21" s="441"/>
      <c r="I21" s="442">
        <f>SUM(I15:I19)</f>
        <v>905.27770360505986</v>
      </c>
      <c r="J21" s="441"/>
      <c r="K21" s="442"/>
      <c r="L21" s="1058">
        <f>SUM(L15:L19)</f>
        <v>10592.461949267859</v>
      </c>
      <c r="M21" s="1067"/>
      <c r="N21" s="32"/>
    </row>
    <row r="22" spans="1:14" ht="15" customHeight="1" x14ac:dyDescent="0.2">
      <c r="A22" s="54" t="s">
        <v>578</v>
      </c>
      <c r="B22" s="32"/>
      <c r="C22" s="32"/>
      <c r="D22" s="32"/>
      <c r="E22" s="32"/>
      <c r="F22" s="32"/>
      <c r="G22" s="32"/>
      <c r="H22" s="32"/>
      <c r="I22" s="32"/>
      <c r="J22" s="32"/>
      <c r="K22" s="32"/>
      <c r="L22" s="32"/>
      <c r="M22" s="32"/>
      <c r="N22" s="32"/>
    </row>
    <row r="23" spans="1:14" ht="15" customHeight="1" x14ac:dyDescent="0.2">
      <c r="A23" s="32"/>
      <c r="B23" s="32"/>
      <c r="C23" s="32"/>
      <c r="D23" s="32"/>
      <c r="E23" s="32"/>
      <c r="F23" s="32"/>
      <c r="G23" s="32"/>
      <c r="H23" s="32"/>
      <c r="I23" s="32"/>
      <c r="J23" s="32"/>
      <c r="K23" s="32"/>
      <c r="L23" s="32"/>
      <c r="M23" s="32"/>
      <c r="N23" s="32"/>
    </row>
    <row r="24" spans="1:14" ht="15" customHeight="1" x14ac:dyDescent="0.2">
      <c r="A24" s="55" t="s">
        <v>32</v>
      </c>
      <c r="B24" s="56"/>
      <c r="C24" s="56"/>
      <c r="D24" s="57"/>
      <c r="E24" s="57"/>
      <c r="F24" s="57"/>
      <c r="G24" s="57"/>
      <c r="H24" s="57"/>
      <c r="I24" s="57"/>
      <c r="J24" s="57"/>
      <c r="K24" s="57"/>
      <c r="L24" s="57"/>
      <c r="M24" s="57"/>
      <c r="N24" s="32"/>
    </row>
    <row r="25" spans="1:14" ht="15" customHeight="1" x14ac:dyDescent="0.2">
      <c r="A25" s="32"/>
      <c r="B25" s="58"/>
      <c r="C25" s="58"/>
      <c r="D25" s="59"/>
      <c r="E25" s="59"/>
      <c r="F25" s="59"/>
      <c r="G25" s="59"/>
      <c r="H25" s="59"/>
      <c r="I25" s="59"/>
      <c r="J25" s="59"/>
      <c r="K25" s="59"/>
      <c r="L25" s="59"/>
      <c r="M25" s="59"/>
      <c r="N25" s="32"/>
    </row>
    <row r="26" spans="1:14" ht="15" customHeight="1" x14ac:dyDescent="0.2">
      <c r="A26" s="32"/>
      <c r="B26" s="58"/>
      <c r="C26" s="58"/>
      <c r="D26" s="59"/>
      <c r="E26" s="59"/>
      <c r="F26" s="59"/>
      <c r="G26" s="59"/>
      <c r="H26" s="59"/>
      <c r="I26" s="59"/>
      <c r="J26" s="59"/>
      <c r="K26" s="59"/>
      <c r="L26" s="59"/>
      <c r="M26" s="59"/>
      <c r="N26" s="32"/>
    </row>
    <row r="27" spans="1:14" ht="15" customHeight="1" x14ac:dyDescent="0.2">
      <c r="A27" s="32"/>
      <c r="B27" s="58"/>
      <c r="C27" s="58"/>
      <c r="D27" s="59"/>
      <c r="E27" s="59"/>
      <c r="F27" s="59"/>
      <c r="G27" s="59"/>
      <c r="H27" s="59"/>
      <c r="I27" s="59"/>
      <c r="J27" s="59"/>
      <c r="K27" s="59"/>
      <c r="L27" s="59"/>
      <c r="M27" s="59"/>
      <c r="N27" s="32"/>
    </row>
    <row r="28" spans="1:14" ht="15" customHeight="1" x14ac:dyDescent="0.2">
      <c r="A28" s="32"/>
      <c r="B28" s="32"/>
      <c r="C28" s="32"/>
      <c r="D28" s="32"/>
      <c r="E28" s="32"/>
      <c r="F28" s="32"/>
      <c r="G28" s="32"/>
      <c r="H28" s="32"/>
      <c r="I28" s="32"/>
      <c r="J28" s="32"/>
      <c r="K28" s="32"/>
      <c r="L28" s="32"/>
      <c r="M28" s="32"/>
      <c r="N28" s="32"/>
    </row>
    <row r="29" spans="1:14" ht="15" customHeight="1" x14ac:dyDescent="0.2">
      <c r="A29" s="55" t="s">
        <v>33</v>
      </c>
      <c r="B29" s="56"/>
      <c r="C29" s="56"/>
      <c r="D29" s="57"/>
      <c r="E29" s="57"/>
      <c r="F29" s="57"/>
      <c r="G29" s="57"/>
      <c r="H29" s="57"/>
      <c r="I29" s="57"/>
      <c r="J29" s="57"/>
      <c r="K29" s="57"/>
      <c r="L29" s="57"/>
      <c r="M29" s="57"/>
      <c r="N29" s="32"/>
    </row>
    <row r="30" spans="1:14" ht="15" customHeight="1" x14ac:dyDescent="0.2">
      <c r="A30" s="32"/>
      <c r="B30" s="58"/>
      <c r="C30" s="58"/>
      <c r="D30" s="59"/>
      <c r="E30" s="59"/>
      <c r="F30" s="59"/>
      <c r="G30" s="59"/>
      <c r="H30" s="59"/>
      <c r="I30" s="59"/>
      <c r="J30" s="59"/>
      <c r="K30" s="59"/>
      <c r="L30" s="59"/>
      <c r="M30" s="59"/>
      <c r="N30" s="32"/>
    </row>
    <row r="31" spans="1:14" ht="15" customHeight="1" x14ac:dyDescent="0.2">
      <c r="A31" s="32"/>
      <c r="B31" s="58"/>
      <c r="C31" s="58"/>
      <c r="D31" s="59"/>
      <c r="E31" s="59"/>
      <c r="F31" s="59"/>
      <c r="G31" s="59"/>
      <c r="H31" s="59"/>
      <c r="I31" s="59"/>
      <c r="J31" s="59"/>
      <c r="K31" s="59"/>
      <c r="L31" s="59"/>
      <c r="M31" s="59"/>
      <c r="N31" s="32"/>
    </row>
    <row r="32" spans="1:14" ht="15" customHeight="1" x14ac:dyDescent="0.2">
      <c r="A32" s="32"/>
      <c r="B32" s="58"/>
      <c r="C32" s="58"/>
      <c r="D32" s="59"/>
      <c r="E32" s="59"/>
      <c r="F32" s="59"/>
      <c r="G32" s="59"/>
      <c r="H32" s="59"/>
      <c r="I32" s="59"/>
      <c r="J32" s="59"/>
      <c r="K32" s="59"/>
      <c r="L32" s="59"/>
      <c r="M32" s="59"/>
      <c r="N32" s="32"/>
    </row>
    <row r="33" spans="1:14" ht="15" customHeight="1" x14ac:dyDescent="0.2">
      <c r="A33" s="32"/>
      <c r="B33" s="32"/>
      <c r="C33" s="32"/>
      <c r="D33" s="32"/>
      <c r="E33" s="32"/>
      <c r="F33" s="32"/>
      <c r="G33" s="32"/>
      <c r="H33" s="32"/>
      <c r="I33" s="32"/>
      <c r="J33" s="32"/>
      <c r="K33" s="32"/>
      <c r="L33" s="32"/>
      <c r="M33" s="32"/>
      <c r="N33" s="32"/>
    </row>
    <row r="34" spans="1:14" ht="12.75" x14ac:dyDescent="0.2">
      <c r="A34" s="55" t="s">
        <v>656</v>
      </c>
      <c r="B34" s="32"/>
      <c r="C34" s="32"/>
      <c r="D34" s="32"/>
      <c r="E34" s="32"/>
      <c r="F34" s="32"/>
      <c r="G34" s="32"/>
      <c r="H34" s="32"/>
      <c r="I34" s="32"/>
      <c r="J34" s="32"/>
      <c r="K34" s="32"/>
      <c r="L34" s="32"/>
      <c r="M34" s="32"/>
      <c r="N34" s="32"/>
    </row>
    <row r="35" spans="1:14" ht="12.75" x14ac:dyDescent="0.2">
      <c r="A35" s="32"/>
      <c r="B35" s="32"/>
      <c r="C35" s="32"/>
      <c r="D35" s="32"/>
      <c r="E35" s="32"/>
      <c r="F35" s="32"/>
      <c r="G35" s="32"/>
      <c r="H35" s="32"/>
      <c r="I35" s="32"/>
      <c r="J35" s="32"/>
      <c r="K35" s="32"/>
      <c r="L35" s="32"/>
      <c r="M35" s="32"/>
      <c r="N35" s="32"/>
    </row>
    <row r="36" spans="1:14" ht="12.75" x14ac:dyDescent="0.2">
      <c r="A36" s="32"/>
      <c r="B36" s="548"/>
      <c r="C36" s="32"/>
      <c r="D36" s="32"/>
      <c r="E36" s="32"/>
      <c r="F36" s="32"/>
      <c r="G36" s="32"/>
      <c r="H36" s="32"/>
      <c r="I36" s="32"/>
      <c r="J36" s="32"/>
      <c r="K36" s="32"/>
      <c r="L36" s="32"/>
      <c r="M36" s="32"/>
      <c r="N36" s="32"/>
    </row>
    <row r="37" spans="1:14" ht="12.75" x14ac:dyDescent="0.2">
      <c r="A37" s="32"/>
      <c r="B37" s="549"/>
      <c r="C37" s="32"/>
      <c r="D37" s="32"/>
      <c r="E37" s="32"/>
      <c r="F37" s="32"/>
      <c r="G37" s="32"/>
      <c r="H37" s="32"/>
      <c r="I37" s="32"/>
      <c r="J37" s="32"/>
      <c r="K37" s="32"/>
      <c r="L37" s="32"/>
      <c r="M37" s="32"/>
      <c r="N37" s="32"/>
    </row>
    <row r="38" spans="1:14" ht="12.75" x14ac:dyDescent="0.2">
      <c r="A38" s="32"/>
      <c r="B38" s="549"/>
      <c r="C38" s="32"/>
      <c r="D38" s="32"/>
      <c r="E38" s="32"/>
      <c r="F38" s="32"/>
      <c r="G38" s="32"/>
      <c r="H38" s="32"/>
      <c r="I38" s="32"/>
      <c r="J38" s="32"/>
      <c r="K38" s="32"/>
      <c r="L38" s="32"/>
      <c r="M38" s="32"/>
      <c r="N38" s="32"/>
    </row>
    <row r="39" spans="1:14" ht="12.75" x14ac:dyDescent="0.2">
      <c r="A39" s="32"/>
      <c r="B39" s="549"/>
      <c r="C39" s="32"/>
      <c r="D39" s="32"/>
      <c r="E39" s="32"/>
      <c r="F39" s="32"/>
      <c r="G39" s="32"/>
      <c r="H39" s="32"/>
      <c r="I39" s="32"/>
      <c r="J39" s="32"/>
      <c r="K39" s="32"/>
      <c r="L39" s="32"/>
      <c r="M39" s="32"/>
      <c r="N39" s="32"/>
    </row>
    <row r="40" spans="1:14" ht="12.75" x14ac:dyDescent="0.2">
      <c r="A40" s="32"/>
      <c r="B40" s="32"/>
      <c r="C40" s="32"/>
      <c r="D40" s="32"/>
      <c r="E40" s="32"/>
      <c r="F40" s="32"/>
      <c r="G40" s="32"/>
      <c r="H40" s="32"/>
      <c r="I40" s="32"/>
      <c r="J40" s="32"/>
      <c r="K40" s="32"/>
      <c r="L40" s="32"/>
      <c r="M40" s="32"/>
      <c r="N40" s="32"/>
    </row>
  </sheetData>
  <sheetProtection password="CD9E" sheet="1" objects="1" scenarios="1" selectLockedCells="1"/>
  <mergeCells count="8">
    <mergeCell ref="A12:A13"/>
    <mergeCell ref="B12:C12"/>
    <mergeCell ref="B13:C13"/>
    <mergeCell ref="L13:M13"/>
    <mergeCell ref="B14:C14"/>
    <mergeCell ref="D14:E14"/>
    <mergeCell ref="F14:G14"/>
    <mergeCell ref="I14:J14"/>
  </mergeCells>
  <dataValidations count="1">
    <dataValidation type="list" allowBlank="1" showInputMessage="1" showErrorMessage="1" sqref="B36:B39">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23622047244094491" right="0.23622047244094491" top="0.98425196850393704" bottom="0.98425196850393704" header="0.51181102362204722" footer="0.51181102362204722"/>
  <pageSetup paperSize="9" scale="63" orientation="landscape" r:id="rId1"/>
  <headerFooter alignWithMargins="0">
    <oddHeader>&amp;LCDH&amp;C &amp;F&amp;R&amp;A</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45</vt:i4>
      </vt:variant>
      <vt:variant>
        <vt:lpstr>Rangos con nombre</vt:lpstr>
      </vt:variant>
      <vt:variant>
        <vt:i4>7</vt:i4>
      </vt:variant>
    </vt:vector>
  </HeadingPairs>
  <TitlesOfParts>
    <vt:vector size="52" baseType="lpstr">
      <vt:lpstr>List of tables</vt:lpstr>
      <vt:lpstr>ExplNote</vt:lpstr>
      <vt:lpstr>Cntry</vt:lpstr>
      <vt:lpstr>Flags</vt:lpstr>
      <vt:lpstr>P1</vt:lpstr>
      <vt:lpstr>P2.1</vt:lpstr>
      <vt:lpstr>P2.2</vt:lpstr>
      <vt:lpstr>P3</vt:lpstr>
      <vt:lpstr>P4</vt:lpstr>
      <vt:lpstr>P5</vt:lpstr>
      <vt:lpstr>P6</vt:lpstr>
      <vt:lpstr>P7</vt:lpstr>
      <vt:lpstr>P8</vt:lpstr>
      <vt:lpstr>ED1</vt:lpstr>
      <vt:lpstr>ED2</vt:lpstr>
      <vt:lpstr>ED3</vt:lpstr>
      <vt:lpstr>ED4</vt:lpstr>
      <vt:lpstr>ED5</vt:lpstr>
      <vt:lpstr>ED6</vt:lpstr>
      <vt:lpstr>EMP1</vt:lpstr>
      <vt:lpstr>EMP2.1</vt:lpstr>
      <vt:lpstr>EMP2.2</vt:lpstr>
      <vt:lpstr>EMP2.3</vt:lpstr>
      <vt:lpstr>EMP3</vt:lpstr>
      <vt:lpstr>EMP4</vt:lpstr>
      <vt:lpstr>EMP5</vt:lpstr>
      <vt:lpstr>EMP6.1</vt:lpstr>
      <vt:lpstr>EMP6.2</vt:lpstr>
      <vt:lpstr>EMP7</vt:lpstr>
      <vt:lpstr>EMP8</vt:lpstr>
      <vt:lpstr>EMP9</vt:lpstr>
      <vt:lpstr>EMP10</vt:lpstr>
      <vt:lpstr>PERC1.1</vt:lpstr>
      <vt:lpstr>PERC1.2</vt:lpstr>
      <vt:lpstr>PERC2.1</vt:lpstr>
      <vt:lpstr>PERC2.2</vt:lpstr>
      <vt:lpstr>IMOB1</vt:lpstr>
      <vt:lpstr>IMOB2</vt:lpstr>
      <vt:lpstr>IMOB3</vt:lpstr>
      <vt:lpstr>IMOB4</vt:lpstr>
      <vt:lpstr>OMOB1</vt:lpstr>
      <vt:lpstr>OMOB2</vt:lpstr>
      <vt:lpstr>Tools</vt:lpstr>
      <vt:lpstr>OUTP1</vt:lpstr>
      <vt:lpstr>OUTP2</vt:lpstr>
      <vt:lpstr>CntryName</vt:lpstr>
      <vt:lpstr>CtzCov</vt:lpstr>
      <vt:lpstr>GeoCov</vt:lpstr>
      <vt:lpstr>Methodo</vt:lpstr>
      <vt:lpstr>ModelQuest</vt:lpstr>
      <vt:lpstr>Modules</vt:lpstr>
      <vt:lpstr>RCntryName</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Mace_s</dc:creator>
  <cp:lastModifiedBy>Carlos Felipe Palma Amestoy</cp:lastModifiedBy>
  <cp:lastPrinted>2016-02-08T14:26:49Z</cp:lastPrinted>
  <dcterms:created xsi:type="dcterms:W3CDTF">2008-11-06T13:27:25Z</dcterms:created>
  <dcterms:modified xsi:type="dcterms:W3CDTF">2016-04-29T12:22:11Z</dcterms:modified>
</cp:coreProperties>
</file>