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ehl\Desktop\"/>
    </mc:Choice>
  </mc:AlternateContent>
  <xr:revisionPtr revIDLastSave="0" documentId="13_ncr:1_{B894BAF7-9704-4607-8498-C67D0194F612}" xr6:coauthVersionLast="47" xr6:coauthVersionMax="47" xr10:uidLastSave="{00000000-0000-0000-0000-000000000000}"/>
  <bookViews>
    <workbookView xWindow="-90" yWindow="-90" windowWidth="19380" windowHeight="10980" activeTab="3" xr2:uid="{95C107B9-26BB-4A9F-B3CE-3B7A6E48ABFD}"/>
  </bookViews>
  <sheets>
    <sheet name="France-Morr" sheetId="23" r:id="rId1"/>
    <sheet name="Sheet4 (2)" sheetId="2" r:id="rId2"/>
    <sheet name="RiskSerializationData8" sheetId="34" state="hidden" r:id="rId3"/>
    <sheet name="Sheet4" sheetId="1" r:id="rId4"/>
    <sheet name="Sheet1" sheetId="7" r:id="rId5"/>
  </sheets>
  <externalReferences>
    <externalReference r:id="rId6"/>
  </externalReference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wayAvg">[1]Sheet1!$A$9</definedName>
    <definedName name="BrowseRecords" localSheetId="2">RiskSerializationData8!$6:$8</definedName>
    <definedName name="GFa">[1]Sheet1!$A$8</definedName>
    <definedName name="GFbyGP">[1]Sheet2!$A$5</definedName>
    <definedName name="GPa">[1]Sheet1!$A$7</definedName>
    <definedName name="HomeAverage">[1]Sheet1!$A$5</definedName>
    <definedName name="HomeGame">[1]Sheet1!$A$3</definedName>
    <definedName name="HomeGF">[1]Sheet1!$A$4</definedName>
    <definedName name="Pal_Workbook_GUID" hidden="1">"TLMMD5KJGGZ4URH4K1JPHLUZ"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TRUE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"1"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erializationHeader" localSheetId="2">RiskSerializationData8!$A$1:$B$3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34" l="1"/>
  <c r="A8" i="34"/>
  <c r="L7" i="34"/>
  <c r="A7" i="34"/>
  <c r="L6" i="34"/>
  <c r="A6" i="34"/>
  <c r="T49" i="1"/>
  <c r="V18" i="1" a="1"/>
  <c r="V18" i="1" s="1"/>
  <c r="V19" i="1" a="1"/>
  <c r="V19" i="1" s="1"/>
  <c r="V20" i="1" a="1"/>
  <c r="V20" i="1" s="1"/>
  <c r="AL9" i="1" a="1"/>
  <c r="AL9" i="1" s="1"/>
  <c r="AO10" i="1" s="1"/>
  <c r="AQ10" i="1" s="1"/>
  <c r="T9" i="1" a="1"/>
  <c r="T9" i="1" s="1"/>
  <c r="U9" i="1" a="1"/>
  <c r="U9" i="1" s="1"/>
  <c r="J3" i="1"/>
  <c r="J35" i="1" s="1"/>
  <c r="S33" i="1"/>
  <c r="T33" i="1" s="1"/>
  <c r="V33" i="1" s="1"/>
  <c r="T28" i="1"/>
  <c r="V28" i="1" s="1"/>
  <c r="T29" i="1"/>
  <c r="V29" i="1" s="1"/>
  <c r="T30" i="1"/>
  <c r="V30" i="1" s="1"/>
  <c r="T31" i="1"/>
  <c r="V31" i="1" s="1"/>
  <c r="T32" i="1"/>
  <c r="V32" i="1" s="1"/>
  <c r="T27" i="1"/>
  <c r="V27" i="1" s="1"/>
  <c r="K14" i="1"/>
  <c r="J14" i="1"/>
  <c r="K3" i="1"/>
  <c r="K10" i="1"/>
  <c r="J10" i="1"/>
  <c r="K23" i="1"/>
  <c r="K35" i="1"/>
  <c r="O30" i="1" s="1"/>
  <c r="J23" i="1"/>
  <c r="K20" i="1"/>
  <c r="J20" i="1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2" i="7"/>
  <c r="K34" i="7" s="1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2" i="7"/>
  <c r="J34" i="7" s="1"/>
  <c r="K19" i="2"/>
  <c r="J19" i="2"/>
  <c r="K18" i="2"/>
  <c r="J18" i="2"/>
  <c r="K17" i="2"/>
  <c r="J17" i="2"/>
  <c r="K16" i="2"/>
  <c r="J16" i="2"/>
  <c r="K15" i="2"/>
  <c r="J15" i="2"/>
  <c r="K14" i="2"/>
  <c r="J14" i="2"/>
  <c r="K13" i="2"/>
  <c r="J13" i="2"/>
  <c r="K12" i="2"/>
  <c r="J12" i="2"/>
  <c r="K11" i="2"/>
  <c r="J11" i="2"/>
  <c r="K10" i="2"/>
  <c r="J10" i="2"/>
  <c r="K9" i="2"/>
  <c r="J9" i="2"/>
  <c r="K8" i="2"/>
  <c r="J8" i="2"/>
  <c r="K7" i="2"/>
  <c r="J7" i="2"/>
  <c r="K6" i="2"/>
  <c r="J6" i="2"/>
  <c r="K5" i="2"/>
  <c r="J5" i="2"/>
  <c r="K4" i="2"/>
  <c r="J4" i="2"/>
  <c r="K3" i="2"/>
  <c r="K20" i="2" s="1"/>
  <c r="J3" i="2"/>
  <c r="J20" i="2" s="1"/>
  <c r="T7" i="1"/>
  <c r="U7" i="1"/>
  <c r="T6" i="2"/>
  <c r="Y7" i="2"/>
  <c r="Y12" i="2"/>
  <c r="W18" i="2" s="1"/>
  <c r="Z12" i="2"/>
  <c r="Y14" i="2"/>
  <c r="Z14" i="2"/>
  <c r="Y13" i="2"/>
  <c r="Z13" i="2" s="1"/>
  <c r="W19" i="2"/>
  <c r="AA19" i="2" s="1"/>
  <c r="U6" i="2"/>
  <c r="W20" i="2"/>
  <c r="AA20" i="2" s="1"/>
  <c r="O27" i="1"/>
  <c r="O9" i="1"/>
  <c r="O16" i="1"/>
  <c r="O25" i="1"/>
  <c r="O12" i="1"/>
  <c r="O10" i="1"/>
  <c r="O15" i="1"/>
  <c r="O6" i="1"/>
  <c r="O22" i="1"/>
  <c r="O19" i="1"/>
  <c r="O11" i="1"/>
  <c r="O24" i="1"/>
  <c r="O31" i="1"/>
  <c r="O29" i="1"/>
  <c r="O32" i="1"/>
  <c r="O34" i="1"/>
  <c r="Y7" i="1" a="1"/>
  <c r="Y7" i="1" l="1"/>
  <c r="N12" i="2"/>
  <c r="N3" i="2"/>
  <c r="N13" i="2"/>
  <c r="N17" i="2"/>
  <c r="N4" i="2"/>
  <c r="N14" i="2"/>
  <c r="N8" i="2"/>
  <c r="N5" i="2"/>
  <c r="N15" i="2"/>
  <c r="N19" i="2"/>
  <c r="N9" i="2"/>
  <c r="N7" i="2"/>
  <c r="N18" i="2"/>
  <c r="N11" i="2"/>
  <c r="N6" i="2"/>
  <c r="N16" i="2"/>
  <c r="N10" i="2"/>
  <c r="O8" i="2"/>
  <c r="O10" i="2"/>
  <c r="O3" i="2"/>
  <c r="U8" i="2" s="1"/>
  <c r="O16" i="2"/>
  <c r="O14" i="2"/>
  <c r="O7" i="2"/>
  <c r="O9" i="2"/>
  <c r="O11" i="2"/>
  <c r="O15" i="2"/>
  <c r="O4" i="2"/>
  <c r="O13" i="2"/>
  <c r="O19" i="2"/>
  <c r="O5" i="2"/>
  <c r="O6" i="2"/>
  <c r="O17" i="2"/>
  <c r="O18" i="2"/>
  <c r="O12" i="2"/>
  <c r="N17" i="7"/>
  <c r="N23" i="7"/>
  <c r="N25" i="7"/>
  <c r="N4" i="7"/>
  <c r="N10" i="7"/>
  <c r="N29" i="7"/>
  <c r="N13" i="7"/>
  <c r="N12" i="7"/>
  <c r="N19" i="7"/>
  <c r="N30" i="7"/>
  <c r="N3" i="7"/>
  <c r="N31" i="7"/>
  <c r="N9" i="7"/>
  <c r="N27" i="7"/>
  <c r="N22" i="7"/>
  <c r="N20" i="7"/>
  <c r="N28" i="7"/>
  <c r="N5" i="7"/>
  <c r="N21" i="7"/>
  <c r="N16" i="7"/>
  <c r="N26" i="7"/>
  <c r="N11" i="7"/>
  <c r="N33" i="7"/>
  <c r="N18" i="7"/>
  <c r="N32" i="7"/>
  <c r="N8" i="7"/>
  <c r="N7" i="7"/>
  <c r="N15" i="7"/>
  <c r="N24" i="7"/>
  <c r="N6" i="7"/>
  <c r="N14" i="7"/>
  <c r="N2" i="7"/>
  <c r="O23" i="7"/>
  <c r="O32" i="7"/>
  <c r="O16" i="7"/>
  <c r="O29" i="7"/>
  <c r="O26" i="7"/>
  <c r="O13" i="7"/>
  <c r="O9" i="7"/>
  <c r="O27" i="7"/>
  <c r="O33" i="7"/>
  <c r="O21" i="7"/>
  <c r="O7" i="7"/>
  <c r="O6" i="7"/>
  <c r="O12" i="7"/>
  <c r="O20" i="7"/>
  <c r="O17" i="7"/>
  <c r="O10" i="7"/>
  <c r="O18" i="7"/>
  <c r="O19" i="7"/>
  <c r="O8" i="7"/>
  <c r="O15" i="7"/>
  <c r="O4" i="7"/>
  <c r="O3" i="7"/>
  <c r="O11" i="7"/>
  <c r="O22" i="7"/>
  <c r="O14" i="7"/>
  <c r="O2" i="7"/>
  <c r="O25" i="7"/>
  <c r="O5" i="7"/>
  <c r="O24" i="7"/>
  <c r="O28" i="7"/>
  <c r="O30" i="7"/>
  <c r="O31" i="7"/>
  <c r="AA18" i="2"/>
  <c r="Z18" i="2"/>
  <c r="AB18" i="2" s="1"/>
  <c r="AC19" i="2" s="1"/>
  <c r="N21" i="1"/>
  <c r="N6" i="1"/>
  <c r="N18" i="1"/>
  <c r="N31" i="1"/>
  <c r="N3" i="1"/>
  <c r="N16" i="1"/>
  <c r="N24" i="1"/>
  <c r="N4" i="1"/>
  <c r="N15" i="1"/>
  <c r="N22" i="1"/>
  <c r="N7" i="1"/>
  <c r="N20" i="1"/>
  <c r="N14" i="1"/>
  <c r="N10" i="1"/>
  <c r="N19" i="1"/>
  <c r="N8" i="1"/>
  <c r="N28" i="1"/>
  <c r="N12" i="1"/>
  <c r="N34" i="1"/>
  <c r="N23" i="1"/>
  <c r="N13" i="1"/>
  <c r="N26" i="1"/>
  <c r="N33" i="1"/>
  <c r="N9" i="1"/>
  <c r="N32" i="1"/>
  <c r="N17" i="1"/>
  <c r="N27" i="1"/>
  <c r="N11" i="1"/>
  <c r="N5" i="1"/>
  <c r="N30" i="1"/>
  <c r="N25" i="1"/>
  <c r="N29" i="1"/>
  <c r="Z19" i="2"/>
  <c r="AB19" i="2" s="1"/>
  <c r="Z20" i="2"/>
  <c r="AB20" i="2" s="1"/>
  <c r="O7" i="1"/>
  <c r="O8" i="1"/>
  <c r="O13" i="1"/>
  <c r="O18" i="1"/>
  <c r="O14" i="1"/>
  <c r="O20" i="1"/>
  <c r="O5" i="1"/>
  <c r="O23" i="1"/>
  <c r="O26" i="1"/>
  <c r="O3" i="1"/>
  <c r="U8" i="1" s="1"/>
  <c r="O4" i="1"/>
  <c r="O17" i="1"/>
  <c r="O28" i="1"/>
  <c r="O33" i="1"/>
  <c r="O21" i="1"/>
  <c r="X12" i="1" a="1"/>
  <c r="AB6" i="1" a="1"/>
  <c r="AB6" i="1" l="1"/>
  <c r="X12" i="1"/>
  <c r="S39" i="1"/>
  <c r="T39" i="1" s="1"/>
  <c r="V39" i="1" s="1"/>
  <c r="T58" i="1"/>
  <c r="V58" i="1" s="1"/>
  <c r="T59" i="1"/>
  <c r="V59" i="1" s="1"/>
  <c r="S44" i="1"/>
  <c r="T44" i="1" s="1"/>
  <c r="V44" i="1" s="1"/>
  <c r="S41" i="1"/>
  <c r="T41" i="1" s="1"/>
  <c r="V41" i="1" s="1"/>
  <c r="S40" i="1"/>
  <c r="T40" i="1" s="1"/>
  <c r="V40" i="1" s="1"/>
  <c r="S38" i="1"/>
  <c r="S42" i="1"/>
  <c r="T42" i="1" s="1"/>
  <c r="V42" i="1" s="1"/>
  <c r="S43" i="1"/>
  <c r="T43" i="1" s="1"/>
  <c r="V43" i="1" s="1"/>
  <c r="T56" i="1"/>
  <c r="V56" i="1" s="1"/>
  <c r="T57" i="1"/>
  <c r="V57" i="1" s="1"/>
  <c r="T8" i="1"/>
  <c r="T8" i="2"/>
  <c r="X13" i="1" a="1"/>
  <c r="X13" i="1" l="1"/>
  <c r="S46" i="1"/>
  <c r="T46" i="1" s="1"/>
  <c r="V46" i="1" s="1"/>
  <c r="S45" i="1"/>
  <c r="T52" i="1"/>
  <c r="V52" i="1" s="1"/>
  <c r="T51" i="1"/>
  <c r="V51" i="1" s="1"/>
  <c r="S26" i="1"/>
  <c r="S34" i="1" s="1"/>
  <c r="T50" i="1"/>
  <c r="V50" i="1" s="1"/>
  <c r="V49" i="1"/>
  <c r="X14" i="1" a="1"/>
  <c r="X14" i="1" l="1"/>
  <c r="Y25" i="1"/>
  <c r="AA25" i="1" s="1"/>
  <c r="T45" i="1"/>
  <c r="V45" i="1" s="1"/>
  <c r="Y26" i="1"/>
  <c r="AA26" i="1" s="1"/>
  <c r="T34" i="1"/>
  <c r="V34" i="1" s="1"/>
  <c r="Y12" i="1" l="1"/>
  <c r="AB18" i="1" s="1"/>
  <c r="AD18" i="1" s="1"/>
  <c r="X29" i="1"/>
  <c r="Z29" i="1" s="1"/>
  <c r="X31" i="1"/>
  <c r="Z31" i="1" s="1"/>
  <c r="Z12" i="1" l="1"/>
  <c r="W18" i="1"/>
  <c r="X33" i="1"/>
  <c r="Z33" i="1" s="1"/>
  <c r="Y13" i="1"/>
  <c r="AB19" i="1" s="1"/>
  <c r="AD19" i="1" s="1"/>
  <c r="X35" i="1"/>
  <c r="Z35" i="1" s="1"/>
  <c r="Z18" i="1" l="1"/>
  <c r="AA18" i="1"/>
  <c r="Y14" i="1"/>
  <c r="Z13" i="1"/>
  <c r="W19" i="1"/>
  <c r="Z14" i="1" l="1"/>
  <c r="W20" i="1"/>
  <c r="AB20" i="1"/>
  <c r="AD20" i="1" s="1"/>
  <c r="Z19" i="1"/>
  <c r="AA19" i="1"/>
  <c r="Z20" i="1" l="1"/>
  <c r="AA20" i="1"/>
  <c r="AA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<sst xmlns="http://schemas.openxmlformats.org/spreadsheetml/2006/main" count="269" uniqueCount="131">
  <si>
    <t>W</t>
  </si>
  <si>
    <t>D</t>
  </si>
  <si>
    <t>L</t>
  </si>
  <si>
    <t> USA</t>
  </si>
  <si>
    <t> Belgium</t>
  </si>
  <si>
    <t> Denmark</t>
  </si>
  <si>
    <t> Iran</t>
  </si>
  <si>
    <t> Japan</t>
  </si>
  <si>
    <t> Serbia</t>
  </si>
  <si>
    <t> Senegal</t>
  </si>
  <si>
    <t> Costa Rica</t>
  </si>
  <si>
    <t> Australia</t>
  </si>
  <si>
    <t> Uruguay</t>
  </si>
  <si>
    <t> Morocco</t>
  </si>
  <si>
    <t> Spain</t>
  </si>
  <si>
    <t> Portugal</t>
  </si>
  <si>
    <t> Croatia</t>
  </si>
  <si>
    <t> Netherlands</t>
  </si>
  <si>
    <t> Argentina</t>
  </si>
  <si>
    <t> Brazil</t>
  </si>
  <si>
    <t>xga</t>
  </si>
  <si>
    <t>xg</t>
  </si>
  <si>
    <t>GD</t>
  </si>
  <si>
    <t>GA</t>
  </si>
  <si>
    <t>GF</t>
  </si>
  <si>
    <t>P</t>
  </si>
  <si>
    <t>World Cup</t>
  </si>
  <si>
    <t xml:space="preserve">Attack </t>
  </si>
  <si>
    <t>Defense</t>
  </si>
  <si>
    <t>Team</t>
  </si>
  <si>
    <t>Prediction</t>
  </si>
  <si>
    <t>GPG</t>
  </si>
  <si>
    <t>GaPG</t>
  </si>
  <si>
    <t>Result</t>
  </si>
  <si>
    <t>Team 1 Win</t>
  </si>
  <si>
    <t xml:space="preserve">Team 2 Win </t>
  </si>
  <si>
    <t>Draw</t>
  </si>
  <si>
    <t>Stats</t>
  </si>
  <si>
    <t>%</t>
  </si>
  <si>
    <t>Decimal</t>
  </si>
  <si>
    <t>American</t>
  </si>
  <si>
    <t>Bet</t>
  </si>
  <si>
    <t>My Odds</t>
  </si>
  <si>
    <t>Given Odds</t>
  </si>
  <si>
    <t xml:space="preserve">Profit </t>
  </si>
  <si>
    <t>Decision</t>
  </si>
  <si>
    <t>Team #</t>
  </si>
  <si>
    <t>Max Profit</t>
  </si>
  <si>
    <t>Best Profit</t>
  </si>
  <si>
    <t>Written By Version</t>
  </si>
  <si>
    <t>8.2.2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</si>
  <si>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</si>
  <si>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</si>
  <si>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</si>
  <si>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</si>
  <si>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</si>
  <si>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</si>
  <si>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</si>
  <si>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</si>
  <si>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</si>
  <si>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</si>
  <si>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</si>
  <si>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</si>
  <si>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</si>
  <si>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</si>
  <si>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</si>
  <si>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</si>
  <si>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</si>
  <si>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</si>
  <si>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</si>
  <si>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</si>
  <si>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GF1_rK0qDwEAEwB4AQwjACcAPABIAFwAXQBrAHkAUgF0AW4BKwD//wAAAAAAAAEEAAAAAAdHZW5lcmFsAAAAAQZSZXN1bHQBAAEBEAACAAEKU3RhdGlzdGljcwMBAQD/AQEBAQEAAQEBAAQAAAABAQEBAQABAQEABAAAAAqYAAKvAALBAALTAALlAAL3AAIJAQIbAQItAQI/AQITAAZSZXN1bHQAAAD/3BQ8AQAAAgACAA4ABVNpbSAyAAElAQAAAgACAA4ABVNpbSAzAAJPAQAAAgACAA4ABVNpbSA0AAOMAQAAAgACAA4ABVNpbSA1AARMAQAAAgACAA4ABVNpbSA2AAU5AQAAAgACAA4ABVNpbSA3AAZOAQAAAgACAA4ABVNpbSA4AAcjAQAAAgACAA4ABVNpbSA5AAgpAQAAAgACAA8ABlNpbSAxMAAJYAEAAAIAAgBaAWQBAQEDAZqZmZmZmak/AABmZmZmZmbuPwAABQABAQEAAQEBAA==</t>
  </si>
  <si>
    <t> South Korea</t>
  </si>
  <si>
    <t> Ecuador</t>
  </si>
  <si>
    <t> Ghana</t>
  </si>
  <si>
    <t> Tunisia</t>
  </si>
  <si>
    <t> France</t>
  </si>
  <si>
    <t> Germany</t>
  </si>
  <si>
    <t> Poland</t>
  </si>
  <si>
    <t> Switzerland</t>
  </si>
  <si>
    <t> Saudi Arabia</t>
  </si>
  <si>
    <t> England</t>
  </si>
  <si>
    <t> Mexico</t>
  </si>
  <si>
    <t> Qatar</t>
  </si>
  <si>
    <t> Cameroon</t>
  </si>
  <si>
    <t> Canada</t>
  </si>
  <si>
    <t> Wales</t>
  </si>
  <si>
    <t>Xg</t>
  </si>
  <si>
    <t>Attack</t>
  </si>
  <si>
    <t>Odds</t>
  </si>
  <si>
    <t>Bookie</t>
  </si>
  <si>
    <t>Profit</t>
  </si>
  <si>
    <t>RiskTarget($Y$7,X7)</t>
  </si>
  <si>
    <t>RiskTarget($Y$7,X8)-X12</t>
  </si>
  <si>
    <t>RiskTarget($Y$7,X9)-X12-X13</t>
  </si>
  <si>
    <t>RiskUniform(1,20)</t>
  </si>
  <si>
    <t>RiskPoisson(T8)</t>
  </si>
  <si>
    <t>RiskPoisson(U8)</t>
  </si>
  <si>
    <t>RiskTarget(Y7,AB11,AB11)</t>
  </si>
  <si>
    <t xml:space="preserve">mean </t>
  </si>
  <si>
    <t>1/AB12</t>
  </si>
  <si>
    <t>IF(AC12&gt;=2,(AC12-1)*100,(-100)/(AC12-1))</t>
  </si>
  <si>
    <t>Goals</t>
  </si>
  <si>
    <t>Moneyline</t>
  </si>
  <si>
    <t>Goals Scored</t>
  </si>
  <si>
    <t>Team 1</t>
  </si>
  <si>
    <t>Team 2</t>
  </si>
  <si>
    <t>To Score</t>
  </si>
  <si>
    <t xml:space="preserve">Not To </t>
  </si>
  <si>
    <t>Not to</t>
  </si>
  <si>
    <t>Both Teams to Score</t>
  </si>
  <si>
    <t>Yes</t>
  </si>
  <si>
    <t>Given</t>
  </si>
  <si>
    <t xml:space="preserve">Decision </t>
  </si>
  <si>
    <t>No</t>
  </si>
  <si>
    <t>Goal Range</t>
  </si>
  <si>
    <t>Over 1.5</t>
  </si>
  <si>
    <t>Under 1.5</t>
  </si>
  <si>
    <t>Over 2.5</t>
  </si>
  <si>
    <t>Under 2.5</t>
  </si>
  <si>
    <t>My odds</t>
  </si>
  <si>
    <t xml:space="preserve">Given </t>
  </si>
  <si>
    <t>Wager</t>
  </si>
  <si>
    <t>1 Win And Both Score</t>
  </si>
  <si>
    <t>1 To Nil</t>
  </si>
  <si>
    <t>2 and both</t>
  </si>
  <si>
    <t>2 to nil</t>
  </si>
  <si>
    <t xml:space="preserve">Money in hand </t>
  </si>
  <si>
    <t>Amount to wager</t>
  </si>
  <si>
    <t>GF1_rK0qDwEAEwAaAQwjACcAPAB4AIwAjQCbAKkA9gAWARABKwD//wAAAAAAAAEEAAAAAAdHZW5lcmFsAAAAAQ5Hb2FscyAvIEZyYW5jZQEoQ29tcGFyaXNvbiB3aXRoIFJpc2tQb2lzc29uKDEuNDUxOTcwMTk5KQEBEAACAAEKU3RhdGlzdGljcwMBAQD/AQEBAQEAAQEBAAQAAAABAQEBAQABAQEABAAAAAKwAALPAAAbAA5Hb2FscyAvIEZyYW5jZQAAAP8AAP8BAAACAAIAJQAYUmlza1BvaXNzb24oMS40NTE5NzAxOTkpAAEA/wAAAAEAAAIA/gAHAQEBAwEAAAAAAADwvwHNzMzMzMzsPwEFAAEBAQABAQEA</t>
  </si>
  <si>
    <t>GF1_rK0qDwEAEwAgAQwjACcAPAB7AI8AkACeAKwA/AAcARYBKwD//wAAAAAAAAEEAAAAAAdHZW5lcmFsAAAAARFHb2FscyAvIEFyZ2VudGluYQEoQ29tcGFyaXNvbiB3aXRoIFJpc2tQb2lzc29uKDIuMzY5OTYwMjY1KQEBEAACAAEKU3RhdGlzdGljcwMBAQD/AQEBAQEAAQEBAAQAAAABAQEBAQABAQEABAAAAAKzAALVAAAeABFHb2FscyAvIEFyZ2VudGluYQAAAP8AAP8BAAACAAIAJQAYUmlza1BvaXNzb24oMi4zNjk5NjAyNjUpAAEA/wAAAAEAAAIABAENAQEBAwGgmZmZmZnZPwEAAAAAAADwfwEFAAEBAQABAQ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</si>
</sst>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00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2" fillId="2" borderId="1" xfId="2"/>
    <xf numFmtId="10" fontId="0" fillId="0" borderId="0" xfId="1" applyNumberFormat="1" applyFont="1"/>
    <xf numFmtId="44" fontId="0" fillId="0" borderId="0" xfId="3" applyFont="1"/>
    <xf numFmtId="0" fontId="0" fillId="0" borderId="0" xfId="1" applyNumberFormat="1" applyFont="1"/>
    <xf numFmtId="44" fontId="0" fillId="0" borderId="0" xfId="0" applyNumberFormat="1"/>
    <xf numFmtId="0" fontId="4" fillId="3" borderId="0" xfId="4"/>
    <xf numFmtId="10" fontId="0" fillId="0" borderId="0" xfId="0" applyNumberFormat="1"/>
    <xf numFmtId="9" fontId="0" fillId="0" borderId="0" xfId="1" applyFont="1"/>
    <xf numFmtId="0" fontId="5" fillId="4" borderId="0" xfId="5"/>
    <xf numFmtId="10" fontId="5" fillId="4" borderId="0" xfId="5" applyNumberFormat="1"/>
    <xf numFmtId="164" fontId="0" fillId="0" borderId="0" xfId="0" applyNumberFormat="1"/>
  </cellXfs>
  <cellStyles count="6">
    <cellStyle name="Bad" xfId="5" builtinId="27"/>
    <cellStyle name="Currency" xfId="3" builtinId="4"/>
    <cellStyle name="Good" xfId="4" builtinId="26"/>
    <cellStyle name="Input" xfId="2" builtinId="20"/>
    <cellStyle name="Normal" xfId="0" builtinId="0"/>
    <cellStyle name="Percent" xfId="1" builtinId="5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al/StatProject%20(version%20mexican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last 5 calc"/>
      <sheetName val="allszn stats"/>
      <sheetName val="last 5 stats"/>
      <sheetName val="RiskSerializationData8"/>
      <sheetName val="all szn calc"/>
      <sheetName val="mexican stats"/>
      <sheetName val="mexican calc"/>
      <sheetName val="spanish stats"/>
      <sheetName val="spanish calc"/>
      <sheetName val="last 5 spanish stats"/>
      <sheetName val="last 5 spanish calc"/>
      <sheetName val="Sheet3"/>
    </sheetNames>
    <sheetDataSet>
      <sheetData sheetId="0">
        <row r="3">
          <cell r="A3">
            <v>380</v>
          </cell>
        </row>
        <row r="4">
          <cell r="A4">
            <v>514</v>
          </cell>
        </row>
        <row r="5">
          <cell r="A5">
            <v>1.3526315789473684</v>
          </cell>
        </row>
        <row r="7">
          <cell r="A7">
            <v>380</v>
          </cell>
        </row>
        <row r="8">
          <cell r="A8">
            <v>510</v>
          </cell>
        </row>
        <row r="9">
          <cell r="A9">
            <v>1.3421052631578947</v>
          </cell>
        </row>
      </sheetData>
      <sheetData sheetId="1">
        <row r="5">
          <cell r="A5">
            <v>1.3729729729729729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A17A9B-D34D-40F6-894C-62C1C1ADA94A}" name="Table13" displayName="Table13" ref="A2:O20" totalsRowCount="1">
  <autoFilter ref="A2:O19" xr:uid="{A1ED24C6-5633-48B7-B081-0595B75BC0ED}"/>
  <sortState xmlns:xlrd2="http://schemas.microsoft.com/office/spreadsheetml/2017/richdata2" ref="A3:O19">
    <sortCondition ref="A2:A19"/>
  </sortState>
  <tableColumns count="15">
    <tableColumn id="1" xr3:uid="{55FC701E-C353-456A-9350-1FE9C8E6E3AE}" name="Team #"/>
    <tableColumn id="16" xr3:uid="{EFDCFD6A-52DF-4C50-8E1C-4D3A8D0BC86E}" name="Team" dataDxfId="8"/>
    <tableColumn id="2" xr3:uid="{8E50B6A8-357B-4EC7-8DEE-37AB056BBE23}" name="P"/>
    <tableColumn id="3" xr3:uid="{00EDF5EF-B48E-4E96-8270-E630911A3D2E}" name="W"/>
    <tableColumn id="4" xr3:uid="{15A52265-95EB-47CD-A15D-A702DFCB14D3}" name="D"/>
    <tableColumn id="5" xr3:uid="{EC1B3BD9-7217-4DFB-9CD2-913E29232439}" name="L"/>
    <tableColumn id="6" xr3:uid="{B4CB8B39-8738-4A77-A8D9-EC35069B6E23}" name="GF"/>
    <tableColumn id="7" xr3:uid="{D0C546AB-7397-4A81-9BE3-0987359DF090}" name="GA"/>
    <tableColumn id="8" xr3:uid="{F3E0F8B3-F5BD-48BD-8FD3-F599CD96F541}" name="GD"/>
    <tableColumn id="9" xr3:uid="{8C87355E-038C-45CD-A7B3-364018FE4349}" name="GPG" totalsRowFunction="average">
      <calculatedColumnFormula>Table13[[#This Row],[GF]]/Table13[[#This Row],[P]]</calculatedColumnFormula>
    </tableColumn>
    <tableColumn id="15" xr3:uid="{EF33FBAF-7861-419E-9D83-74D2EE2F3DCE}" name="GaPG" totalsRowFunction="average" dataDxfId="7">
      <calculatedColumnFormula>Table13[[#This Row],[GA]]/Table13[[#This Row],[P]]</calculatedColumnFormula>
    </tableColumn>
    <tableColumn id="10" xr3:uid="{997316FD-F77F-4418-AC64-67AF6D7BDF99}" name="xg"/>
    <tableColumn id="11" xr3:uid="{5ECD11CC-948F-4C0A-AC68-DA2B8A03C013}" name="xga"/>
    <tableColumn id="12" xr3:uid="{2E4CF047-CDAA-4721-BEAE-D96D724890DB}" name="Attack " dataDxfId="6">
      <calculatedColumnFormula>L3/Table13[[#Totals],[GPG]]</calculatedColumnFormula>
    </tableColumn>
    <tableColumn id="13" xr3:uid="{2719E7FF-C0FC-403E-87CE-321253789A66}" name="Defense" dataDxfId="5">
      <calculatedColumnFormula>M3/Table13[[#Totals],[GaPG]]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D24C6-5633-48B7-B081-0595B75BC0ED}" name="Table1" displayName="Table1" ref="A2:O35" totalsRowCount="1">
  <autoFilter ref="A2:O34" xr:uid="{A1ED24C6-5633-48B7-B081-0595B75BC0ED}"/>
  <sortState xmlns:xlrd2="http://schemas.microsoft.com/office/spreadsheetml/2017/richdata2" ref="A3:O34">
    <sortCondition ref="B2:B34"/>
  </sortState>
  <tableColumns count="15">
    <tableColumn id="1" xr3:uid="{2202E759-57F3-4AD3-8036-94FDB8BC9B47}" name="Team #"/>
    <tableColumn id="16" xr3:uid="{BED9C737-4FF3-4F58-A2AF-7B04FA8540B7}" name="Team" dataDxfId="3"/>
    <tableColumn id="2" xr3:uid="{64F7A20B-8228-453B-A4A0-26EE902CC764}" name="P"/>
    <tableColumn id="3" xr3:uid="{F363FB6F-76FE-4A8E-A3FA-CA9EF2E1786B}" name="W"/>
    <tableColumn id="4" xr3:uid="{3D1844B0-B144-442F-8E5A-D3F42A566097}" name="D"/>
    <tableColumn id="5" xr3:uid="{2AA1480D-CBF5-407C-931D-45CCB0A09FCC}" name="L"/>
    <tableColumn id="6" xr3:uid="{21613DF8-59C2-4041-AEAC-F231B5CC76C0}" name="GF"/>
    <tableColumn id="7" xr3:uid="{33E21025-D1DA-4176-807F-02D932CEE0D6}" name="GA"/>
    <tableColumn id="8" xr3:uid="{42DE7810-0A53-4859-B779-6499681B73EA}" name="GD"/>
    <tableColumn id="9" xr3:uid="{49E4C1CB-F30B-4709-BA7C-CE72B2A937C4}" name="GPG" totalsRowFunction="average"/>
    <tableColumn id="15" xr3:uid="{583E1C03-68A6-4FA5-8A85-AE49CAA988A3}" name="GaPG" totalsRowFunction="average" dataDxfId="2"/>
    <tableColumn id="10" xr3:uid="{DAE99325-5843-48BC-81CB-5F91B4BFDECA}" name="xg"/>
    <tableColumn id="11" xr3:uid="{7E1E735A-2A9E-4229-AB21-10A62DA4EB7C}" name="xga"/>
    <tableColumn id="12" xr3:uid="{090F7422-DD83-4F0A-A66D-07D924046F4C}" name="Attack " dataDxfId="1">
      <calculatedColumnFormula>Table1[[#This Row],[xg]]/Table1[[#Totals],[GPG]]</calculatedColumnFormula>
    </tableColumn>
    <tableColumn id="13" xr3:uid="{F9CB1B0D-A166-4970-8647-63B3EB97F6DE}" name="Defense" dataDxfId="0">
      <calculatedColumnFormula>Table1[[#This Row],[xga]]/Table1[[#Totals],[GaPG]]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08CA-CA49-46AA-96B6-9D5C6CEBC95E}">
  <dimension ref="D6:AA25"/>
  <sheetViews>
    <sheetView zoomScale="48" workbookViewId="0"/>
  </sheetViews>
  <sheetFormatPr defaultRowHeight="14.75" x14ac:dyDescent="0.75"/>
  <cols>
    <col min="14" max="14" width="9.36328125" customWidth="1"/>
    <col min="19" max="19" width="11.86328125" customWidth="1"/>
    <col min="21" max="21" width="13.953125" bestFit="1" customWidth="1"/>
    <col min="23" max="23" width="17.1328125" customWidth="1"/>
    <col min="24" max="24" width="10.54296875" bestFit="1" customWidth="1"/>
  </cols>
  <sheetData>
    <row r="6" spans="7:26" x14ac:dyDescent="0.75">
      <c r="T6" s="2"/>
      <c r="U6" s="2"/>
    </row>
    <row r="7" spans="7:26" x14ac:dyDescent="0.75">
      <c r="Y7" s="7"/>
    </row>
    <row r="11" spans="7:26" x14ac:dyDescent="0.75">
      <c r="W11" s="10"/>
      <c r="X11" s="10"/>
      <c r="Y11" s="10"/>
      <c r="Z11" s="10"/>
    </row>
    <row r="12" spans="7:26" x14ac:dyDescent="0.75">
      <c r="W12" s="10"/>
      <c r="X12" s="11"/>
      <c r="Y12" s="10"/>
      <c r="Z12" s="10"/>
    </row>
    <row r="13" spans="7:26" x14ac:dyDescent="0.75">
      <c r="W13" s="10"/>
      <c r="X13" s="11"/>
      <c r="Y13" s="10"/>
      <c r="Z13" s="10"/>
    </row>
    <row r="14" spans="7:26" x14ac:dyDescent="0.75">
      <c r="W14" s="10"/>
      <c r="X14" s="11"/>
      <c r="Y14" s="10"/>
      <c r="Z14" s="10"/>
    </row>
    <row r="16" spans="7:26" x14ac:dyDescent="0.75">
      <c r="G16" s="1"/>
      <c r="I16" s="1"/>
      <c r="J16" s="1"/>
    </row>
    <row r="18" spans="4:27" x14ac:dyDescent="0.75">
      <c r="V18" s="4"/>
      <c r="AA18" s="6"/>
    </row>
    <row r="19" spans="4:27" x14ac:dyDescent="0.75">
      <c r="V19" s="4"/>
      <c r="AA19" s="6"/>
    </row>
    <row r="20" spans="4:27" x14ac:dyDescent="0.75">
      <c r="D20" s="5"/>
      <c r="V20" s="4"/>
      <c r="AA20" s="6"/>
    </row>
    <row r="23" spans="4:27" x14ac:dyDescent="0.75">
      <c r="W23" s="9"/>
      <c r="X23" s="9"/>
    </row>
    <row r="25" spans="4:27" x14ac:dyDescent="0.75">
      <c r="W25" s="9"/>
      <c r="X25" s="9"/>
    </row>
  </sheetData>
  <conditionalFormatting sqref="A1:XFD28 A29:V29 X29:XFD29 A30:XFD59 A61:XFD1048576 C60:XFD60">
    <cfRule type="containsText" dxfId="9" priority="1" operator="containsText" text="Bet">
      <formula>NOT(ISERROR(SEARCH("Bet",A1)))</formula>
    </cfRule>
  </conditionalFormatting>
  <dataValidations count="1">
    <dataValidation type="list" allowBlank="1" showInputMessage="1" showErrorMessage="1" sqref="T6:U6" xr:uid="{2ABE41E6-028B-4040-A5C8-3EC7AF863880}">
      <formula1>$B$3:$B$34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0159-7E7B-4B23-BCAD-4BC3800DD880}">
  <dimension ref="A1:AC30"/>
  <sheetViews>
    <sheetView zoomScale="96" workbookViewId="0">
      <selection activeCell="T6" sqref="T6"/>
    </sheetView>
  </sheetViews>
  <sheetFormatPr defaultRowHeight="14.75" x14ac:dyDescent="0.75"/>
  <cols>
    <col min="14" max="14" width="9.36328125" customWidth="1"/>
    <col min="19" max="19" width="11.86328125" customWidth="1"/>
    <col min="21" max="21" width="13.953125" bestFit="1" customWidth="1"/>
    <col min="23" max="23" width="11.08984375" bestFit="1" customWidth="1"/>
    <col min="24" max="24" width="10.54296875" bestFit="1" customWidth="1"/>
  </cols>
  <sheetData>
    <row r="1" spans="1:26" x14ac:dyDescent="0.75">
      <c r="A1" t="s">
        <v>26</v>
      </c>
    </row>
    <row r="2" spans="1:26" x14ac:dyDescent="0.75">
      <c r="A2" t="s">
        <v>46</v>
      </c>
      <c r="B2" t="s">
        <v>29</v>
      </c>
      <c r="C2" t="s">
        <v>25</v>
      </c>
      <c r="D2" t="s">
        <v>0</v>
      </c>
      <c r="E2" t="s">
        <v>1</v>
      </c>
      <c r="F2" t="s">
        <v>2</v>
      </c>
      <c r="G2" t="s">
        <v>24</v>
      </c>
      <c r="H2" t="s">
        <v>23</v>
      </c>
      <c r="I2" t="s">
        <v>22</v>
      </c>
      <c r="J2" t="s">
        <v>31</v>
      </c>
      <c r="K2" t="s">
        <v>32</v>
      </c>
      <c r="L2" t="s">
        <v>21</v>
      </c>
      <c r="M2" t="s">
        <v>20</v>
      </c>
      <c r="N2" t="s">
        <v>27</v>
      </c>
      <c r="O2" t="s">
        <v>28</v>
      </c>
    </row>
    <row r="3" spans="1:26" x14ac:dyDescent="0.75">
      <c r="A3">
        <v>1</v>
      </c>
      <c r="B3" t="s">
        <v>18</v>
      </c>
      <c r="C3">
        <v>10</v>
      </c>
      <c r="D3">
        <v>8</v>
      </c>
      <c r="E3">
        <v>1</v>
      </c>
      <c r="F3">
        <v>1</v>
      </c>
      <c r="G3">
        <v>28</v>
      </c>
      <c r="H3">
        <v>3</v>
      </c>
      <c r="I3">
        <v>25</v>
      </c>
      <c r="J3">
        <f>Table13[[#This Row],[GF]]/Table13[[#This Row],[P]]</f>
        <v>2.8</v>
      </c>
      <c r="K3">
        <f>Table13[[#This Row],[GA]]/Table13[[#This Row],[P]]</f>
        <v>0.3</v>
      </c>
      <c r="L3">
        <v>2.09</v>
      </c>
      <c r="M3">
        <v>0.71</v>
      </c>
      <c r="N3">
        <f>L3/Table13[[#Totals],[GPG]]</f>
        <v>1.1843333333333335</v>
      </c>
      <c r="O3">
        <f>M3/Table13[[#Totals],[GaPG]]</f>
        <v>0.881021897810219</v>
      </c>
    </row>
    <row r="4" spans="1:26" x14ac:dyDescent="0.75">
      <c r="A4">
        <v>2</v>
      </c>
      <c r="B4" t="s">
        <v>11</v>
      </c>
      <c r="C4">
        <v>10</v>
      </c>
      <c r="D4">
        <v>6</v>
      </c>
      <c r="E4">
        <v>1</v>
      </c>
      <c r="F4">
        <v>3</v>
      </c>
      <c r="G4">
        <v>10</v>
      </c>
      <c r="H4">
        <v>9</v>
      </c>
      <c r="I4">
        <v>1</v>
      </c>
      <c r="J4">
        <f>Table13[[#This Row],[GF]]/Table13[[#This Row],[P]]</f>
        <v>1</v>
      </c>
      <c r="K4">
        <f>Table13[[#This Row],[GA]]/Table13[[#This Row],[P]]</f>
        <v>0.9</v>
      </c>
      <c r="L4">
        <v>1.21</v>
      </c>
      <c r="M4">
        <v>1.58</v>
      </c>
      <c r="N4">
        <f>L4/Table13[[#Totals],[GPG]]</f>
        <v>0.68566666666666676</v>
      </c>
      <c r="O4">
        <f>M4/Table13[[#Totals],[GaPG]]</f>
        <v>1.9605839416058397</v>
      </c>
    </row>
    <row r="5" spans="1:26" x14ac:dyDescent="0.75">
      <c r="A5">
        <v>3</v>
      </c>
      <c r="B5" t="s">
        <v>4</v>
      </c>
      <c r="C5">
        <v>10</v>
      </c>
      <c r="D5">
        <v>5</v>
      </c>
      <c r="E5">
        <v>1</v>
      </c>
      <c r="F5">
        <v>4</v>
      </c>
      <c r="G5">
        <v>16</v>
      </c>
      <c r="H5">
        <v>12</v>
      </c>
      <c r="I5">
        <v>4</v>
      </c>
      <c r="J5">
        <f>Table13[[#This Row],[GF]]/Table13[[#This Row],[P]]</f>
        <v>1.6</v>
      </c>
      <c r="K5">
        <f>Table13[[#This Row],[GA]]/Table13[[#This Row],[P]]</f>
        <v>1.2</v>
      </c>
      <c r="L5">
        <v>1.62</v>
      </c>
      <c r="M5">
        <v>1.3</v>
      </c>
      <c r="N5">
        <f>L5/Table13[[#Totals],[GPG]]</f>
        <v>0.91800000000000015</v>
      </c>
      <c r="O5">
        <f>M5/Table13[[#Totals],[GaPG]]</f>
        <v>1.613138686131387</v>
      </c>
      <c r="T5">
        <v>1</v>
      </c>
      <c r="U5">
        <v>2</v>
      </c>
    </row>
    <row r="6" spans="1:26" x14ac:dyDescent="0.75">
      <c r="A6">
        <v>4</v>
      </c>
      <c r="B6" t="s">
        <v>19</v>
      </c>
      <c r="C6">
        <v>10</v>
      </c>
      <c r="D6" s="5">
        <v>9</v>
      </c>
      <c r="E6">
        <v>1</v>
      </c>
      <c r="F6">
        <v>0</v>
      </c>
      <c r="G6">
        <v>30</v>
      </c>
      <c r="H6">
        <v>3</v>
      </c>
      <c r="I6">
        <v>27</v>
      </c>
      <c r="J6">
        <f>Table13[[#This Row],[GF]]/Table13[[#This Row],[P]]</f>
        <v>3</v>
      </c>
      <c r="K6">
        <f>Table13[[#This Row],[GA]]/Table13[[#This Row],[P]]</f>
        <v>0.3</v>
      </c>
      <c r="L6">
        <v>2.4300000000000002</v>
      </c>
      <c r="M6">
        <v>1.03</v>
      </c>
      <c r="N6">
        <f>L6/Table13[[#Totals],[GPG]]</f>
        <v>1.3770000000000002</v>
      </c>
      <c r="O6">
        <f>M6/Table13[[#Totals],[GaPG]]</f>
        <v>1.2781021897810221</v>
      </c>
      <c r="T6" s="2" t="str">
        <f>VLOOKUP(T7,Table13[[Team '#]:[Team]],2,FALSE)</f>
        <v> Argentina</v>
      </c>
      <c r="U6" s="2" t="str">
        <f>VLOOKUP(U7,Table13[[Team '#]:[Team]],2,FALSE)</f>
        <v> Argentina</v>
      </c>
      <c r="W6" t="s">
        <v>33</v>
      </c>
    </row>
    <row r="7" spans="1:26" x14ac:dyDescent="0.75">
      <c r="A7">
        <v>5</v>
      </c>
      <c r="B7" t="s">
        <v>10</v>
      </c>
      <c r="C7">
        <v>10</v>
      </c>
      <c r="D7">
        <v>6</v>
      </c>
      <c r="E7">
        <v>1</v>
      </c>
      <c r="F7">
        <v>3</v>
      </c>
      <c r="G7">
        <v>12</v>
      </c>
      <c r="H7">
        <v>14</v>
      </c>
      <c r="I7">
        <v>-2</v>
      </c>
      <c r="J7">
        <f>Table13[[#This Row],[GF]]/Table13[[#This Row],[P]]</f>
        <v>1.2</v>
      </c>
      <c r="K7">
        <f>Table13[[#This Row],[GA]]/Table13[[#This Row],[P]]</f>
        <v>1.4</v>
      </c>
      <c r="L7">
        <v>0.74</v>
      </c>
      <c r="M7">
        <v>1.61</v>
      </c>
      <c r="N7">
        <f>L7/Table13[[#Totals],[GPG]]</f>
        <v>0.41933333333333339</v>
      </c>
      <c r="O7">
        <f>M7/Table13[[#Totals],[GaPG]]</f>
        <v>1.9978102189781026</v>
      </c>
      <c r="S7" t="s">
        <v>46</v>
      </c>
      <c r="T7">
        <v>1</v>
      </c>
      <c r="U7">
        <v>1</v>
      </c>
      <c r="W7" t="s">
        <v>34</v>
      </c>
      <c r="X7">
        <v>1</v>
      </c>
      <c r="Y7" s="7" t="e">
        <f>IF(T9=U9,3,INDEX(T5:U5,MATCH(MAX(T9:U9),T9:U9,0)))</f>
        <v>#N/A</v>
      </c>
    </row>
    <row r="8" spans="1:26" x14ac:dyDescent="0.75">
      <c r="A8">
        <v>6</v>
      </c>
      <c r="B8" t="s">
        <v>16</v>
      </c>
      <c r="C8">
        <v>10</v>
      </c>
      <c r="D8">
        <v>7</v>
      </c>
      <c r="E8">
        <v>2</v>
      </c>
      <c r="F8">
        <v>1</v>
      </c>
      <c r="G8">
        <v>15</v>
      </c>
      <c r="H8">
        <v>8</v>
      </c>
      <c r="I8">
        <v>7</v>
      </c>
      <c r="J8">
        <f>Table13[[#This Row],[GF]]/Table13[[#This Row],[P]]</f>
        <v>1.5</v>
      </c>
      <c r="K8">
        <f>Table13[[#This Row],[GA]]/Table13[[#This Row],[P]]</f>
        <v>0.8</v>
      </c>
      <c r="L8">
        <v>1.43</v>
      </c>
      <c r="M8">
        <v>1.33</v>
      </c>
      <c r="N8">
        <f>L8/Table13[[#Totals],[GPG]]</f>
        <v>0.81033333333333346</v>
      </c>
      <c r="O8">
        <f>M8/Table13[[#Totals],[GaPG]]</f>
        <v>1.6503649635036499</v>
      </c>
      <c r="S8" t="s">
        <v>30</v>
      </c>
      <c r="T8">
        <f>VLOOKUP(T7,Table13[],14,FALSE)*VLOOKUP(U7,Table13[],15,FALSE)*Table13[[#Totals],[GPG]]</f>
        <v>1.8413357664233574</v>
      </c>
      <c r="U8">
        <f>VLOOKUP(T7,Table13[],15,FALSE)*VLOOKUP(U7,Table13[],14,FALSE)*Table13[[#Totals],[GPG]]</f>
        <v>1.8413357664233574</v>
      </c>
      <c r="W8" t="s">
        <v>35</v>
      </c>
      <c r="X8">
        <v>2</v>
      </c>
    </row>
    <row r="9" spans="1:26" x14ac:dyDescent="0.75">
      <c r="A9">
        <v>7</v>
      </c>
      <c r="B9" t="s">
        <v>5</v>
      </c>
      <c r="C9">
        <v>10</v>
      </c>
      <c r="D9">
        <v>5</v>
      </c>
      <c r="E9">
        <v>1</v>
      </c>
      <c r="F9">
        <v>4</v>
      </c>
      <c r="G9">
        <v>13</v>
      </c>
      <c r="H9">
        <v>8</v>
      </c>
      <c r="I9">
        <v>5</v>
      </c>
      <c r="J9">
        <f>Table13[[#This Row],[GF]]/Table13[[#This Row],[P]]</f>
        <v>1.3</v>
      </c>
      <c r="K9">
        <f>Table13[[#This Row],[GA]]/Table13[[#This Row],[P]]</f>
        <v>0.8</v>
      </c>
      <c r="L9">
        <v>1.45</v>
      </c>
      <c r="M9">
        <v>1.5</v>
      </c>
      <c r="N9">
        <f>L9/Table13[[#Totals],[GPG]]</f>
        <v>0.82166666666666677</v>
      </c>
      <c r="O9">
        <f>M9/Table13[[#Totals],[GaPG]]</f>
        <v>1.861313868613139</v>
      </c>
      <c r="T9" t="s">
        <v>96</v>
      </c>
      <c r="U9" t="s">
        <v>97</v>
      </c>
      <c r="W9" t="s">
        <v>36</v>
      </c>
      <c r="X9">
        <v>3</v>
      </c>
    </row>
    <row r="10" spans="1:26" x14ac:dyDescent="0.75">
      <c r="A10">
        <v>8</v>
      </c>
      <c r="B10" t="s">
        <v>6</v>
      </c>
      <c r="C10">
        <v>10</v>
      </c>
      <c r="D10">
        <v>5</v>
      </c>
      <c r="E10">
        <v>1</v>
      </c>
      <c r="F10">
        <v>4</v>
      </c>
      <c r="G10">
        <v>11</v>
      </c>
      <c r="H10">
        <v>12</v>
      </c>
      <c r="I10">
        <v>-1</v>
      </c>
      <c r="J10">
        <f>Table13[[#This Row],[GF]]/Table13[[#This Row],[P]]</f>
        <v>1.1000000000000001</v>
      </c>
      <c r="K10">
        <f>Table13[[#This Row],[GA]]/Table13[[#This Row],[P]]</f>
        <v>1.2</v>
      </c>
      <c r="L10">
        <v>1.22</v>
      </c>
      <c r="M10">
        <v>1.58</v>
      </c>
      <c r="N10">
        <f>L10/Table13[[#Totals],[GPG]]</f>
        <v>0.69133333333333347</v>
      </c>
      <c r="O10">
        <f>M10/Table13[[#Totals],[GaPG]]</f>
        <v>1.9605839416058397</v>
      </c>
    </row>
    <row r="11" spans="1:26" x14ac:dyDescent="0.75">
      <c r="A11">
        <v>9</v>
      </c>
      <c r="B11" t="s">
        <v>7</v>
      </c>
      <c r="C11">
        <v>10</v>
      </c>
      <c r="D11">
        <v>5</v>
      </c>
      <c r="E11">
        <v>2</v>
      </c>
      <c r="F11">
        <v>3</v>
      </c>
      <c r="G11">
        <v>14</v>
      </c>
      <c r="H11">
        <v>7</v>
      </c>
      <c r="I11">
        <v>7</v>
      </c>
      <c r="J11">
        <f>Table13[[#This Row],[GF]]/Table13[[#This Row],[P]]</f>
        <v>1.4</v>
      </c>
      <c r="K11">
        <f>Table13[[#This Row],[GA]]/Table13[[#This Row],[P]]</f>
        <v>0.7</v>
      </c>
      <c r="L11">
        <v>1.72</v>
      </c>
      <c r="M11">
        <v>1.32</v>
      </c>
      <c r="N11">
        <f>L11/Table13[[#Totals],[GPG]]</f>
        <v>0.97466666666666679</v>
      </c>
      <c r="O11">
        <f>M11/Table13[[#Totals],[GaPG]]</f>
        <v>1.6379562043795624</v>
      </c>
      <c r="W11" t="s">
        <v>37</v>
      </c>
      <c r="X11" t="s">
        <v>38</v>
      </c>
      <c r="Y11" t="s">
        <v>39</v>
      </c>
      <c r="Z11" t="s">
        <v>40</v>
      </c>
    </row>
    <row r="12" spans="1:26" x14ac:dyDescent="0.75">
      <c r="A12">
        <v>10</v>
      </c>
      <c r="B12" t="s">
        <v>13</v>
      </c>
      <c r="C12">
        <v>10</v>
      </c>
      <c r="D12">
        <v>6</v>
      </c>
      <c r="E12">
        <v>3</v>
      </c>
      <c r="F12">
        <v>1</v>
      </c>
      <c r="G12">
        <v>16</v>
      </c>
      <c r="H12">
        <v>6</v>
      </c>
      <c r="I12">
        <v>10</v>
      </c>
      <c r="J12">
        <f>Table13[[#This Row],[GF]]/Table13[[#This Row],[P]]</f>
        <v>1.6</v>
      </c>
      <c r="K12">
        <f>Table13[[#This Row],[GA]]/Table13[[#This Row],[P]]</f>
        <v>0.6</v>
      </c>
      <c r="L12">
        <v>2.06</v>
      </c>
      <c r="M12">
        <v>1.1299999999999999</v>
      </c>
      <c r="N12">
        <f>L12/Table13[[#Totals],[GPG]]</f>
        <v>1.1673333333333336</v>
      </c>
      <c r="O12">
        <f>M12/Table13[[#Totals],[GaPG]]</f>
        <v>1.4021897810218977</v>
      </c>
      <c r="W12" t="s">
        <v>34</v>
      </c>
      <c r="X12" s="3" t="s">
        <v>92</v>
      </c>
      <c r="Y12" t="e">
        <f>(1/X12)</f>
        <v>#VALUE!</v>
      </c>
      <c r="Z12" t="e">
        <f>IF(Y12&gt;=2,(Y12-1)*100,(-100)/(Y12-1))</f>
        <v>#VALUE!</v>
      </c>
    </row>
    <row r="13" spans="1:26" x14ac:dyDescent="0.75">
      <c r="A13">
        <v>11</v>
      </c>
      <c r="B13" t="s">
        <v>17</v>
      </c>
      <c r="C13">
        <v>10</v>
      </c>
      <c r="D13">
        <v>7</v>
      </c>
      <c r="E13">
        <v>3</v>
      </c>
      <c r="F13">
        <v>0</v>
      </c>
      <c r="G13">
        <v>20</v>
      </c>
      <c r="H13">
        <v>8</v>
      </c>
      <c r="I13">
        <v>12</v>
      </c>
      <c r="J13">
        <f>Table13[[#This Row],[GF]]/Table13[[#This Row],[P]]</f>
        <v>2</v>
      </c>
      <c r="K13">
        <f>Table13[[#This Row],[GA]]/Table13[[#This Row],[P]]</f>
        <v>0.8</v>
      </c>
      <c r="L13">
        <v>1.47</v>
      </c>
      <c r="M13">
        <v>1.26</v>
      </c>
      <c r="N13">
        <f>L13/Table13[[#Totals],[GPG]]</f>
        <v>0.83300000000000007</v>
      </c>
      <c r="O13">
        <f>M13/Table13[[#Totals],[GaPG]]</f>
        <v>1.5635036496350367</v>
      </c>
      <c r="W13" t="s">
        <v>35</v>
      </c>
      <c r="X13" s="3" t="s">
        <v>93</v>
      </c>
      <c r="Y13" t="e">
        <f t="shared" ref="Y13:Y14" si="0">(1/X13)</f>
        <v>#VALUE!</v>
      </c>
      <c r="Z13" t="e">
        <f t="shared" ref="Z13:Z14" si="1">IF(Y13&gt;=2,(Y13-1)*100,(-100)/(Y13-1))</f>
        <v>#VALUE!</v>
      </c>
    </row>
    <row r="14" spans="1:26" x14ac:dyDescent="0.75">
      <c r="A14">
        <v>12</v>
      </c>
      <c r="B14" t="s">
        <v>15</v>
      </c>
      <c r="C14">
        <v>10</v>
      </c>
      <c r="D14">
        <v>7</v>
      </c>
      <c r="E14">
        <v>1</v>
      </c>
      <c r="F14">
        <v>2</v>
      </c>
      <c r="G14">
        <v>22</v>
      </c>
      <c r="H14">
        <v>5</v>
      </c>
      <c r="I14">
        <v>17</v>
      </c>
      <c r="J14">
        <f>Table13[[#This Row],[GF]]/Table13[[#This Row],[P]]</f>
        <v>2.2000000000000002</v>
      </c>
      <c r="K14">
        <f>Table13[[#This Row],[GA]]/Table13[[#This Row],[P]]</f>
        <v>0.5</v>
      </c>
      <c r="L14">
        <v>1.55</v>
      </c>
      <c r="M14">
        <v>1.01</v>
      </c>
      <c r="N14">
        <f>L14/Table13[[#Totals],[GPG]]</f>
        <v>0.87833333333333352</v>
      </c>
      <c r="O14">
        <f>M14/Table13[[#Totals],[GaPG]]</f>
        <v>1.253284671532847</v>
      </c>
      <c r="W14" t="s">
        <v>36</v>
      </c>
      <c r="X14" s="3" t="s">
        <v>94</v>
      </c>
      <c r="Y14" t="e">
        <f t="shared" si="0"/>
        <v>#VALUE!</v>
      </c>
      <c r="Z14" t="e">
        <f t="shared" si="1"/>
        <v>#VALUE!</v>
      </c>
    </row>
    <row r="15" spans="1:26" x14ac:dyDescent="0.75">
      <c r="A15">
        <v>13</v>
      </c>
      <c r="B15" t="s">
        <v>9</v>
      </c>
      <c r="C15">
        <v>10</v>
      </c>
      <c r="D15">
        <v>5</v>
      </c>
      <c r="E15">
        <v>3</v>
      </c>
      <c r="F15">
        <v>2</v>
      </c>
      <c r="G15">
        <v>17</v>
      </c>
      <c r="H15">
        <v>12</v>
      </c>
      <c r="I15">
        <v>5</v>
      </c>
      <c r="J15">
        <f>Table13[[#This Row],[GF]]/Table13[[#This Row],[P]]</f>
        <v>1.7</v>
      </c>
      <c r="K15">
        <f>Table13[[#This Row],[GA]]/Table13[[#This Row],[P]]</f>
        <v>1.2</v>
      </c>
      <c r="L15">
        <v>1.97</v>
      </c>
      <c r="M15">
        <v>1.08</v>
      </c>
      <c r="N15">
        <f>L15/Table13[[#Totals],[GPG]]</f>
        <v>1.1163333333333334</v>
      </c>
      <c r="O15">
        <f>M15/Table13[[#Totals],[GaPG]]</f>
        <v>1.3401459854014601</v>
      </c>
    </row>
    <row r="16" spans="1:26" x14ac:dyDescent="0.75">
      <c r="A16">
        <v>14</v>
      </c>
      <c r="B16" t="s">
        <v>8</v>
      </c>
      <c r="C16">
        <v>10</v>
      </c>
      <c r="D16">
        <v>5</v>
      </c>
      <c r="E16">
        <v>2</v>
      </c>
      <c r="F16">
        <v>3</v>
      </c>
      <c r="G16">
        <v>21</v>
      </c>
      <c r="H16">
        <v>14</v>
      </c>
      <c r="I16">
        <v>7</v>
      </c>
      <c r="J16">
        <f>Table13[[#This Row],[GF]]/Table13[[#This Row],[P]]</f>
        <v>2.1</v>
      </c>
      <c r="K16">
        <f>Table13[[#This Row],[GA]]/Table13[[#This Row],[P]]</f>
        <v>1.4</v>
      </c>
      <c r="L16">
        <v>1.49</v>
      </c>
      <c r="M16">
        <v>1.24</v>
      </c>
      <c r="N16">
        <f>L16/Table13[[#Totals],[GPG]]</f>
        <v>0.84433333333333349</v>
      </c>
      <c r="O16">
        <f>M16/Table13[[#Totals],[GaPG]]</f>
        <v>1.5386861313868614</v>
      </c>
    </row>
    <row r="17" spans="1:29" x14ac:dyDescent="0.75">
      <c r="A17">
        <v>15</v>
      </c>
      <c r="B17" t="s">
        <v>14</v>
      </c>
      <c r="C17">
        <v>10</v>
      </c>
      <c r="D17">
        <v>6</v>
      </c>
      <c r="E17">
        <v>3</v>
      </c>
      <c r="F17">
        <v>1</v>
      </c>
      <c r="G17">
        <v>24</v>
      </c>
      <c r="H17">
        <v>7</v>
      </c>
      <c r="I17">
        <v>17</v>
      </c>
      <c r="J17">
        <f>Table13[[#This Row],[GF]]/Table13[[#This Row],[P]]</f>
        <v>2.4</v>
      </c>
      <c r="K17">
        <f>Table13[[#This Row],[GA]]/Table13[[#This Row],[P]]</f>
        <v>0.7</v>
      </c>
      <c r="L17">
        <v>1.62</v>
      </c>
      <c r="M17">
        <v>0.87</v>
      </c>
      <c r="N17">
        <f>L17/Table13[[#Totals],[GPG]]</f>
        <v>0.91800000000000015</v>
      </c>
      <c r="O17">
        <f>M17/Table13[[#Totals],[GaPG]]</f>
        <v>1.0795620437956206</v>
      </c>
      <c r="U17" t="s">
        <v>29</v>
      </c>
      <c r="V17" t="s">
        <v>41</v>
      </c>
      <c r="W17" t="s">
        <v>42</v>
      </c>
      <c r="X17" t="s">
        <v>43</v>
      </c>
      <c r="Z17" t="s">
        <v>45</v>
      </c>
      <c r="AA17" t="s">
        <v>44</v>
      </c>
      <c r="AB17" t="s">
        <v>47</v>
      </c>
      <c r="AC17" t="s">
        <v>48</v>
      </c>
    </row>
    <row r="18" spans="1:29" x14ac:dyDescent="0.75">
      <c r="A18">
        <v>16</v>
      </c>
      <c r="B18" t="s">
        <v>12</v>
      </c>
      <c r="C18">
        <v>10</v>
      </c>
      <c r="D18">
        <v>6</v>
      </c>
      <c r="E18">
        <v>2</v>
      </c>
      <c r="F18">
        <v>2</v>
      </c>
      <c r="G18">
        <v>17</v>
      </c>
      <c r="H18">
        <v>4</v>
      </c>
      <c r="I18">
        <v>13</v>
      </c>
      <c r="J18">
        <f>Table13[[#This Row],[GF]]/Table13[[#This Row],[P]]</f>
        <v>1.7</v>
      </c>
      <c r="K18">
        <f>Table13[[#This Row],[GA]]/Table13[[#This Row],[P]]</f>
        <v>0.4</v>
      </c>
      <c r="L18">
        <v>1.65</v>
      </c>
      <c r="M18">
        <v>1.19</v>
      </c>
      <c r="N18">
        <f>L18/Table13[[#Totals],[GPG]]</f>
        <v>0.93500000000000005</v>
      </c>
      <c r="O18">
        <f>M18/Table13[[#Totals],[GaPG]]</f>
        <v>1.4766423357664233</v>
      </c>
      <c r="U18" t="s">
        <v>34</v>
      </c>
      <c r="V18" s="4">
        <v>1</v>
      </c>
      <c r="W18" t="e">
        <f>Y12</f>
        <v>#VALUE!</v>
      </c>
      <c r="X18">
        <v>3.95</v>
      </c>
      <c r="Z18" t="e">
        <f>IF(W18&gt;X18,"Don’t Bet","Bet")</f>
        <v>#VALUE!</v>
      </c>
      <c r="AA18" s="6" t="e">
        <f>MAX(V18*W18,V18*X18)-V18</f>
        <v>#VALUE!</v>
      </c>
      <c r="AB18" t="e">
        <f>IF(Z18="Bet",AA18,0)</f>
        <v>#VALUE!</v>
      </c>
      <c r="AC18" s="6"/>
    </row>
    <row r="19" spans="1:29" x14ac:dyDescent="0.75">
      <c r="A19">
        <v>17</v>
      </c>
      <c r="B19" t="s">
        <v>3</v>
      </c>
      <c r="C19">
        <v>10</v>
      </c>
      <c r="D19">
        <v>3</v>
      </c>
      <c r="E19">
        <v>6</v>
      </c>
      <c r="F19">
        <v>1</v>
      </c>
      <c r="G19">
        <v>14</v>
      </c>
      <c r="H19">
        <v>5</v>
      </c>
      <c r="I19">
        <v>9</v>
      </c>
      <c r="J19">
        <f>Table13[[#This Row],[GF]]/Table13[[#This Row],[P]]</f>
        <v>1.4</v>
      </c>
      <c r="K19">
        <f>Table13[[#This Row],[GA]]/Table13[[#This Row],[P]]</f>
        <v>0.5</v>
      </c>
      <c r="L19">
        <v>1.49</v>
      </c>
      <c r="M19">
        <v>1.1499999999999999</v>
      </c>
      <c r="N19">
        <f>L19/Table13[[#Totals],[GPG]]</f>
        <v>0.84433333333333349</v>
      </c>
      <c r="O19">
        <f>M19/Table13[[#Totals],[GaPG]]</f>
        <v>1.4270072992700731</v>
      </c>
      <c r="U19" t="s">
        <v>35</v>
      </c>
      <c r="V19" s="4">
        <v>1</v>
      </c>
      <c r="W19" t="e">
        <f t="shared" ref="W19:W20" si="2">Y13</f>
        <v>#VALUE!</v>
      </c>
      <c r="X19">
        <v>3.63</v>
      </c>
      <c r="Z19" t="e">
        <f>IF(W19&gt;X19,"Don’t Bet","Bet")</f>
        <v>#VALUE!</v>
      </c>
      <c r="AA19" s="6" t="e">
        <f t="shared" ref="AA19:AA20" si="3">MAX(V19*W19,V19*X19)-V19</f>
        <v>#VALUE!</v>
      </c>
      <c r="AB19" t="e">
        <f t="shared" ref="AB19:AB20" si="4">IF(Z19="Bet",AA19,0)</f>
        <v>#VALUE!</v>
      </c>
      <c r="AC19" t="e">
        <f>MAX(AB18:AB20)</f>
        <v>#VALUE!</v>
      </c>
    </row>
    <row r="20" spans="1:29" x14ac:dyDescent="0.75">
      <c r="J20">
        <f>SUBTOTAL(101,Table13[GPG])</f>
        <v>1.7647058823529409</v>
      </c>
      <c r="K20">
        <f>SUBTOTAL(101,Table13[GaPG])</f>
        <v>0.80588235294117638</v>
      </c>
      <c r="U20" t="s">
        <v>36</v>
      </c>
      <c r="V20" s="4">
        <v>1</v>
      </c>
      <c r="W20" t="e">
        <f t="shared" si="2"/>
        <v>#VALUE!</v>
      </c>
      <c r="X20">
        <v>1.92</v>
      </c>
      <c r="Z20" t="e">
        <f>IF(W20&gt;X20,"Don’t Bet","Bet")</f>
        <v>#VALUE!</v>
      </c>
      <c r="AA20" s="6" t="e">
        <f t="shared" si="3"/>
        <v>#VALUE!</v>
      </c>
      <c r="AB20" t="e">
        <f t="shared" si="4"/>
        <v>#VALUE!</v>
      </c>
    </row>
    <row r="21" spans="1:29" x14ac:dyDescent="0.75">
      <c r="G21" s="1"/>
      <c r="I21" s="1"/>
      <c r="J21" s="1"/>
    </row>
    <row r="26" spans="1:29" x14ac:dyDescent="0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29" x14ac:dyDescent="0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29" x14ac:dyDescent="0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30" spans="1:29" x14ac:dyDescent="0.7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A7FC-B8A8-475C-9A4C-37ECB3B97425}">
  <dimension ref="A1:X8"/>
  <sheetViews>
    <sheetView workbookViewId="0"/>
  </sheetViews>
  <sheetFormatPr defaultColWidth="25.6796875" defaultRowHeight="14.75" x14ac:dyDescent="0.75"/>
  <sheetData>
    <row r="1" spans="1:24" x14ac:dyDescent="0.75">
      <c r="A1" t="s">
        <v>49</v>
      </c>
      <c r="B1" t="s">
        <v>50</v>
      </c>
    </row>
    <row r="2" spans="1:24" x14ac:dyDescent="0.75">
      <c r="A2" t="s">
        <v>51</v>
      </c>
      <c r="B2">
        <v>4</v>
      </c>
    </row>
    <row r="3" spans="1:24" x14ac:dyDescent="0.75">
      <c r="A3" t="s">
        <v>52</v>
      </c>
      <c r="B3">
        <v>0</v>
      </c>
    </row>
    <row r="5" spans="1:24" x14ac:dyDescent="0.7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J5" t="s">
        <v>59</v>
      </c>
      <c r="K5" t="s">
        <v>60</v>
      </c>
      <c r="L5" t="s">
        <v>61</v>
      </c>
      <c r="N5" t="s">
        <v>62</v>
      </c>
      <c r="O5" t="s">
        <v>63</v>
      </c>
      <c r="P5" t="s">
        <v>64</v>
      </c>
      <c r="R5" t="s">
        <v>65</v>
      </c>
      <c r="S5" t="s">
        <v>66</v>
      </c>
      <c r="T5" t="s">
        <v>67</v>
      </c>
      <c r="V5" t="s">
        <v>68</v>
      </c>
      <c r="W5" t="s">
        <v>69</v>
      </c>
      <c r="X5" t="s">
        <v>70</v>
      </c>
    </row>
    <row r="6" spans="1:24" x14ac:dyDescent="0.75">
      <c r="A6" t="e">
        <f ca="1">ModelRef(Sheet4!$U$9,2,0,0)</f>
        <v>#NAME?</v>
      </c>
      <c r="B6">
        <v>0</v>
      </c>
      <c r="C6">
        <v>3</v>
      </c>
      <c r="F6">
        <v>0</v>
      </c>
      <c r="J6" t="b">
        <v>1</v>
      </c>
      <c r="K6" t="s">
        <v>129</v>
      </c>
      <c r="L6" t="e">
        <f ca="1">ModelRef(Sheet4!$U$9,2,0,0)+ModelRef(Sheet4!$U$9,3,0,-1)</f>
        <v>#NAME?</v>
      </c>
    </row>
    <row r="7" spans="1:24" x14ac:dyDescent="0.75">
      <c r="A7" t="e">
        <f ca="1">ModelRef(Sheet4!$T$9,2,0,0)</f>
        <v>#NAME?</v>
      </c>
      <c r="B7">
        <v>0</v>
      </c>
      <c r="C7">
        <v>3</v>
      </c>
      <c r="F7">
        <v>0</v>
      </c>
      <c r="J7" t="b">
        <v>1</v>
      </c>
      <c r="K7" t="s">
        <v>130</v>
      </c>
      <c r="L7" t="e">
        <f ca="1">ModelRef(Sheet4!$T$9,2,0,0)+ModelRef(Sheet4!$T$9,3,0,-1)</f>
        <v>#NAME?</v>
      </c>
    </row>
    <row r="8" spans="1:24" x14ac:dyDescent="0.75">
      <c r="A8" t="e">
        <f ca="1">ModelRef('Sheet4 (2)'!$Y$7,1,0,0)</f>
        <v>#NAME?</v>
      </c>
      <c r="B8">
        <v>0</v>
      </c>
      <c r="C8">
        <v>3</v>
      </c>
      <c r="F8">
        <v>0</v>
      </c>
      <c r="J8" t="b">
        <v>1</v>
      </c>
      <c r="K8" t="s">
        <v>71</v>
      </c>
      <c r="L8" t="e">
        <f ca="1">ModelRef('Sheet4 (2)'!$Y$7,1,0,0)</f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6FB0-01E7-4A61-8852-31ED2B8CBD16}">
  <dimension ref="A1:AQ59"/>
  <sheetViews>
    <sheetView tabSelected="1" topLeftCell="E1" zoomScale="77" zoomScaleNormal="40" workbookViewId="0">
      <selection activeCell="T49" sqref="T49"/>
    </sheetView>
  </sheetViews>
  <sheetFormatPr defaultRowHeight="14.75" x14ac:dyDescent="0.75"/>
  <cols>
    <col min="6" max="13" width="8.76953125" bestFit="1" customWidth="1"/>
    <col min="14" max="14" width="9.36328125" customWidth="1"/>
    <col min="15" max="15" width="8.76953125" bestFit="1" customWidth="1"/>
    <col min="18" max="18" width="8.76953125" bestFit="1" customWidth="1"/>
    <col min="19" max="19" width="11.86328125" customWidth="1"/>
    <col min="20" max="20" width="8.76953125" bestFit="1" customWidth="1"/>
    <col min="21" max="21" width="14" bestFit="1" customWidth="1"/>
    <col min="22" max="22" width="8.76953125" bestFit="1" customWidth="1"/>
    <col min="23" max="23" width="17.1328125" customWidth="1"/>
    <col min="24" max="24" width="10.58984375" bestFit="1" customWidth="1"/>
    <col min="25" max="27" width="8.76953125" bestFit="1" customWidth="1"/>
    <col min="28" max="28" width="17.08984375" bestFit="1" customWidth="1"/>
    <col min="29" max="32" width="8.76953125" bestFit="1" customWidth="1"/>
    <col min="38" max="38" width="8.76953125" bestFit="1" customWidth="1"/>
    <col min="41" max="41" width="8.76953125" bestFit="1" customWidth="1"/>
    <col min="43" max="43" width="8.76953125" bestFit="1" customWidth="1"/>
  </cols>
  <sheetData>
    <row r="1" spans="1:43" x14ac:dyDescent="0.75">
      <c r="A1" t="s">
        <v>26</v>
      </c>
    </row>
    <row r="2" spans="1:43" x14ac:dyDescent="0.75">
      <c r="A2" t="s">
        <v>46</v>
      </c>
      <c r="B2" t="s">
        <v>29</v>
      </c>
      <c r="C2" t="s">
        <v>25</v>
      </c>
      <c r="D2" t="s">
        <v>0</v>
      </c>
      <c r="E2" t="s">
        <v>1</v>
      </c>
      <c r="F2" t="s">
        <v>2</v>
      </c>
      <c r="G2" t="s">
        <v>24</v>
      </c>
      <c r="H2" t="s">
        <v>23</v>
      </c>
      <c r="I2" t="s">
        <v>22</v>
      </c>
      <c r="J2" t="s">
        <v>31</v>
      </c>
      <c r="K2" t="s">
        <v>32</v>
      </c>
      <c r="L2" t="s">
        <v>21</v>
      </c>
      <c r="M2" t="s">
        <v>20</v>
      </c>
      <c r="N2" t="s">
        <v>27</v>
      </c>
      <c r="O2" t="s">
        <v>28</v>
      </c>
    </row>
    <row r="3" spans="1:43" x14ac:dyDescent="0.75">
      <c r="A3">
        <v>1</v>
      </c>
      <c r="B3" t="s">
        <v>18</v>
      </c>
      <c r="C3">
        <v>10</v>
      </c>
      <c r="D3">
        <v>8</v>
      </c>
      <c r="E3">
        <v>1</v>
      </c>
      <c r="F3">
        <v>1</v>
      </c>
      <c r="G3">
        <v>28</v>
      </c>
      <c r="H3">
        <v>5</v>
      </c>
      <c r="I3">
        <v>23</v>
      </c>
      <c r="J3">
        <f>Table1[[#This Row],[GF]]/Table1[[#This Row],[P]]</f>
        <v>2.8</v>
      </c>
      <c r="K3">
        <f>Table1[[#This Row],[GA]]/Table1[[#This Row],[P]]</f>
        <v>0.5</v>
      </c>
      <c r="L3">
        <v>2.08</v>
      </c>
      <c r="M3">
        <v>0.69</v>
      </c>
      <c r="N3">
        <f>Table1[[#This Row],[xg]]/Table1[[#Totals],[GPG]]</f>
        <v>1.4191897654584222</v>
      </c>
      <c r="O3">
        <f>Table1[[#This Row],[xga]]/Table1[[#Totals],[GaPG]]</f>
        <v>0.7082781456953644</v>
      </c>
    </row>
    <row r="4" spans="1:43" x14ac:dyDescent="0.75">
      <c r="A4">
        <v>2</v>
      </c>
      <c r="B4" t="s">
        <v>11</v>
      </c>
      <c r="C4">
        <v>10</v>
      </c>
      <c r="D4">
        <v>6</v>
      </c>
      <c r="E4">
        <v>1</v>
      </c>
      <c r="F4">
        <v>3</v>
      </c>
      <c r="G4">
        <v>10</v>
      </c>
      <c r="H4">
        <v>9</v>
      </c>
      <c r="I4">
        <v>1</v>
      </c>
      <c r="J4">
        <v>1</v>
      </c>
      <c r="K4">
        <v>0.9</v>
      </c>
      <c r="L4">
        <v>1.21</v>
      </c>
      <c r="M4">
        <v>1.58</v>
      </c>
      <c r="N4">
        <f>Table1[[#This Row],[xg]]/Table1[[#Totals],[GPG]]</f>
        <v>0.82558635394456292</v>
      </c>
      <c r="O4">
        <f>Table1[[#This Row],[xga]]/Table1[[#Totals],[GaPG]]</f>
        <v>1.6218543046357621</v>
      </c>
    </row>
    <row r="5" spans="1:43" x14ac:dyDescent="0.75">
      <c r="A5">
        <v>3</v>
      </c>
      <c r="B5" t="s">
        <v>4</v>
      </c>
      <c r="C5">
        <v>10</v>
      </c>
      <c r="D5">
        <v>4</v>
      </c>
      <c r="E5">
        <v>2</v>
      </c>
      <c r="F5">
        <v>4</v>
      </c>
      <c r="G5">
        <v>13</v>
      </c>
      <c r="H5">
        <v>12</v>
      </c>
      <c r="I5">
        <v>1</v>
      </c>
      <c r="J5">
        <v>1.3</v>
      </c>
      <c r="K5">
        <v>1.2</v>
      </c>
      <c r="L5">
        <v>1.64</v>
      </c>
      <c r="M5">
        <v>1.32</v>
      </c>
      <c r="N5">
        <f>Table1[[#This Row],[xg]]/Table1[[#Totals],[GPG]]</f>
        <v>1.1189765458422174</v>
      </c>
      <c r="O5">
        <f>Table1[[#This Row],[xga]]/Table1[[#Totals],[GaPG]]</f>
        <v>1.3549668874172189</v>
      </c>
      <c r="T5">
        <v>1</v>
      </c>
      <c r="U5">
        <v>2</v>
      </c>
      <c r="AB5" t="s">
        <v>99</v>
      </c>
    </row>
    <row r="6" spans="1:43" x14ac:dyDescent="0.75">
      <c r="A6">
        <v>4</v>
      </c>
      <c r="B6" t="s">
        <v>19</v>
      </c>
      <c r="C6">
        <v>10</v>
      </c>
      <c r="D6">
        <v>9</v>
      </c>
      <c r="E6">
        <v>1</v>
      </c>
      <c r="F6">
        <v>0</v>
      </c>
      <c r="G6">
        <v>30</v>
      </c>
      <c r="H6">
        <v>3</v>
      </c>
      <c r="I6">
        <v>27</v>
      </c>
      <c r="J6">
        <v>3</v>
      </c>
      <c r="K6">
        <v>0.3</v>
      </c>
      <c r="L6">
        <v>2.4300000000000002</v>
      </c>
      <c r="M6">
        <v>1.03</v>
      </c>
      <c r="N6">
        <f>Table1[[#This Row],[xg]]/Table1[[#Totals],[GPG]]</f>
        <v>1.657995735607676</v>
      </c>
      <c r="O6">
        <f>Table1[[#This Row],[xga]]/Table1[[#Totals],[GaPG]]</f>
        <v>1.0572847682119209</v>
      </c>
      <c r="T6" s="2" t="s">
        <v>18</v>
      </c>
      <c r="U6" s="2" t="s">
        <v>76</v>
      </c>
      <c r="W6" t="s">
        <v>33</v>
      </c>
      <c r="AA6">
        <v>1</v>
      </c>
      <c r="AB6" cm="1">
        <f t="array" aca="1" ref="AB6" ca="1">_xll.RiskMean($Y$7,AA6)</f>
        <v>3</v>
      </c>
    </row>
    <row r="7" spans="1:43" x14ac:dyDescent="0.75">
      <c r="A7">
        <v>5</v>
      </c>
      <c r="B7" t="s">
        <v>84</v>
      </c>
      <c r="C7">
        <v>10</v>
      </c>
      <c r="D7">
        <v>2</v>
      </c>
      <c r="E7">
        <v>4</v>
      </c>
      <c r="F7">
        <v>4</v>
      </c>
      <c r="G7">
        <v>11</v>
      </c>
      <c r="H7">
        <v>14</v>
      </c>
      <c r="I7">
        <v>-3</v>
      </c>
      <c r="J7">
        <v>1.1000000000000001</v>
      </c>
      <c r="K7">
        <v>1.4</v>
      </c>
      <c r="L7">
        <v>1.56</v>
      </c>
      <c r="M7">
        <v>1.32</v>
      </c>
      <c r="N7">
        <f>Table1[[#This Row],[xg]]/Table1[[#Totals],[GPG]]</f>
        <v>1.0643923240938167</v>
      </c>
      <c r="O7">
        <f>Table1[[#This Row],[xga]]/Table1[[#Totals],[GaPG]]</f>
        <v>1.3549668874172189</v>
      </c>
      <c r="S7" t="s">
        <v>46</v>
      </c>
      <c r="T7">
        <f>INDEX(Table1[Team '#],MATCH(T6,Table1[Team],0))</f>
        <v>1</v>
      </c>
      <c r="U7">
        <f>INDEX(Table1[Team '#],MATCH(U6,Table1[Team],0))</f>
        <v>12</v>
      </c>
      <c r="W7" t="s">
        <v>34</v>
      </c>
      <c r="X7">
        <v>1</v>
      </c>
      <c r="Y7" s="7" cm="1">
        <f t="array" aca="1" ref="Y7" ca="1">_xll.RiskOutput()+IF(T9=U9,3,INDEX(T5:U5,MATCH(MAX(T9:U9),T9:U9,0)))</f>
        <v>3</v>
      </c>
    </row>
    <row r="8" spans="1:43" x14ac:dyDescent="0.75">
      <c r="A8">
        <v>6</v>
      </c>
      <c r="B8" t="s">
        <v>85</v>
      </c>
      <c r="C8">
        <v>10</v>
      </c>
      <c r="D8">
        <v>3</v>
      </c>
      <c r="E8">
        <v>1</v>
      </c>
      <c r="F8">
        <v>6</v>
      </c>
      <c r="G8">
        <v>14</v>
      </c>
      <c r="H8">
        <v>16</v>
      </c>
      <c r="I8">
        <v>-2</v>
      </c>
      <c r="J8">
        <v>1.4</v>
      </c>
      <c r="K8">
        <v>1.6</v>
      </c>
      <c r="L8">
        <v>1.43</v>
      </c>
      <c r="M8">
        <v>1.1299999999999999</v>
      </c>
      <c r="N8">
        <f>Table1[[#This Row],[xg]]/Table1[[#Totals],[GPG]]</f>
        <v>0.97569296375266523</v>
      </c>
      <c r="O8">
        <f>Table1[[#This Row],[xga]]/Table1[[#Totals],[GaPG]]</f>
        <v>1.1599337748344374</v>
      </c>
      <c r="S8" t="s">
        <v>30</v>
      </c>
      <c r="T8">
        <f>VLOOKUP(T7,Table1[],14,FALSE)*VLOOKUP(U7,Table1[],15,FALSE)*Table1[[#Totals],[GPG]]</f>
        <v>2.369960264900663</v>
      </c>
      <c r="U8">
        <f>VLOOKUP(T7,Table1[],15,FALSE)*VLOOKUP(U7,Table1[],14,FALSE)*Table1[[#Totals],[GPG]]</f>
        <v>1.4519701986754969</v>
      </c>
      <c r="W8" t="s">
        <v>35</v>
      </c>
      <c r="X8">
        <v>2</v>
      </c>
      <c r="AL8" t="s">
        <v>29</v>
      </c>
      <c r="AM8" t="s">
        <v>89</v>
      </c>
      <c r="AN8" t="s">
        <v>40</v>
      </c>
      <c r="AO8" t="s">
        <v>90</v>
      </c>
      <c r="AP8" t="s">
        <v>41</v>
      </c>
      <c r="AQ8" t="s">
        <v>91</v>
      </c>
    </row>
    <row r="9" spans="1:43" x14ac:dyDescent="0.75">
      <c r="A9">
        <v>7</v>
      </c>
      <c r="B9" t="s">
        <v>10</v>
      </c>
      <c r="C9">
        <v>10</v>
      </c>
      <c r="D9">
        <v>6</v>
      </c>
      <c r="E9">
        <v>1</v>
      </c>
      <c r="F9">
        <v>3</v>
      </c>
      <c r="G9">
        <v>14</v>
      </c>
      <c r="H9">
        <v>16</v>
      </c>
      <c r="I9">
        <v>-2</v>
      </c>
      <c r="J9">
        <v>1.4</v>
      </c>
      <c r="L9">
        <v>0.82</v>
      </c>
      <c r="M9">
        <v>1.92</v>
      </c>
      <c r="N9">
        <f>Table1[[#This Row],[xg]]/Table1[[#Totals],[GPG]]</f>
        <v>0.5594882729211087</v>
      </c>
      <c r="O9">
        <f>Table1[[#This Row],[xga]]/Table1[[#Totals],[GaPG]]</f>
        <v>1.9708609271523183</v>
      </c>
      <c r="S9" t="s">
        <v>102</v>
      </c>
      <c r="T9" cm="1">
        <f t="array" aca="1" ref="T9" ca="1">_xll.RiskPoisson(T8)</f>
        <v>1</v>
      </c>
      <c r="U9" cm="1">
        <f t="array" aca="1" ref="U9" ca="1">_xll.RiskPoisson(U8)</f>
        <v>1</v>
      </c>
      <c r="W9" t="s">
        <v>36</v>
      </c>
      <c r="X9">
        <v>3</v>
      </c>
      <c r="AL9" cm="1">
        <f t="array" aca="1" ref="AL9" ca="1">_xll.RiskSimtable(X7:X9)</f>
        <v>1</v>
      </c>
    </row>
    <row r="10" spans="1:43" x14ac:dyDescent="0.75">
      <c r="A10">
        <v>8</v>
      </c>
      <c r="B10" t="s">
        <v>16</v>
      </c>
      <c r="C10">
        <v>10</v>
      </c>
      <c r="D10">
        <v>6</v>
      </c>
      <c r="E10">
        <v>4</v>
      </c>
      <c r="F10">
        <v>0</v>
      </c>
      <c r="G10">
        <v>14</v>
      </c>
      <c r="H10">
        <v>5</v>
      </c>
      <c r="I10">
        <v>9</v>
      </c>
      <c r="J10">
        <f>Table1[[#This Row],[GF]]/Table1[[#This Row],[P]]</f>
        <v>1.4</v>
      </c>
      <c r="K10">
        <f>Table1[[#This Row],[GA]]/Table1[[#This Row],[P]]</f>
        <v>0.5</v>
      </c>
      <c r="L10">
        <v>1.23</v>
      </c>
      <c r="M10">
        <v>1.43</v>
      </c>
      <c r="N10">
        <f>Table1[[#This Row],[xg]]/Table1[[#Totals],[GPG]]</f>
        <v>0.8392324093816631</v>
      </c>
      <c r="O10">
        <f>Table1[[#This Row],[xga]]/Table1[[#Totals],[GaPG]]</f>
        <v>1.4678807947019872</v>
      </c>
      <c r="AL10" t="s">
        <v>98</v>
      </c>
      <c r="AM10" t="s">
        <v>100</v>
      </c>
      <c r="AN10" t="s">
        <v>101</v>
      </c>
      <c r="AO10" t="e">
        <f ca="1">VLOOKUP(AL9,AE15:AF17,2,FALSE)</f>
        <v>#N/A</v>
      </c>
      <c r="AP10" t="s">
        <v>95</v>
      </c>
      <c r="AQ10" t="e">
        <f ca="1">IF(AM10&gt;AO10,0,AO10*AP10)</f>
        <v>#N/A</v>
      </c>
    </row>
    <row r="11" spans="1:43" x14ac:dyDescent="0.75">
      <c r="A11">
        <v>9</v>
      </c>
      <c r="B11" t="s">
        <v>5</v>
      </c>
      <c r="C11">
        <v>10</v>
      </c>
      <c r="D11">
        <v>5</v>
      </c>
      <c r="E11">
        <v>1</v>
      </c>
      <c r="F11">
        <v>4</v>
      </c>
      <c r="G11">
        <v>13</v>
      </c>
      <c r="H11">
        <v>8</v>
      </c>
      <c r="I11">
        <v>5</v>
      </c>
      <c r="J11">
        <v>1.3</v>
      </c>
      <c r="K11">
        <v>0.8</v>
      </c>
      <c r="L11">
        <v>1.45</v>
      </c>
      <c r="M11">
        <v>1.5</v>
      </c>
      <c r="N11">
        <f>Table1[[#This Row],[xg]]/Table1[[#Totals],[GPG]]</f>
        <v>0.98933901918976541</v>
      </c>
      <c r="O11">
        <f>Table1[[#This Row],[xga]]/Table1[[#Totals],[GaPG]]</f>
        <v>1.5397350993377488</v>
      </c>
      <c r="W11" s="10" t="s">
        <v>37</v>
      </c>
      <c r="X11" s="10" t="s">
        <v>38</v>
      </c>
      <c r="Y11" s="10" t="s">
        <v>39</v>
      </c>
      <c r="Z11" s="10" t="s">
        <v>40</v>
      </c>
      <c r="AC11" t="s">
        <v>37</v>
      </c>
      <c r="AD11" t="s">
        <v>38</v>
      </c>
      <c r="AE11" t="s">
        <v>39</v>
      </c>
      <c r="AF11" t="s">
        <v>40</v>
      </c>
    </row>
    <row r="12" spans="1:43" x14ac:dyDescent="0.75">
      <c r="A12">
        <v>10</v>
      </c>
      <c r="B12" t="s">
        <v>73</v>
      </c>
      <c r="C12">
        <v>10</v>
      </c>
      <c r="D12">
        <v>3</v>
      </c>
      <c r="E12">
        <v>6</v>
      </c>
      <c r="F12">
        <v>1</v>
      </c>
      <c r="G12">
        <v>7</v>
      </c>
      <c r="H12">
        <v>4</v>
      </c>
      <c r="I12">
        <v>3</v>
      </c>
      <c r="J12">
        <v>0.7</v>
      </c>
      <c r="K12">
        <v>0.4</v>
      </c>
      <c r="L12">
        <v>1.53</v>
      </c>
      <c r="M12">
        <v>0.99</v>
      </c>
      <c r="N12">
        <f>Table1[[#This Row],[xg]]/Table1[[#Totals],[GPG]]</f>
        <v>1.0439232409381665</v>
      </c>
      <c r="O12">
        <f>Table1[[#This Row],[xga]]/Table1[[#Totals],[GaPG]]</f>
        <v>1.0162251655629142</v>
      </c>
      <c r="W12" s="10" t="s">
        <v>34</v>
      </c>
      <c r="X12" s="11" cm="1">
        <f t="array" aca="1" ref="X12" ca="1">_xll.RiskTarget($Y$7,X7)</f>
        <v>0</v>
      </c>
      <c r="Y12" s="10" t="e">
        <f ca="1">(1/X12)</f>
        <v>#DIV/0!</v>
      </c>
      <c r="Z12" s="10" t="e">
        <f ca="1">IF(Y12&gt;=2,(Y12-1)*100,(-100)/(Y12-1))</f>
        <v>#DIV/0!</v>
      </c>
      <c r="AC12" t="s">
        <v>34</v>
      </c>
      <c r="AD12">
        <v>0.60099999999999998</v>
      </c>
      <c r="AE12">
        <v>1.6638935108153079</v>
      </c>
      <c r="AF12">
        <v>-150.62656641604008</v>
      </c>
    </row>
    <row r="13" spans="1:43" x14ac:dyDescent="0.75">
      <c r="A13">
        <v>11</v>
      </c>
      <c r="B13" t="s">
        <v>81</v>
      </c>
      <c r="C13">
        <v>10</v>
      </c>
      <c r="D13">
        <v>3</v>
      </c>
      <c r="E13">
        <v>4</v>
      </c>
      <c r="F13">
        <v>3</v>
      </c>
      <c r="G13">
        <v>16</v>
      </c>
      <c r="H13">
        <v>12</v>
      </c>
      <c r="I13">
        <v>4</v>
      </c>
      <c r="J13">
        <v>1.6</v>
      </c>
      <c r="K13">
        <v>1.2</v>
      </c>
      <c r="L13">
        <v>1.93</v>
      </c>
      <c r="M13">
        <v>1.0900000000000001</v>
      </c>
      <c r="N13">
        <f>Table1[[#This Row],[xg]]/Table1[[#Totals],[GPG]]</f>
        <v>1.3168443496801705</v>
      </c>
      <c r="O13">
        <f>Table1[[#This Row],[xga]]/Table1[[#Totals],[GaPG]]</f>
        <v>1.1188741721854309</v>
      </c>
      <c r="W13" s="10" t="s">
        <v>35</v>
      </c>
      <c r="X13" s="11" cm="1">
        <f t="array" aca="1" ref="X13" ca="1">_xll.RiskTarget($Y$7,X8)-X12</f>
        <v>0</v>
      </c>
      <c r="Y13" s="10" t="e">
        <f t="shared" ref="Y13:Y14" ca="1" si="0">(1/X13)</f>
        <v>#DIV/0!</v>
      </c>
      <c r="Z13" s="10" t="e">
        <f t="shared" ref="Z13:Z14" ca="1" si="1">IF(Y13&gt;=2,(Y13-1)*100,(-100)/(Y13-1))</f>
        <v>#DIV/0!</v>
      </c>
      <c r="AC13" t="s">
        <v>35</v>
      </c>
      <c r="AD13">
        <v>0.20500000000000007</v>
      </c>
      <c r="AE13">
        <v>4.878048780487803</v>
      </c>
      <c r="AF13">
        <v>387.80487804878032</v>
      </c>
    </row>
    <row r="14" spans="1:43" x14ac:dyDescent="0.75">
      <c r="A14">
        <v>12</v>
      </c>
      <c r="B14" t="s">
        <v>76</v>
      </c>
      <c r="C14">
        <v>10</v>
      </c>
      <c r="D14">
        <v>6</v>
      </c>
      <c r="E14">
        <v>1</v>
      </c>
      <c r="F14">
        <v>3</v>
      </c>
      <c r="G14">
        <v>16</v>
      </c>
      <c r="H14">
        <v>9</v>
      </c>
      <c r="I14">
        <v>7</v>
      </c>
      <c r="J14">
        <f>Table1[[#This Row],[GF]]/Table1[[#This Row],[P]]</f>
        <v>1.6</v>
      </c>
      <c r="K14">
        <f>Table1[[#This Row],[GA]]/Table1[[#This Row],[P]]</f>
        <v>0.9</v>
      </c>
      <c r="L14">
        <v>2.0499999999999998</v>
      </c>
      <c r="M14">
        <v>1.1100000000000001</v>
      </c>
      <c r="N14">
        <f>Table1[[#This Row],[xg]]/Table1[[#Totals],[GPG]]</f>
        <v>1.3987206823027718</v>
      </c>
      <c r="O14">
        <f>Table1[[#This Row],[xga]]/Table1[[#Totals],[GaPG]]</f>
        <v>1.1394039735099342</v>
      </c>
      <c r="W14" s="10" t="s">
        <v>36</v>
      </c>
      <c r="X14" s="11" cm="1">
        <f t="array" aca="1" ref="X14" ca="1">_xll.RiskTarget($Y$7,X9)-X12-X13</f>
        <v>1</v>
      </c>
      <c r="Y14" s="10">
        <f t="shared" ca="1" si="0"/>
        <v>1</v>
      </c>
      <c r="Z14" s="10" t="e">
        <f t="shared" ca="1" si="1"/>
        <v>#DIV/0!</v>
      </c>
      <c r="AC14" t="s">
        <v>36</v>
      </c>
      <c r="AD14">
        <v>0.19399999999999995</v>
      </c>
      <c r="AE14">
        <v>5.1546391752577332</v>
      </c>
      <c r="AF14">
        <v>415.4639175257733</v>
      </c>
    </row>
    <row r="15" spans="1:43" x14ac:dyDescent="0.75">
      <c r="A15">
        <v>13</v>
      </c>
      <c r="B15" t="s">
        <v>77</v>
      </c>
      <c r="C15">
        <v>10</v>
      </c>
      <c r="D15">
        <v>3</v>
      </c>
      <c r="E15">
        <v>5</v>
      </c>
      <c r="F15">
        <v>2</v>
      </c>
      <c r="G15">
        <v>18</v>
      </c>
      <c r="H15">
        <v>14</v>
      </c>
      <c r="I15">
        <v>4</v>
      </c>
      <c r="J15">
        <v>1.8</v>
      </c>
      <c r="K15">
        <v>1.4</v>
      </c>
      <c r="L15">
        <v>2.1800000000000002</v>
      </c>
      <c r="M15">
        <v>1.35</v>
      </c>
      <c r="N15">
        <f>Table1[[#This Row],[xg]]/Table1[[#Totals],[GPG]]</f>
        <v>1.4874200426439235</v>
      </c>
      <c r="O15">
        <f>Table1[[#This Row],[xga]]/Table1[[#Totals],[GaPG]]</f>
        <v>1.3857615894039741</v>
      </c>
    </row>
    <row r="16" spans="1:43" x14ac:dyDescent="0.75">
      <c r="A16">
        <v>14</v>
      </c>
      <c r="B16" t="s">
        <v>74</v>
      </c>
      <c r="C16">
        <v>10</v>
      </c>
      <c r="D16">
        <v>4</v>
      </c>
      <c r="E16">
        <v>3</v>
      </c>
      <c r="F16">
        <v>3</v>
      </c>
      <c r="G16" s="1">
        <v>15</v>
      </c>
      <c r="H16">
        <v>13</v>
      </c>
      <c r="I16" s="1">
        <v>2</v>
      </c>
      <c r="J16" s="1">
        <v>1.5</v>
      </c>
      <c r="K16">
        <v>1.3</v>
      </c>
      <c r="L16">
        <v>1.57</v>
      </c>
      <c r="M16">
        <v>1.33</v>
      </c>
      <c r="N16">
        <f>Table1[[#This Row],[xg]]/Table1[[#Totals],[GPG]]</f>
        <v>1.0712153518123668</v>
      </c>
      <c r="O16">
        <f>Table1[[#This Row],[xga]]/Table1[[#Totals],[GaPG]]</f>
        <v>1.3652317880794707</v>
      </c>
    </row>
    <row r="17" spans="1:30" x14ac:dyDescent="0.75">
      <c r="A17">
        <v>15</v>
      </c>
      <c r="B17" t="s">
        <v>6</v>
      </c>
      <c r="C17">
        <v>10</v>
      </c>
      <c r="D17">
        <v>5</v>
      </c>
      <c r="E17">
        <v>1</v>
      </c>
      <c r="F17">
        <v>4</v>
      </c>
      <c r="G17">
        <v>11</v>
      </c>
      <c r="H17">
        <v>12</v>
      </c>
      <c r="I17">
        <v>-1</v>
      </c>
      <c r="J17">
        <v>1.1000000000000001</v>
      </c>
      <c r="K17">
        <v>1.2</v>
      </c>
      <c r="L17">
        <v>1.22</v>
      </c>
      <c r="M17">
        <v>1.58</v>
      </c>
      <c r="N17">
        <f>Table1[[#This Row],[xg]]/Table1[[#Totals],[GPG]]</f>
        <v>0.83240938166311307</v>
      </c>
      <c r="O17">
        <f>Table1[[#This Row],[xga]]/Table1[[#Totals],[GaPG]]</f>
        <v>1.6218543046357621</v>
      </c>
      <c r="S17" t="s">
        <v>103</v>
      </c>
      <c r="U17" t="s">
        <v>29</v>
      </c>
      <c r="V17" t="s">
        <v>122</v>
      </c>
      <c r="W17" t="s">
        <v>42</v>
      </c>
      <c r="X17" t="s">
        <v>43</v>
      </c>
      <c r="Z17" t="s">
        <v>45</v>
      </c>
      <c r="AA17" t="s">
        <v>44</v>
      </c>
      <c r="AB17" t="s">
        <v>128</v>
      </c>
      <c r="AC17" t="s">
        <v>127</v>
      </c>
    </row>
    <row r="18" spans="1:30" x14ac:dyDescent="0.75">
      <c r="A18">
        <v>16</v>
      </c>
      <c r="B18" t="s">
        <v>7</v>
      </c>
      <c r="C18">
        <v>10</v>
      </c>
      <c r="D18">
        <v>5</v>
      </c>
      <c r="E18">
        <v>2</v>
      </c>
      <c r="F18">
        <v>3</v>
      </c>
      <c r="G18">
        <v>14</v>
      </c>
      <c r="H18">
        <v>8</v>
      </c>
      <c r="I18">
        <v>6</v>
      </c>
      <c r="J18">
        <v>1.4</v>
      </c>
      <c r="K18">
        <v>0.8</v>
      </c>
      <c r="L18">
        <v>1.68</v>
      </c>
      <c r="M18">
        <v>1.41</v>
      </c>
      <c r="N18">
        <f>Table1[[#This Row],[xg]]/Table1[[#Totals],[GPG]]</f>
        <v>1.146268656716418</v>
      </c>
      <c r="O18">
        <f>Table1[[#This Row],[xga]]/Table1[[#Totals],[GaPG]]</f>
        <v>1.4473509933774837</v>
      </c>
      <c r="U18" t="s">
        <v>34</v>
      </c>
      <c r="V18" s="4" cm="1">
        <f t="array" aca="1" ref="V18" ca="1">_xll.RiskUniform(1,20)</f>
        <v>13.595252229992182</v>
      </c>
      <c r="W18" t="e">
        <f ca="1">Y12</f>
        <v>#DIV/0!</v>
      </c>
      <c r="X18">
        <v>2.8</v>
      </c>
      <c r="Z18" t="e">
        <f ca="1">IF(W18&gt;X18,"Don’t ","Bet")</f>
        <v>#DIV/0!</v>
      </c>
      <c r="AA18" s="6" t="e">
        <f ca="1">MAX(V18*W18,V18*X18)-V18</f>
        <v>#DIV/0!</v>
      </c>
      <c r="AB18" s="12" t="e">
        <f ca="1">X12-((1-X12)/Y12)</f>
        <v>#DIV/0!</v>
      </c>
      <c r="AC18">
        <v>1</v>
      </c>
      <c r="AD18" t="e">
        <f ca="1">PRODUCT(AB18:AC18)</f>
        <v>#DIV/0!</v>
      </c>
    </row>
    <row r="19" spans="1:30" x14ac:dyDescent="0.75">
      <c r="A19">
        <v>17</v>
      </c>
      <c r="B19" t="s">
        <v>82</v>
      </c>
      <c r="C19">
        <v>10</v>
      </c>
      <c r="D19">
        <v>3</v>
      </c>
      <c r="E19">
        <v>3</v>
      </c>
      <c r="F19">
        <v>4</v>
      </c>
      <c r="G19">
        <v>12</v>
      </c>
      <c r="H19">
        <v>11</v>
      </c>
      <c r="I19">
        <v>1</v>
      </c>
      <c r="J19">
        <v>1.2</v>
      </c>
      <c r="K19">
        <v>1.1000000000000001</v>
      </c>
      <c r="L19">
        <v>1.91</v>
      </c>
      <c r="M19">
        <v>0.88</v>
      </c>
      <c r="N19">
        <f>Table1[[#This Row],[xg]]/Table1[[#Totals],[GPG]]</f>
        <v>1.3031982942430704</v>
      </c>
      <c r="O19">
        <f>Table1[[#This Row],[xga]]/Table1[[#Totals],[GaPG]]</f>
        <v>0.90331125827814596</v>
      </c>
      <c r="U19" t="s">
        <v>35</v>
      </c>
      <c r="V19" s="4" cm="1">
        <f t="array" aca="1" ref="V19" ca="1">_xll.RiskUniform(1,20)</f>
        <v>18.155151487598733</v>
      </c>
      <c r="W19" t="e">
        <f ca="1">Y13</f>
        <v>#DIV/0!</v>
      </c>
      <c r="X19">
        <v>2.8</v>
      </c>
      <c r="Z19" t="e">
        <f ca="1">IF(W19&gt;X19,"Don’t","Bet")</f>
        <v>#DIV/0!</v>
      </c>
      <c r="AA19" s="6" t="e">
        <f t="shared" ref="AA19:AA20" ca="1" si="2">MAX(V19*W19,V19*X19)-V19</f>
        <v>#DIV/0!</v>
      </c>
      <c r="AB19" s="12" t="e">
        <f t="shared" ref="AB19:AB20" ca="1" si="3">X13-((1-X13)/Y13)</f>
        <v>#DIV/0!</v>
      </c>
      <c r="AC19">
        <v>1</v>
      </c>
      <c r="AD19" t="e">
        <f t="shared" ref="AD19:AD20" ca="1" si="4">PRODUCT(AB19:AC19)</f>
        <v>#DIV/0!</v>
      </c>
    </row>
    <row r="20" spans="1:30" x14ac:dyDescent="0.75">
      <c r="A20">
        <v>18</v>
      </c>
      <c r="B20" t="s">
        <v>13</v>
      </c>
      <c r="C20">
        <v>10</v>
      </c>
      <c r="D20" s="5">
        <v>7</v>
      </c>
      <c r="E20">
        <v>3</v>
      </c>
      <c r="F20">
        <v>0</v>
      </c>
      <c r="G20">
        <v>14</v>
      </c>
      <c r="H20">
        <v>2</v>
      </c>
      <c r="I20">
        <v>12</v>
      </c>
      <c r="J20">
        <f>Table1[[#This Row],[GF]]/Table1[[#This Row],[P]]</f>
        <v>1.4</v>
      </c>
      <c r="K20">
        <f>Table1[[#This Row],[GA]]/Table1[[#This Row],[P]]</f>
        <v>0.2</v>
      </c>
      <c r="L20">
        <v>1.82</v>
      </c>
      <c r="M20">
        <v>1.0900000000000001</v>
      </c>
      <c r="N20">
        <f>Table1[[#This Row],[xg]]/Table1[[#Totals],[GPG]]</f>
        <v>1.2417910447761196</v>
      </c>
      <c r="O20">
        <f>Table1[[#This Row],[xga]]/Table1[[#Totals],[GaPG]]</f>
        <v>1.1188741721854309</v>
      </c>
      <c r="U20" t="s">
        <v>36</v>
      </c>
      <c r="V20" s="4" cm="1">
        <f t="array" aca="1" ref="V20" ca="1">_xll.RiskUniform(1,20)</f>
        <v>12.367042941346075</v>
      </c>
      <c r="W20">
        <f ca="1">Y14</f>
        <v>1</v>
      </c>
      <c r="X20">
        <v>3</v>
      </c>
      <c r="Z20" t="str">
        <f ca="1">IF(W20&gt;X20,"Don’t ","Bet")</f>
        <v>Bet</v>
      </c>
      <c r="AA20" s="6">
        <f t="shared" ca="1" si="2"/>
        <v>24.734085882692153</v>
      </c>
      <c r="AB20" s="12">
        <f t="shared" ca="1" si="3"/>
        <v>1</v>
      </c>
      <c r="AC20">
        <v>1</v>
      </c>
      <c r="AD20">
        <f t="shared" ca="1" si="4"/>
        <v>1</v>
      </c>
    </row>
    <row r="21" spans="1:30" x14ac:dyDescent="0.75">
      <c r="A21">
        <v>19</v>
      </c>
      <c r="B21" t="s">
        <v>17</v>
      </c>
      <c r="C21">
        <v>10</v>
      </c>
      <c r="D21">
        <v>7</v>
      </c>
      <c r="E21">
        <v>3</v>
      </c>
      <c r="F21">
        <v>0</v>
      </c>
      <c r="G21">
        <v>20</v>
      </c>
      <c r="H21">
        <v>8</v>
      </c>
      <c r="I21">
        <v>12</v>
      </c>
      <c r="J21">
        <v>2</v>
      </c>
      <c r="K21">
        <v>0.8</v>
      </c>
      <c r="L21">
        <v>2.02</v>
      </c>
      <c r="M21">
        <v>1.07</v>
      </c>
      <c r="N21">
        <f>Table1[[#This Row],[xg]]/Table1[[#Totals],[GPG]]</f>
        <v>1.3782515991471216</v>
      </c>
      <c r="O21">
        <f>Table1[[#This Row],[xga]]/Table1[[#Totals],[GaPG]]</f>
        <v>1.0983443708609275</v>
      </c>
    </row>
    <row r="22" spans="1:30" x14ac:dyDescent="0.75">
      <c r="A22">
        <v>20</v>
      </c>
      <c r="B22" t="s">
        <v>78</v>
      </c>
      <c r="C22">
        <v>10</v>
      </c>
      <c r="D22">
        <v>4</v>
      </c>
      <c r="E22">
        <v>2</v>
      </c>
      <c r="F22">
        <v>4</v>
      </c>
      <c r="G22">
        <v>9</v>
      </c>
      <c r="H22">
        <v>14</v>
      </c>
      <c r="I22">
        <v>-5</v>
      </c>
      <c r="J22">
        <v>0.9</v>
      </c>
      <c r="K22">
        <v>1.4</v>
      </c>
      <c r="L22">
        <v>0.9</v>
      </c>
      <c r="M22">
        <v>1.85</v>
      </c>
      <c r="N22">
        <f>Table1[[#This Row],[xg]]/Table1[[#Totals],[GPG]]</f>
        <v>0.61407249466950964</v>
      </c>
      <c r="O22">
        <f>Table1[[#This Row],[xga]]/Table1[[#Totals],[GaPG]]</f>
        <v>1.8990066225165569</v>
      </c>
      <c r="AA22" t="e">
        <f ca="1">SUMPRODUCT(AD12:AD14,AA18:AA20)</f>
        <v>#DIV/0!</v>
      </c>
    </row>
    <row r="23" spans="1:30" x14ac:dyDescent="0.75">
      <c r="A23">
        <v>21</v>
      </c>
      <c r="B23" t="s">
        <v>15</v>
      </c>
      <c r="C23">
        <v>10</v>
      </c>
      <c r="D23">
        <v>7</v>
      </c>
      <c r="E23">
        <v>1</v>
      </c>
      <c r="F23">
        <v>2</v>
      </c>
      <c r="G23">
        <v>26</v>
      </c>
      <c r="H23">
        <v>7</v>
      </c>
      <c r="I23">
        <v>19</v>
      </c>
      <c r="J23">
        <f>Table1[[#This Row],[GF]]/Table1[[#This Row],[P]]</f>
        <v>2.6</v>
      </c>
      <c r="K23">
        <f>Table1[[#This Row],[GA]]/Table1[[#This Row],[P]]</f>
        <v>0.7</v>
      </c>
      <c r="L23">
        <v>1.63</v>
      </c>
      <c r="M23">
        <v>1.1100000000000001</v>
      </c>
      <c r="N23">
        <f>Table1[[#This Row],[xg]]/Table1[[#Totals],[GPG]]</f>
        <v>1.1121535181236673</v>
      </c>
      <c r="O23">
        <f>Table1[[#This Row],[xga]]/Table1[[#Totals],[GaPG]]</f>
        <v>1.1394039735099342</v>
      </c>
      <c r="S23" t="s">
        <v>104</v>
      </c>
      <c r="W23" s="9"/>
      <c r="X23" s="9"/>
    </row>
    <row r="24" spans="1:30" x14ac:dyDescent="0.75">
      <c r="A24">
        <v>22</v>
      </c>
      <c r="B24" t="s">
        <v>83</v>
      </c>
      <c r="C24">
        <v>10</v>
      </c>
      <c r="D24">
        <v>3</v>
      </c>
      <c r="E24">
        <v>3</v>
      </c>
      <c r="F24">
        <v>4</v>
      </c>
      <c r="G24">
        <v>9</v>
      </c>
      <c r="H24">
        <v>13</v>
      </c>
      <c r="I24">
        <v>-4</v>
      </c>
      <c r="J24">
        <v>0.9</v>
      </c>
      <c r="K24">
        <v>1.3</v>
      </c>
      <c r="L24">
        <v>1.05</v>
      </c>
      <c r="M24">
        <v>1.3</v>
      </c>
      <c r="N24">
        <f>Table1[[#This Row],[xg]]/Table1[[#Totals],[GPG]]</f>
        <v>0.71641791044776126</v>
      </c>
      <c r="O24">
        <f>Table1[[#This Row],[xga]]/Table1[[#Totals],[GaPG]]</f>
        <v>1.3344370860927157</v>
      </c>
      <c r="S24" t="s">
        <v>105</v>
      </c>
      <c r="T24" t="s">
        <v>89</v>
      </c>
      <c r="U24" t="s">
        <v>43</v>
      </c>
      <c r="V24" t="s">
        <v>45</v>
      </c>
      <c r="W24" t="s">
        <v>110</v>
      </c>
      <c r="Y24" t="s">
        <v>89</v>
      </c>
      <c r="Z24" t="s">
        <v>112</v>
      </c>
      <c r="AA24" t="s">
        <v>113</v>
      </c>
    </row>
    <row r="25" spans="1:30" x14ac:dyDescent="0.75">
      <c r="A25">
        <v>23</v>
      </c>
      <c r="B25" t="s">
        <v>80</v>
      </c>
      <c r="C25">
        <v>10</v>
      </c>
      <c r="D25">
        <v>3</v>
      </c>
      <c r="E25">
        <v>4</v>
      </c>
      <c r="F25">
        <v>3</v>
      </c>
      <c r="G25">
        <v>7</v>
      </c>
      <c r="H25">
        <v>8</v>
      </c>
      <c r="I25">
        <v>-1</v>
      </c>
      <c r="J25">
        <v>0.7</v>
      </c>
      <c r="K25">
        <v>0.8</v>
      </c>
      <c r="L25">
        <v>1.26</v>
      </c>
      <c r="M25">
        <v>1.55</v>
      </c>
      <c r="N25">
        <f>Table1[[#This Row],[xg]]/Table1[[#Totals],[GPG]]</f>
        <v>0.85970149253731343</v>
      </c>
      <c r="O25">
        <f>Table1[[#This Row],[xga]]/Table1[[#Totals],[GaPG]]</f>
        <v>1.5910596026490071</v>
      </c>
      <c r="W25" s="9" t="s">
        <v>111</v>
      </c>
      <c r="X25" s="9"/>
      <c r="Y25">
        <f>1/(S33*S45)</f>
        <v>1.4403151884579706</v>
      </c>
      <c r="Z25">
        <v>1.95</v>
      </c>
      <c r="AA25" t="str">
        <f>IF(Z25&gt;Y25,"Bet","Don’t")</f>
        <v>Bet</v>
      </c>
    </row>
    <row r="26" spans="1:30" x14ac:dyDescent="0.75">
      <c r="A26">
        <v>24</v>
      </c>
      <c r="B26" t="s">
        <v>9</v>
      </c>
      <c r="C26">
        <v>10</v>
      </c>
      <c r="D26">
        <v>5</v>
      </c>
      <c r="E26">
        <v>3</v>
      </c>
      <c r="F26">
        <v>2</v>
      </c>
      <c r="G26">
        <v>17</v>
      </c>
      <c r="H26">
        <v>12</v>
      </c>
      <c r="I26">
        <v>5</v>
      </c>
      <c r="J26">
        <v>1.7</v>
      </c>
      <c r="K26">
        <v>1.2</v>
      </c>
      <c r="L26">
        <v>1.97</v>
      </c>
      <c r="M26">
        <v>1.08</v>
      </c>
      <c r="N26">
        <f>Table1[[#This Row],[xg]]/Table1[[#Totals],[GPG]]</f>
        <v>1.3441364605543711</v>
      </c>
      <c r="O26">
        <f>Table1[[#This Row],[xga]]/Table1[[#Totals],[GaPG]]</f>
        <v>1.1086092715231792</v>
      </c>
      <c r="S26">
        <f>_xlfn.POISSON.DIST(T23,$T$8,FALSE)</f>
        <v>9.3484440817801537E-2</v>
      </c>
      <c r="W26" t="s">
        <v>114</v>
      </c>
      <c r="Y26">
        <f>1/(S34*S46)</f>
        <v>45.692330615004266</v>
      </c>
      <c r="Z26">
        <v>1.71</v>
      </c>
      <c r="AA26" t="str">
        <f>IF(Z26&gt;Y26,"Bet","Don’t")</f>
        <v>Don’t</v>
      </c>
    </row>
    <row r="27" spans="1:30" x14ac:dyDescent="0.75">
      <c r="A27">
        <v>25</v>
      </c>
      <c r="B27" t="s">
        <v>8</v>
      </c>
      <c r="C27">
        <v>10</v>
      </c>
      <c r="D27">
        <v>5</v>
      </c>
      <c r="E27">
        <v>2</v>
      </c>
      <c r="F27">
        <v>3</v>
      </c>
      <c r="G27">
        <v>21</v>
      </c>
      <c r="H27">
        <v>14</v>
      </c>
      <c r="I27">
        <v>7</v>
      </c>
      <c r="J27">
        <v>2.1</v>
      </c>
      <c r="K27">
        <v>1.4</v>
      </c>
      <c r="L27">
        <v>1.49</v>
      </c>
      <c r="M27">
        <v>1.24</v>
      </c>
      <c r="N27">
        <f>Table1[[#This Row],[xg]]/Table1[[#Totals],[GPG]]</f>
        <v>1.0166311300639659</v>
      </c>
      <c r="O27">
        <f>Table1[[#This Row],[xga]]/Table1[[#Totals],[GaPG]]</f>
        <v>1.2728476821192056</v>
      </c>
      <c r="R27">
        <v>0</v>
      </c>
      <c r="S27">
        <f t="dataTable" ref="S27:S32" dt2D="0" dtr="0" r1="T23"/>
        <v>9.3484440817801537E-2</v>
      </c>
      <c r="T27">
        <f>1/S27</f>
        <v>10.696967230610824</v>
      </c>
      <c r="U27">
        <v>2.75</v>
      </c>
      <c r="V27" t="str">
        <f>IF(U27&gt;T27,"Bet","Don’t")</f>
        <v>Don’t</v>
      </c>
    </row>
    <row r="28" spans="1:30" x14ac:dyDescent="0.75">
      <c r="A28">
        <v>26</v>
      </c>
      <c r="B28" t="s">
        <v>72</v>
      </c>
      <c r="C28">
        <v>10</v>
      </c>
      <c r="D28">
        <v>4</v>
      </c>
      <c r="E28">
        <v>3</v>
      </c>
      <c r="F28">
        <v>3</v>
      </c>
      <c r="G28">
        <v>15</v>
      </c>
      <c r="H28">
        <v>14</v>
      </c>
      <c r="I28">
        <v>1</v>
      </c>
      <c r="J28">
        <v>1.5</v>
      </c>
      <c r="K28">
        <v>1.4</v>
      </c>
      <c r="L28">
        <v>1.62</v>
      </c>
      <c r="M28">
        <v>1.08</v>
      </c>
      <c r="N28">
        <f>Table1[[#This Row],[xg]]/Table1[[#Totals],[GPG]]</f>
        <v>1.1053304904051173</v>
      </c>
      <c r="O28">
        <f>Table1[[#This Row],[xga]]/Table1[[#Totals],[GaPG]]</f>
        <v>1.1086092715231792</v>
      </c>
      <c r="R28">
        <v>1</v>
      </c>
      <c r="S28">
        <v>0.2215544101246473</v>
      </c>
      <c r="T28">
        <f t="shared" ref="T28:T32" si="5">1/S28</f>
        <v>4.5135639567607635</v>
      </c>
      <c r="U28">
        <v>2.5</v>
      </c>
      <c r="V28" t="str">
        <f t="shared" ref="V28:V46" si="6">IF(U28&gt;T28,"Bet","Don’t")</f>
        <v>Don’t</v>
      </c>
      <c r="W28" t="s">
        <v>123</v>
      </c>
    </row>
    <row r="29" spans="1:30" x14ac:dyDescent="0.75">
      <c r="A29">
        <v>27</v>
      </c>
      <c r="B29" t="s">
        <v>14</v>
      </c>
      <c r="C29">
        <v>10</v>
      </c>
      <c r="D29">
        <v>5</v>
      </c>
      <c r="E29">
        <v>3</v>
      </c>
      <c r="F29">
        <v>2</v>
      </c>
      <c r="G29">
        <v>20</v>
      </c>
      <c r="H29">
        <v>9</v>
      </c>
      <c r="I29">
        <v>11</v>
      </c>
      <c r="J29">
        <v>2</v>
      </c>
      <c r="K29">
        <v>0.9</v>
      </c>
      <c r="L29">
        <v>1.53</v>
      </c>
      <c r="M29">
        <v>0.92</v>
      </c>
      <c r="N29">
        <f>Table1[[#This Row],[xg]]/Table1[[#Totals],[GPG]]</f>
        <v>1.0439232409381665</v>
      </c>
      <c r="O29">
        <f>Table1[[#This Row],[xga]]/Table1[[#Totals],[GaPG]]</f>
        <v>0.94437086092715261</v>
      </c>
      <c r="R29">
        <v>2</v>
      </c>
      <c r="S29">
        <v>0.26253757425445967</v>
      </c>
      <c r="T29">
        <f t="shared" si="5"/>
        <v>3.8089785922634012</v>
      </c>
      <c r="U29">
        <v>4.34</v>
      </c>
      <c r="V29" t="str">
        <f t="shared" si="6"/>
        <v>Bet</v>
      </c>
      <c r="X29" t="e">
        <f ca="1">1/(X12*(S33*S45))</f>
        <v>#DIV/0!</v>
      </c>
      <c r="Y29">
        <v>6.5</v>
      </c>
      <c r="Z29" t="e">
        <f ca="1">IF(Y29&gt;X29,"Bet","Don’t")</f>
        <v>#DIV/0!</v>
      </c>
    </row>
    <row r="30" spans="1:30" x14ac:dyDescent="0.75">
      <c r="A30">
        <v>28</v>
      </c>
      <c r="B30" t="s">
        <v>79</v>
      </c>
      <c r="C30">
        <v>10</v>
      </c>
      <c r="D30">
        <v>4</v>
      </c>
      <c r="E30">
        <v>1</v>
      </c>
      <c r="F30">
        <v>5</v>
      </c>
      <c r="G30">
        <v>8</v>
      </c>
      <c r="H30">
        <v>13</v>
      </c>
      <c r="I30">
        <v>-5</v>
      </c>
      <c r="J30">
        <v>0.8</v>
      </c>
      <c r="K30">
        <v>1.3</v>
      </c>
      <c r="L30">
        <v>1.1599999999999999</v>
      </c>
      <c r="M30">
        <v>1.41</v>
      </c>
      <c r="N30">
        <f>Table1[[#This Row],[xg]]/Table1[[#Totals],[GPG]]</f>
        <v>0.79147121535181231</v>
      </c>
      <c r="O30">
        <f>Table1[[#This Row],[xga]]/Table1[[#Totals],[GaPG]]</f>
        <v>1.4473509933774837</v>
      </c>
      <c r="R30">
        <v>3</v>
      </c>
      <c r="S30">
        <v>0.20740120634215889</v>
      </c>
      <c r="T30">
        <f t="shared" si="5"/>
        <v>4.8215727267769894</v>
      </c>
      <c r="U30">
        <v>8</v>
      </c>
      <c r="V30" t="str">
        <f t="shared" si="6"/>
        <v>Bet</v>
      </c>
      <c r="W30" t="s">
        <v>124</v>
      </c>
    </row>
    <row r="31" spans="1:30" x14ac:dyDescent="0.75">
      <c r="A31">
        <v>29</v>
      </c>
      <c r="B31" t="s">
        <v>75</v>
      </c>
      <c r="C31">
        <v>10</v>
      </c>
      <c r="D31">
        <v>4</v>
      </c>
      <c r="E31">
        <v>3</v>
      </c>
      <c r="F31">
        <v>3</v>
      </c>
      <c r="G31">
        <v>8</v>
      </c>
      <c r="H31">
        <v>7</v>
      </c>
      <c r="I31">
        <v>1</v>
      </c>
      <c r="J31">
        <v>0.8</v>
      </c>
      <c r="K31">
        <v>0.7</v>
      </c>
      <c r="L31">
        <v>1.25</v>
      </c>
      <c r="M31">
        <v>1.32</v>
      </c>
      <c r="N31">
        <f>Table1[[#This Row],[xg]]/Table1[[#Totals],[GPG]]</f>
        <v>0.85287846481876339</v>
      </c>
      <c r="O31">
        <f>Table1[[#This Row],[xga]]/Table1[[#Totals],[GaPG]]</f>
        <v>1.3549668874172189</v>
      </c>
      <c r="R31">
        <v>4</v>
      </c>
      <c r="S31">
        <v>0.12288315448084502</v>
      </c>
      <c r="T31">
        <f t="shared" si="5"/>
        <v>8.1378119256848951</v>
      </c>
      <c r="U31">
        <v>8</v>
      </c>
      <c r="V31" t="str">
        <f t="shared" si="6"/>
        <v>Don’t</v>
      </c>
      <c r="X31" t="e">
        <f ca="1">1/(X12*(S34*S46))</f>
        <v>#DIV/0!</v>
      </c>
      <c r="Y31">
        <v>4.34</v>
      </c>
      <c r="Z31" t="e">
        <f t="shared" ref="Z31:Z35" ca="1" si="7">IF(Y31&gt;X31,"Bet","Don’t")</f>
        <v>#DIV/0!</v>
      </c>
    </row>
    <row r="32" spans="1:30" x14ac:dyDescent="0.75">
      <c r="A32">
        <v>30</v>
      </c>
      <c r="B32" t="s">
        <v>12</v>
      </c>
      <c r="C32">
        <v>10</v>
      </c>
      <c r="D32">
        <v>6</v>
      </c>
      <c r="E32">
        <v>2</v>
      </c>
      <c r="F32">
        <v>2</v>
      </c>
      <c r="G32">
        <v>17</v>
      </c>
      <c r="H32">
        <v>4</v>
      </c>
      <c r="I32">
        <v>13</v>
      </c>
      <c r="J32">
        <v>1.7</v>
      </c>
      <c r="K32">
        <v>0.4</v>
      </c>
      <c r="L32">
        <v>1.65</v>
      </c>
      <c r="M32">
        <v>1.19</v>
      </c>
      <c r="N32">
        <f>Table1[[#This Row],[xg]]/Table1[[#Totals],[GPG]]</f>
        <v>1.1257995735607675</v>
      </c>
      <c r="O32">
        <f>Table1[[#This Row],[xga]]/Table1[[#Totals],[GaPG]]</f>
        <v>1.2215231788079473</v>
      </c>
      <c r="R32">
        <v>5</v>
      </c>
      <c r="S32">
        <v>5.824563866905054E-2</v>
      </c>
      <c r="T32">
        <f t="shared" si="5"/>
        <v>17.168667437607841</v>
      </c>
      <c r="U32">
        <v>8</v>
      </c>
      <c r="V32" t="str">
        <f t="shared" si="6"/>
        <v>Don’t</v>
      </c>
      <c r="W32" t="s">
        <v>125</v>
      </c>
    </row>
    <row r="33" spans="1:26" x14ac:dyDescent="0.75">
      <c r="A33">
        <v>31</v>
      </c>
      <c r="B33" t="s">
        <v>3</v>
      </c>
      <c r="C33">
        <v>10</v>
      </c>
      <c r="D33">
        <v>3</v>
      </c>
      <c r="E33">
        <v>6</v>
      </c>
      <c r="F33">
        <v>1</v>
      </c>
      <c r="G33">
        <v>14</v>
      </c>
      <c r="H33">
        <v>5</v>
      </c>
      <c r="I33">
        <v>9</v>
      </c>
      <c r="J33">
        <v>1.4</v>
      </c>
      <c r="K33">
        <v>0.5</v>
      </c>
      <c r="L33">
        <v>1.49</v>
      </c>
      <c r="M33">
        <v>1.1499999999999999</v>
      </c>
      <c r="N33">
        <f>Table1[[#This Row],[xg]]/Table1[[#Totals],[GPG]]</f>
        <v>1.0166311300639659</v>
      </c>
      <c r="O33">
        <f>Table1[[#This Row],[xga]]/Table1[[#Totals],[GaPG]]</f>
        <v>1.1804635761589406</v>
      </c>
      <c r="R33" t="s">
        <v>107</v>
      </c>
      <c r="S33">
        <f>1-S27</f>
        <v>0.9065155591821985</v>
      </c>
      <c r="T33">
        <f>1/S33</f>
        <v>1.1031250262291552</v>
      </c>
      <c r="U33">
        <v>1.4</v>
      </c>
      <c r="V33" t="str">
        <f t="shared" si="6"/>
        <v>Bet</v>
      </c>
      <c r="X33" t="e">
        <f ca="1">1/(X13*(S33*S45))</f>
        <v>#DIV/0!</v>
      </c>
      <c r="Y33">
        <v>6.5</v>
      </c>
      <c r="Z33" t="e">
        <f t="shared" ca="1" si="7"/>
        <v>#DIV/0!</v>
      </c>
    </row>
    <row r="34" spans="1:26" x14ac:dyDescent="0.75">
      <c r="A34">
        <v>32</v>
      </c>
      <c r="B34" t="s">
        <v>86</v>
      </c>
      <c r="C34">
        <v>10</v>
      </c>
      <c r="D34">
        <v>1</v>
      </c>
      <c r="E34">
        <v>2</v>
      </c>
      <c r="F34">
        <v>7</v>
      </c>
      <c r="G34">
        <v>8</v>
      </c>
      <c r="H34">
        <v>17</v>
      </c>
      <c r="I34">
        <v>-9</v>
      </c>
      <c r="J34">
        <v>0.8</v>
      </c>
      <c r="K34">
        <v>1.7</v>
      </c>
      <c r="L34">
        <v>1.19</v>
      </c>
      <c r="M34">
        <v>1.68</v>
      </c>
      <c r="N34">
        <f>Table1[[#This Row],[xg]]/Table1[[#Totals],[GPG]]</f>
        <v>0.81194029850746263</v>
      </c>
      <c r="O34">
        <f>Table1[[#This Row],[xga]]/Table1[[#Totals],[GaPG]]</f>
        <v>1.7245033112582786</v>
      </c>
      <c r="R34" t="s">
        <v>108</v>
      </c>
      <c r="S34">
        <f>S26</f>
        <v>9.3484440817801537E-2</v>
      </c>
      <c r="T34">
        <f>1/S34</f>
        <v>10.696967230610824</v>
      </c>
      <c r="U34">
        <v>2.6</v>
      </c>
      <c r="V34" t="str">
        <f t="shared" si="6"/>
        <v>Don’t</v>
      </c>
      <c r="W34" t="s">
        <v>126</v>
      </c>
    </row>
    <row r="35" spans="1:26" x14ac:dyDescent="0.75">
      <c r="J35">
        <f>SUBTOTAL(101,Table1[GPG])</f>
        <v>1.465625</v>
      </c>
      <c r="K35">
        <f>SUBTOTAL(101,Table1[GaPG])</f>
        <v>0.97419354838709649</v>
      </c>
      <c r="S35" t="s">
        <v>104</v>
      </c>
      <c r="X35" t="e">
        <f ca="1">1/(X13*(S34*S46))</f>
        <v>#DIV/0!</v>
      </c>
      <c r="Y35">
        <v>4.34</v>
      </c>
      <c r="Z35" t="e">
        <f t="shared" ca="1" si="7"/>
        <v>#DIV/0!</v>
      </c>
    </row>
    <row r="36" spans="1:26" x14ac:dyDescent="0.75">
      <c r="S36" t="s">
        <v>106</v>
      </c>
      <c r="T36" t="s">
        <v>89</v>
      </c>
      <c r="U36" t="s">
        <v>43</v>
      </c>
    </row>
    <row r="38" spans="1:26" x14ac:dyDescent="0.75">
      <c r="S38">
        <f>_xlfn.POISSON.DIST(R38,$U$8,FALSE)</f>
        <v>0.23410859298777367</v>
      </c>
    </row>
    <row r="39" spans="1:26" x14ac:dyDescent="0.75">
      <c r="R39">
        <v>0</v>
      </c>
      <c r="S39">
        <f t="shared" ref="S39:S44" si="8">_xlfn.POISSON.DIST(R39,$U$8,FALSE)</f>
        <v>0.23410859298777367</v>
      </c>
      <c r="T39">
        <f>1/S39</f>
        <v>4.2715219772057873</v>
      </c>
      <c r="U39">
        <v>2.75</v>
      </c>
      <c r="V39" t="str">
        <f t="shared" si="6"/>
        <v>Don’t</v>
      </c>
    </row>
    <row r="40" spans="1:26" x14ac:dyDescent="0.75">
      <c r="R40">
        <v>1</v>
      </c>
      <c r="S40">
        <f t="shared" si="8"/>
        <v>0.33991870027209875</v>
      </c>
      <c r="T40">
        <f t="shared" ref="T40:T46" si="9">1/S40</f>
        <v>2.9418799236391471</v>
      </c>
      <c r="U40">
        <v>2.5</v>
      </c>
      <c r="V40" t="str">
        <f t="shared" si="6"/>
        <v>Don’t</v>
      </c>
    </row>
    <row r="41" spans="1:26" x14ac:dyDescent="0.75">
      <c r="R41">
        <v>2</v>
      </c>
      <c r="S41">
        <f t="shared" si="8"/>
        <v>0.24677591138379801</v>
      </c>
      <c r="T41">
        <f t="shared" si="9"/>
        <v>4.0522593732609131</v>
      </c>
      <c r="U41">
        <v>4.34</v>
      </c>
      <c r="V41" t="str">
        <f t="shared" si="6"/>
        <v>Bet</v>
      </c>
    </row>
    <row r="42" spans="1:26" x14ac:dyDescent="0.75">
      <c r="R42">
        <v>3</v>
      </c>
      <c r="S42">
        <f t="shared" si="8"/>
        <v>0.11943708969342001</v>
      </c>
      <c r="T42">
        <f t="shared" si="9"/>
        <v>8.3726085637792593</v>
      </c>
      <c r="U42">
        <v>8</v>
      </c>
      <c r="V42" t="str">
        <f t="shared" si="6"/>
        <v>Don’t</v>
      </c>
    </row>
    <row r="43" spans="1:26" x14ac:dyDescent="0.75">
      <c r="R43">
        <v>4</v>
      </c>
      <c r="S43">
        <f t="shared" si="8"/>
        <v>4.335477371284456E-2</v>
      </c>
      <c r="T43">
        <f t="shared" si="9"/>
        <v>23.065510769895536</v>
      </c>
      <c r="U43">
        <v>8</v>
      </c>
      <c r="V43" t="str">
        <f t="shared" si="6"/>
        <v>Don’t</v>
      </c>
    </row>
    <row r="44" spans="1:26" x14ac:dyDescent="0.75">
      <c r="R44">
        <v>5</v>
      </c>
      <c r="S44">
        <f t="shared" si="8"/>
        <v>1.258996788027403E-2</v>
      </c>
      <c r="T44">
        <f t="shared" si="9"/>
        <v>79.428320191888716</v>
      </c>
      <c r="U44">
        <v>8</v>
      </c>
      <c r="V44" t="str">
        <f t="shared" si="6"/>
        <v>Don’t</v>
      </c>
    </row>
    <row r="45" spans="1:26" x14ac:dyDescent="0.75">
      <c r="R45" t="s">
        <v>107</v>
      </c>
      <c r="S45">
        <f>1-S38</f>
        <v>0.76589140701222636</v>
      </c>
      <c r="T45">
        <f t="shared" si="9"/>
        <v>1.3056681284635909</v>
      </c>
      <c r="U45">
        <v>1.38</v>
      </c>
      <c r="V45" t="str">
        <f t="shared" si="6"/>
        <v>Bet</v>
      </c>
    </row>
    <row r="46" spans="1:26" x14ac:dyDescent="0.75">
      <c r="R46" t="s">
        <v>109</v>
      </c>
      <c r="S46">
        <f>S38</f>
        <v>0.23410859298777367</v>
      </c>
      <c r="T46">
        <f t="shared" si="9"/>
        <v>4.2715219772057873</v>
      </c>
      <c r="U46">
        <v>2.6</v>
      </c>
      <c r="V46" t="str">
        <f t="shared" si="6"/>
        <v>Don’t</v>
      </c>
    </row>
    <row r="48" spans="1:26" x14ac:dyDescent="0.75">
      <c r="R48" t="s">
        <v>105</v>
      </c>
      <c r="S48" t="s">
        <v>115</v>
      </c>
      <c r="T48" t="s">
        <v>120</v>
      </c>
      <c r="U48" t="s">
        <v>121</v>
      </c>
      <c r="V48" t="s">
        <v>45</v>
      </c>
    </row>
    <row r="49" spans="18:22" x14ac:dyDescent="0.75">
      <c r="S49" t="s">
        <v>116</v>
      </c>
      <c r="T49">
        <f>1/(1-_xlfn.POISSON.DIST(1.5,$T$8,TRUE))</f>
        <v>1.4599368174033167</v>
      </c>
      <c r="U49">
        <v>3</v>
      </c>
      <c r="V49" t="str">
        <f>IF(U49&gt;T49,"Bet","Don’t")</f>
        <v>Bet</v>
      </c>
    </row>
    <row r="50" spans="18:22" x14ac:dyDescent="0.75">
      <c r="S50" t="s">
        <v>117</v>
      </c>
      <c r="T50">
        <f>1/(_xlfn.POISSON.DIST(1.5,$T$8,TRUE))</f>
        <v>3.1742116789991708</v>
      </c>
      <c r="U50">
        <v>1.36</v>
      </c>
      <c r="V50" t="str">
        <f t="shared" ref="V50:V52" si="10">IF(U50&gt;T50,"Bet","Don’t")</f>
        <v>Don’t</v>
      </c>
    </row>
    <row r="51" spans="18:22" x14ac:dyDescent="0.75">
      <c r="S51" t="s">
        <v>118</v>
      </c>
      <c r="T51">
        <f>1/(1-_xlfn.POISSON.DIST(2.5,$T$8,TRUE))</f>
        <v>2.3672921201572148</v>
      </c>
      <c r="U51">
        <v>8</v>
      </c>
      <c r="V51" t="str">
        <f t="shared" si="10"/>
        <v>Bet</v>
      </c>
    </row>
    <row r="52" spans="18:22" x14ac:dyDescent="0.75">
      <c r="S52" t="s">
        <v>119</v>
      </c>
      <c r="T52">
        <f>1/(_xlfn.POISSON.DIST(2.5,$T$8,TRUE))</f>
        <v>1.7313726052081813</v>
      </c>
      <c r="U52">
        <v>1.08</v>
      </c>
      <c r="V52" t="str">
        <f t="shared" si="10"/>
        <v>Don’t</v>
      </c>
    </row>
    <row r="55" spans="18:22" x14ac:dyDescent="0.75">
      <c r="R55" t="s">
        <v>106</v>
      </c>
      <c r="S55" t="s">
        <v>115</v>
      </c>
      <c r="T55" t="s">
        <v>120</v>
      </c>
      <c r="U55" t="s">
        <v>121</v>
      </c>
      <c r="V55" t="s">
        <v>45</v>
      </c>
    </row>
    <row r="56" spans="18:22" x14ac:dyDescent="0.75">
      <c r="S56" t="s">
        <v>116</v>
      </c>
      <c r="T56">
        <f>1/(1-_xlfn.POISSON.DIST(1.5,$U$8,TRUE))</f>
        <v>2.3475682459863987</v>
      </c>
      <c r="U56">
        <v>6.5</v>
      </c>
      <c r="V56" t="str">
        <f>IF(U56&gt;T56,"Bet","Don’t")</f>
        <v>Bet</v>
      </c>
    </row>
    <row r="57" spans="18:22" x14ac:dyDescent="0.75">
      <c r="S57" t="s">
        <v>117</v>
      </c>
      <c r="T57">
        <f>1/(_xlfn.POISSON.DIST(1.5,$U$8,TRUE))</f>
        <v>1.742077444298946</v>
      </c>
      <c r="U57">
        <v>1.1100000000000001</v>
      </c>
      <c r="V57" t="str">
        <f t="shared" ref="V57:V59" si="11">IF(U57&gt;T57,"Bet","Don’t")</f>
        <v>Don’t</v>
      </c>
    </row>
    <row r="58" spans="18:22" x14ac:dyDescent="0.75">
      <c r="S58" t="s">
        <v>118</v>
      </c>
      <c r="T58">
        <f>1/(1-_xlfn.POISSON.DIST(2.5,$U$8,TRUE))</f>
        <v>5.5804569384821754</v>
      </c>
      <c r="U58">
        <v>23</v>
      </c>
      <c r="V58" t="str">
        <f t="shared" si="11"/>
        <v>Bet</v>
      </c>
    </row>
    <row r="59" spans="18:22" x14ac:dyDescent="0.75">
      <c r="S59" t="s">
        <v>119</v>
      </c>
      <c r="T59">
        <f>1/(_xlfn.POISSON.DIST(2.5,$U$8,TRUE))</f>
        <v>1.2183188300709951</v>
      </c>
      <c r="U59">
        <v>1.01</v>
      </c>
      <c r="V59" t="str">
        <f t="shared" si="11"/>
        <v>Don’t</v>
      </c>
    </row>
  </sheetData>
  <conditionalFormatting sqref="A29:V29 X29:XFD29 A61:XFD1048576 C60:XFD60 A30:XFD59 A18:AD18 AF18:XFD18 A1:XFD17 A19:XFD28">
    <cfRule type="containsText" dxfId="4" priority="1" operator="containsText" text="Bet">
      <formula>NOT(ISERROR(SEARCH("Bet",A1)))</formula>
    </cfRule>
  </conditionalFormatting>
  <dataValidations count="1">
    <dataValidation type="list" allowBlank="1" showInputMessage="1" showErrorMessage="1" sqref="T6:U6" xr:uid="{AE28F7F0-C023-4B64-BA87-A17750592F9D}">
      <formula1>$B$3:$B$34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2458-4448-45AB-82E7-0EDC785A2F54}">
  <dimension ref="A1:O34"/>
  <sheetViews>
    <sheetView workbookViewId="0">
      <selection activeCell="E15" sqref="E15"/>
    </sheetView>
  </sheetViews>
  <sheetFormatPr defaultRowHeight="14.75" x14ac:dyDescent="0.75"/>
  <sheetData>
    <row r="1" spans="1:15" x14ac:dyDescent="0.75">
      <c r="A1" t="s">
        <v>46</v>
      </c>
      <c r="B1" t="s">
        <v>29</v>
      </c>
      <c r="C1" t="s">
        <v>25</v>
      </c>
      <c r="D1" t="s">
        <v>0</v>
      </c>
      <c r="E1" t="s">
        <v>1</v>
      </c>
      <c r="F1" t="s">
        <v>2</v>
      </c>
      <c r="G1" t="s">
        <v>24</v>
      </c>
      <c r="H1" t="s">
        <v>23</v>
      </c>
      <c r="I1" t="s">
        <v>22</v>
      </c>
      <c r="J1" t="s">
        <v>31</v>
      </c>
      <c r="K1" t="s">
        <v>32</v>
      </c>
      <c r="L1" t="s">
        <v>87</v>
      </c>
      <c r="M1" t="s">
        <v>20</v>
      </c>
      <c r="N1" t="s">
        <v>88</v>
      </c>
      <c r="O1" t="s">
        <v>28</v>
      </c>
    </row>
    <row r="2" spans="1:15" x14ac:dyDescent="0.75">
      <c r="A2">
        <v>1</v>
      </c>
      <c r="B2" t="s">
        <v>19</v>
      </c>
      <c r="C2">
        <v>10</v>
      </c>
      <c r="D2">
        <v>9</v>
      </c>
      <c r="E2">
        <v>1</v>
      </c>
      <c r="F2">
        <v>0</v>
      </c>
      <c r="G2">
        <v>30</v>
      </c>
      <c r="H2">
        <v>3</v>
      </c>
      <c r="I2">
        <v>27</v>
      </c>
      <c r="J2">
        <f>G2/C2</f>
        <v>3</v>
      </c>
      <c r="K2">
        <f>H2/C2</f>
        <v>0.3</v>
      </c>
      <c r="L2">
        <v>2.4300000000000002</v>
      </c>
      <c r="M2">
        <v>1.03</v>
      </c>
      <c r="N2">
        <f>L2/$J$34</f>
        <v>1.6650963597430413</v>
      </c>
      <c r="O2">
        <f>M2/$K$34</f>
        <v>1.026791277258567</v>
      </c>
    </row>
    <row r="3" spans="1:15" x14ac:dyDescent="0.75">
      <c r="A3">
        <v>2</v>
      </c>
      <c r="B3" t="s">
        <v>18</v>
      </c>
      <c r="C3">
        <v>10</v>
      </c>
      <c r="D3">
        <v>8</v>
      </c>
      <c r="E3">
        <v>1</v>
      </c>
      <c r="F3">
        <v>1</v>
      </c>
      <c r="G3">
        <v>28</v>
      </c>
      <c r="H3">
        <v>3</v>
      </c>
      <c r="I3">
        <v>25</v>
      </c>
      <c r="J3">
        <f t="shared" ref="J3:J33" si="0">G3/C3</f>
        <v>2.8</v>
      </c>
      <c r="K3">
        <f t="shared" ref="K3:K33" si="1">H3/C3</f>
        <v>0.3</v>
      </c>
      <c r="L3">
        <v>2.09</v>
      </c>
      <c r="M3">
        <v>0.71</v>
      </c>
      <c r="N3">
        <f t="shared" ref="N3:N33" si="2">L3/$J$34</f>
        <v>1.4321199143468952</v>
      </c>
      <c r="O3">
        <f t="shared" ref="O3:O33" si="3">M3/$K$34</f>
        <v>0.70778816199376937</v>
      </c>
    </row>
    <row r="4" spans="1:15" x14ac:dyDescent="0.75">
      <c r="A4">
        <v>3</v>
      </c>
      <c r="B4" t="s">
        <v>17</v>
      </c>
      <c r="C4">
        <v>10</v>
      </c>
      <c r="D4">
        <v>7</v>
      </c>
      <c r="E4">
        <v>3</v>
      </c>
      <c r="F4">
        <v>0</v>
      </c>
      <c r="G4">
        <v>20</v>
      </c>
      <c r="H4">
        <v>8</v>
      </c>
      <c r="I4">
        <v>12</v>
      </c>
      <c r="J4">
        <f t="shared" si="0"/>
        <v>2</v>
      </c>
      <c r="K4">
        <f t="shared" si="1"/>
        <v>0.8</v>
      </c>
      <c r="L4">
        <v>1.47</v>
      </c>
      <c r="M4">
        <v>1.26</v>
      </c>
      <c r="N4">
        <f t="shared" si="2"/>
        <v>1.0072805139186298</v>
      </c>
      <c r="O4">
        <f t="shared" si="3"/>
        <v>1.2560747663551401</v>
      </c>
    </row>
    <row r="5" spans="1:15" x14ac:dyDescent="0.75">
      <c r="A5">
        <v>4</v>
      </c>
      <c r="B5" t="s">
        <v>13</v>
      </c>
      <c r="C5">
        <v>10</v>
      </c>
      <c r="D5">
        <v>7</v>
      </c>
      <c r="E5">
        <v>2</v>
      </c>
      <c r="F5">
        <v>1</v>
      </c>
      <c r="G5">
        <v>17</v>
      </c>
      <c r="H5">
        <v>6</v>
      </c>
      <c r="I5">
        <v>11</v>
      </c>
      <c r="J5">
        <f t="shared" si="0"/>
        <v>1.7</v>
      </c>
      <c r="K5">
        <f t="shared" si="1"/>
        <v>0.6</v>
      </c>
      <c r="L5">
        <v>2.0699999999999998</v>
      </c>
      <c r="M5">
        <v>1.1299999999999999</v>
      </c>
      <c r="N5">
        <f t="shared" si="2"/>
        <v>1.4184154175588868</v>
      </c>
      <c r="O5">
        <f t="shared" si="3"/>
        <v>1.126479750778816</v>
      </c>
    </row>
    <row r="6" spans="1:15" x14ac:dyDescent="0.75">
      <c r="A6">
        <v>5</v>
      </c>
      <c r="B6" t="s">
        <v>15</v>
      </c>
      <c r="C6">
        <v>10</v>
      </c>
      <c r="D6">
        <v>7</v>
      </c>
      <c r="E6">
        <v>1</v>
      </c>
      <c r="F6">
        <v>2</v>
      </c>
      <c r="G6">
        <v>22</v>
      </c>
      <c r="H6">
        <v>5</v>
      </c>
      <c r="I6">
        <v>17</v>
      </c>
      <c r="J6">
        <f t="shared" si="0"/>
        <v>2.2000000000000002</v>
      </c>
      <c r="K6">
        <f t="shared" si="1"/>
        <v>0.5</v>
      </c>
      <c r="L6">
        <v>1.55</v>
      </c>
      <c r="M6">
        <v>1.01</v>
      </c>
      <c r="N6">
        <f t="shared" si="2"/>
        <v>1.0620985010706641</v>
      </c>
      <c r="O6">
        <f t="shared" si="3"/>
        <v>1.0068535825545171</v>
      </c>
    </row>
    <row r="7" spans="1:15" x14ac:dyDescent="0.75">
      <c r="A7">
        <v>6</v>
      </c>
      <c r="B7" t="s">
        <v>16</v>
      </c>
      <c r="C7">
        <v>10</v>
      </c>
      <c r="D7">
        <v>6</v>
      </c>
      <c r="E7">
        <v>3</v>
      </c>
      <c r="F7">
        <v>1</v>
      </c>
      <c r="G7">
        <v>13</v>
      </c>
      <c r="H7">
        <v>7</v>
      </c>
      <c r="I7">
        <v>6</v>
      </c>
      <c r="J7">
        <f t="shared" si="0"/>
        <v>1.3</v>
      </c>
      <c r="K7">
        <f t="shared" si="1"/>
        <v>0.7</v>
      </c>
      <c r="L7">
        <v>1.33</v>
      </c>
      <c r="M7">
        <v>1.37</v>
      </c>
      <c r="N7">
        <f t="shared" si="2"/>
        <v>0.91134903640256981</v>
      </c>
      <c r="O7">
        <f t="shared" si="3"/>
        <v>1.3657320872274143</v>
      </c>
    </row>
    <row r="8" spans="1:15" x14ac:dyDescent="0.75">
      <c r="A8">
        <v>7</v>
      </c>
      <c r="B8" t="s">
        <v>12</v>
      </c>
      <c r="C8">
        <v>10</v>
      </c>
      <c r="D8">
        <v>6</v>
      </c>
      <c r="E8">
        <v>2</v>
      </c>
      <c r="F8">
        <v>2</v>
      </c>
      <c r="G8">
        <v>17</v>
      </c>
      <c r="H8">
        <v>4</v>
      </c>
      <c r="I8">
        <v>13</v>
      </c>
      <c r="J8">
        <f t="shared" si="0"/>
        <v>1.7</v>
      </c>
      <c r="K8">
        <f t="shared" si="1"/>
        <v>0.4</v>
      </c>
      <c r="L8">
        <v>1.65</v>
      </c>
      <c r="M8">
        <v>1.19</v>
      </c>
      <c r="N8">
        <f t="shared" si="2"/>
        <v>1.130620985010707</v>
      </c>
      <c r="O8">
        <f t="shared" si="3"/>
        <v>1.1862928348909656</v>
      </c>
    </row>
    <row r="9" spans="1:15" x14ac:dyDescent="0.75">
      <c r="A9">
        <v>8</v>
      </c>
      <c r="B9" t="s">
        <v>11</v>
      </c>
      <c r="C9">
        <v>10</v>
      </c>
      <c r="D9">
        <v>6</v>
      </c>
      <c r="E9">
        <v>1</v>
      </c>
      <c r="F9">
        <v>3</v>
      </c>
      <c r="G9">
        <v>10</v>
      </c>
      <c r="H9">
        <v>9</v>
      </c>
      <c r="I9">
        <v>1</v>
      </c>
      <c r="J9">
        <f t="shared" si="0"/>
        <v>1</v>
      </c>
      <c r="K9">
        <f t="shared" si="1"/>
        <v>0.9</v>
      </c>
      <c r="L9">
        <v>1.21</v>
      </c>
      <c r="M9">
        <v>1.58</v>
      </c>
      <c r="N9">
        <f t="shared" si="2"/>
        <v>0.82912205567451835</v>
      </c>
      <c r="O9">
        <f t="shared" si="3"/>
        <v>1.5750778816199378</v>
      </c>
    </row>
    <row r="10" spans="1:15" x14ac:dyDescent="0.75">
      <c r="A10">
        <v>9</v>
      </c>
      <c r="B10" t="s">
        <v>10</v>
      </c>
      <c r="C10">
        <v>10</v>
      </c>
      <c r="D10">
        <v>6</v>
      </c>
      <c r="E10">
        <v>1</v>
      </c>
      <c r="F10">
        <v>3</v>
      </c>
      <c r="G10">
        <v>14</v>
      </c>
      <c r="H10">
        <v>16</v>
      </c>
      <c r="I10">
        <v>-2</v>
      </c>
      <c r="J10">
        <f t="shared" si="0"/>
        <v>1.4</v>
      </c>
      <c r="K10">
        <f t="shared" si="1"/>
        <v>1.6</v>
      </c>
      <c r="L10">
        <v>0.82</v>
      </c>
      <c r="M10">
        <v>1.92</v>
      </c>
      <c r="N10">
        <f t="shared" si="2"/>
        <v>0.56188436830835131</v>
      </c>
      <c r="O10">
        <f t="shared" si="3"/>
        <v>1.9140186915887849</v>
      </c>
    </row>
    <row r="11" spans="1:15" x14ac:dyDescent="0.75">
      <c r="A11">
        <v>10</v>
      </c>
      <c r="B11" t="s">
        <v>14</v>
      </c>
      <c r="C11">
        <v>10</v>
      </c>
      <c r="D11">
        <v>5</v>
      </c>
      <c r="E11">
        <v>3</v>
      </c>
      <c r="F11">
        <v>2</v>
      </c>
      <c r="G11">
        <v>20</v>
      </c>
      <c r="H11">
        <v>9</v>
      </c>
      <c r="I11">
        <v>11</v>
      </c>
      <c r="J11">
        <f t="shared" si="0"/>
        <v>2</v>
      </c>
      <c r="K11">
        <f t="shared" si="1"/>
        <v>0.9</v>
      </c>
      <c r="L11">
        <v>1.53</v>
      </c>
      <c r="M11">
        <v>0.92</v>
      </c>
      <c r="N11">
        <f t="shared" si="2"/>
        <v>1.0483940042826556</v>
      </c>
      <c r="O11">
        <f t="shared" si="3"/>
        <v>0.9171339563862928</v>
      </c>
    </row>
    <row r="12" spans="1:15" x14ac:dyDescent="0.75">
      <c r="A12">
        <v>11</v>
      </c>
      <c r="B12" t="s">
        <v>9</v>
      </c>
      <c r="C12">
        <v>10</v>
      </c>
      <c r="D12">
        <v>5</v>
      </c>
      <c r="E12">
        <v>3</v>
      </c>
      <c r="F12">
        <v>2</v>
      </c>
      <c r="G12">
        <v>17</v>
      </c>
      <c r="H12">
        <v>12</v>
      </c>
      <c r="I12">
        <v>5</v>
      </c>
      <c r="J12">
        <f t="shared" si="0"/>
        <v>1.7</v>
      </c>
      <c r="K12">
        <f t="shared" si="1"/>
        <v>1.2</v>
      </c>
      <c r="L12">
        <v>1.97</v>
      </c>
      <c r="M12">
        <v>1.08</v>
      </c>
      <c r="N12">
        <f t="shared" si="2"/>
        <v>1.3498929336188441</v>
      </c>
      <c r="O12">
        <f t="shared" si="3"/>
        <v>1.0766355140186916</v>
      </c>
    </row>
    <row r="13" spans="1:15" x14ac:dyDescent="0.75">
      <c r="A13">
        <v>12</v>
      </c>
      <c r="B13" t="s">
        <v>8</v>
      </c>
      <c r="C13">
        <v>10</v>
      </c>
      <c r="D13">
        <v>5</v>
      </c>
      <c r="E13">
        <v>2</v>
      </c>
      <c r="F13">
        <v>3</v>
      </c>
      <c r="G13">
        <v>21</v>
      </c>
      <c r="H13">
        <v>14</v>
      </c>
      <c r="I13">
        <v>7</v>
      </c>
      <c r="J13">
        <f t="shared" si="0"/>
        <v>2.1</v>
      </c>
      <c r="K13">
        <f t="shared" si="1"/>
        <v>1.4</v>
      </c>
      <c r="L13">
        <v>1.49</v>
      </c>
      <c r="M13">
        <v>1.24</v>
      </c>
      <c r="N13">
        <f t="shared" si="2"/>
        <v>1.0209850107066383</v>
      </c>
      <c r="O13">
        <f t="shared" si="3"/>
        <v>1.2361370716510902</v>
      </c>
    </row>
    <row r="14" spans="1:15" x14ac:dyDescent="0.75">
      <c r="A14">
        <v>13</v>
      </c>
      <c r="B14" t="s">
        <v>7</v>
      </c>
      <c r="C14">
        <v>10</v>
      </c>
      <c r="D14">
        <v>5</v>
      </c>
      <c r="E14">
        <v>2</v>
      </c>
      <c r="F14">
        <v>3</v>
      </c>
      <c r="G14">
        <v>14</v>
      </c>
      <c r="H14">
        <v>8</v>
      </c>
      <c r="I14">
        <v>6</v>
      </c>
      <c r="J14">
        <f t="shared" si="0"/>
        <v>1.4</v>
      </c>
      <c r="K14">
        <f t="shared" si="1"/>
        <v>0.8</v>
      </c>
      <c r="L14">
        <v>1.68</v>
      </c>
      <c r="M14">
        <v>1.41</v>
      </c>
      <c r="N14">
        <f t="shared" si="2"/>
        <v>1.1511777301927197</v>
      </c>
      <c r="O14">
        <f t="shared" si="3"/>
        <v>1.4056074766355138</v>
      </c>
    </row>
    <row r="15" spans="1:15" x14ac:dyDescent="0.75">
      <c r="A15">
        <v>14</v>
      </c>
      <c r="B15" t="s">
        <v>6</v>
      </c>
      <c r="C15">
        <v>10</v>
      </c>
      <c r="D15">
        <v>5</v>
      </c>
      <c r="E15">
        <v>1</v>
      </c>
      <c r="F15">
        <v>4</v>
      </c>
      <c r="G15">
        <v>11</v>
      </c>
      <c r="H15">
        <v>12</v>
      </c>
      <c r="I15">
        <v>-1</v>
      </c>
      <c r="J15">
        <f t="shared" si="0"/>
        <v>1.1000000000000001</v>
      </c>
      <c r="K15">
        <f t="shared" si="1"/>
        <v>1.2</v>
      </c>
      <c r="L15">
        <v>1.22</v>
      </c>
      <c r="M15">
        <v>1.58</v>
      </c>
      <c r="N15">
        <f t="shared" si="2"/>
        <v>0.83597430406852269</v>
      </c>
      <c r="O15">
        <f t="shared" si="3"/>
        <v>1.5750778816199378</v>
      </c>
    </row>
    <row r="16" spans="1:15" x14ac:dyDescent="0.75">
      <c r="A16">
        <v>15</v>
      </c>
      <c r="B16" t="s">
        <v>5</v>
      </c>
      <c r="C16">
        <v>10</v>
      </c>
      <c r="D16">
        <v>5</v>
      </c>
      <c r="E16">
        <v>1</v>
      </c>
      <c r="F16">
        <v>4</v>
      </c>
      <c r="G16">
        <v>13</v>
      </c>
      <c r="H16">
        <v>8</v>
      </c>
      <c r="I16">
        <v>5</v>
      </c>
      <c r="J16">
        <f t="shared" si="0"/>
        <v>1.3</v>
      </c>
      <c r="K16">
        <f t="shared" si="1"/>
        <v>0.8</v>
      </c>
      <c r="L16">
        <v>1.45</v>
      </c>
      <c r="M16">
        <v>1.5</v>
      </c>
      <c r="N16">
        <f t="shared" si="2"/>
        <v>0.99357601713062116</v>
      </c>
      <c r="O16">
        <f t="shared" si="3"/>
        <v>1.4953271028037383</v>
      </c>
    </row>
    <row r="17" spans="1:15" x14ac:dyDescent="0.75">
      <c r="A17">
        <v>16</v>
      </c>
      <c r="B17" t="s">
        <v>3</v>
      </c>
      <c r="C17">
        <v>10</v>
      </c>
      <c r="D17">
        <v>3</v>
      </c>
      <c r="E17">
        <v>6</v>
      </c>
      <c r="F17">
        <v>1</v>
      </c>
      <c r="G17">
        <v>14</v>
      </c>
      <c r="H17">
        <v>5</v>
      </c>
      <c r="I17">
        <v>9</v>
      </c>
      <c r="J17">
        <f t="shared" si="0"/>
        <v>1.4</v>
      </c>
      <c r="K17">
        <f t="shared" si="1"/>
        <v>0.5</v>
      </c>
      <c r="L17">
        <v>1.49</v>
      </c>
      <c r="M17">
        <v>1.1499999999999999</v>
      </c>
      <c r="N17">
        <f t="shared" si="2"/>
        <v>1.0209850107066383</v>
      </c>
      <c r="O17">
        <f t="shared" si="3"/>
        <v>1.1464174454828659</v>
      </c>
    </row>
    <row r="18" spans="1:15" x14ac:dyDescent="0.75">
      <c r="A18">
        <v>17</v>
      </c>
      <c r="B18" t="s">
        <v>72</v>
      </c>
      <c r="C18">
        <v>10</v>
      </c>
      <c r="D18">
        <v>4</v>
      </c>
      <c r="E18">
        <v>3</v>
      </c>
      <c r="F18">
        <v>3</v>
      </c>
      <c r="G18">
        <v>15</v>
      </c>
      <c r="H18">
        <v>14</v>
      </c>
      <c r="I18">
        <v>1</v>
      </c>
      <c r="J18">
        <f t="shared" si="0"/>
        <v>1.5</v>
      </c>
      <c r="K18">
        <f t="shared" si="1"/>
        <v>1.4</v>
      </c>
      <c r="L18">
        <v>1.62</v>
      </c>
      <c r="M18">
        <v>1.08</v>
      </c>
      <c r="N18">
        <f t="shared" si="2"/>
        <v>1.1100642398286942</v>
      </c>
      <c r="O18">
        <f t="shared" si="3"/>
        <v>1.0766355140186916</v>
      </c>
    </row>
    <row r="19" spans="1:15" x14ac:dyDescent="0.75">
      <c r="A19">
        <v>18</v>
      </c>
      <c r="B19" t="s">
        <v>73</v>
      </c>
      <c r="C19">
        <v>10</v>
      </c>
      <c r="D19">
        <v>3</v>
      </c>
      <c r="E19">
        <v>6</v>
      </c>
      <c r="F19">
        <v>1</v>
      </c>
      <c r="G19">
        <v>7</v>
      </c>
      <c r="H19">
        <v>4</v>
      </c>
      <c r="I19">
        <v>3</v>
      </c>
      <c r="J19">
        <f t="shared" si="0"/>
        <v>0.7</v>
      </c>
      <c r="K19">
        <f t="shared" si="1"/>
        <v>0.4</v>
      </c>
      <c r="L19">
        <v>1.53</v>
      </c>
      <c r="M19">
        <v>0.99</v>
      </c>
      <c r="N19">
        <f t="shared" si="2"/>
        <v>1.0483940042826556</v>
      </c>
      <c r="O19">
        <f t="shared" si="3"/>
        <v>0.98691588785046724</v>
      </c>
    </row>
    <row r="20" spans="1:15" x14ac:dyDescent="0.75">
      <c r="A20">
        <v>19</v>
      </c>
      <c r="B20" t="s">
        <v>74</v>
      </c>
      <c r="C20">
        <v>10</v>
      </c>
      <c r="D20">
        <v>4</v>
      </c>
      <c r="E20">
        <v>3</v>
      </c>
      <c r="F20">
        <v>3</v>
      </c>
      <c r="G20">
        <v>15</v>
      </c>
      <c r="H20">
        <v>13</v>
      </c>
      <c r="I20">
        <v>2</v>
      </c>
      <c r="J20">
        <f t="shared" si="0"/>
        <v>1.5</v>
      </c>
      <c r="K20">
        <f t="shared" si="1"/>
        <v>1.3</v>
      </c>
      <c r="L20">
        <v>1.57</v>
      </c>
      <c r="M20">
        <v>1.33</v>
      </c>
      <c r="N20">
        <f t="shared" si="2"/>
        <v>1.0758029978586727</v>
      </c>
      <c r="O20">
        <f t="shared" si="3"/>
        <v>1.3258566978193147</v>
      </c>
    </row>
    <row r="21" spans="1:15" x14ac:dyDescent="0.75">
      <c r="A21">
        <v>20</v>
      </c>
      <c r="B21" t="s">
        <v>75</v>
      </c>
      <c r="C21">
        <v>10</v>
      </c>
      <c r="D21">
        <v>4</v>
      </c>
      <c r="E21">
        <v>3</v>
      </c>
      <c r="F21">
        <v>3</v>
      </c>
      <c r="G21">
        <v>8</v>
      </c>
      <c r="H21">
        <v>7</v>
      </c>
      <c r="I21">
        <v>1</v>
      </c>
      <c r="J21">
        <f t="shared" si="0"/>
        <v>0.8</v>
      </c>
      <c r="K21">
        <f t="shared" si="1"/>
        <v>0.7</v>
      </c>
      <c r="L21">
        <v>1.25</v>
      </c>
      <c r="M21">
        <v>1.32</v>
      </c>
      <c r="N21">
        <f t="shared" si="2"/>
        <v>0.85653104925053558</v>
      </c>
      <c r="O21">
        <f t="shared" si="3"/>
        <v>1.3158878504672897</v>
      </c>
    </row>
    <row r="22" spans="1:15" x14ac:dyDescent="0.75">
      <c r="A22">
        <v>21</v>
      </c>
      <c r="B22" t="s">
        <v>76</v>
      </c>
      <c r="C22">
        <v>10</v>
      </c>
      <c r="D22">
        <v>4</v>
      </c>
      <c r="E22">
        <v>2</v>
      </c>
      <c r="F22">
        <v>4</v>
      </c>
      <c r="G22">
        <v>16</v>
      </c>
      <c r="H22">
        <v>10</v>
      </c>
      <c r="I22">
        <v>6</v>
      </c>
      <c r="J22">
        <f t="shared" si="0"/>
        <v>1.6</v>
      </c>
      <c r="K22">
        <f t="shared" si="1"/>
        <v>1</v>
      </c>
      <c r="L22">
        <v>2.27</v>
      </c>
      <c r="M22">
        <v>0.91</v>
      </c>
      <c r="N22">
        <f t="shared" si="2"/>
        <v>1.5554603854389726</v>
      </c>
      <c r="O22">
        <f t="shared" si="3"/>
        <v>0.90716510903426795</v>
      </c>
    </row>
    <row r="23" spans="1:15" x14ac:dyDescent="0.75">
      <c r="A23">
        <v>22</v>
      </c>
      <c r="B23" t="s">
        <v>4</v>
      </c>
      <c r="C23">
        <v>10</v>
      </c>
      <c r="D23">
        <v>4</v>
      </c>
      <c r="E23">
        <v>2</v>
      </c>
      <c r="F23">
        <v>4</v>
      </c>
      <c r="G23">
        <v>13</v>
      </c>
      <c r="H23">
        <v>12</v>
      </c>
      <c r="I23">
        <v>1</v>
      </c>
      <c r="J23">
        <f t="shared" si="0"/>
        <v>1.3</v>
      </c>
      <c r="K23">
        <f t="shared" si="1"/>
        <v>1.2</v>
      </c>
      <c r="L23">
        <v>1.64</v>
      </c>
      <c r="M23">
        <v>1.32</v>
      </c>
      <c r="N23">
        <f t="shared" si="2"/>
        <v>1.1237687366167026</v>
      </c>
      <c r="O23">
        <f t="shared" si="3"/>
        <v>1.3158878504672897</v>
      </c>
    </row>
    <row r="24" spans="1:15" x14ac:dyDescent="0.75">
      <c r="A24">
        <v>23</v>
      </c>
      <c r="B24" t="s">
        <v>77</v>
      </c>
      <c r="C24">
        <v>10</v>
      </c>
      <c r="D24">
        <v>3</v>
      </c>
      <c r="E24">
        <v>5</v>
      </c>
      <c r="F24">
        <v>2</v>
      </c>
      <c r="G24">
        <v>18</v>
      </c>
      <c r="H24">
        <v>14</v>
      </c>
      <c r="I24">
        <v>4</v>
      </c>
      <c r="J24">
        <f t="shared" si="0"/>
        <v>1.8</v>
      </c>
      <c r="K24">
        <f t="shared" si="1"/>
        <v>1.4</v>
      </c>
      <c r="L24">
        <v>2.1800000000000002</v>
      </c>
      <c r="M24">
        <v>1.35</v>
      </c>
      <c r="N24">
        <f t="shared" si="2"/>
        <v>1.493790149892934</v>
      </c>
      <c r="O24">
        <f t="shared" si="3"/>
        <v>1.3457943925233644</v>
      </c>
    </row>
    <row r="25" spans="1:15" x14ac:dyDescent="0.75">
      <c r="A25">
        <v>24</v>
      </c>
      <c r="B25" t="s">
        <v>78</v>
      </c>
      <c r="C25">
        <v>10</v>
      </c>
      <c r="D25">
        <v>4</v>
      </c>
      <c r="E25">
        <v>2</v>
      </c>
      <c r="F25">
        <v>4</v>
      </c>
      <c r="G25">
        <v>9</v>
      </c>
      <c r="H25">
        <v>14</v>
      </c>
      <c r="I25">
        <v>-5</v>
      </c>
      <c r="J25">
        <f t="shared" si="0"/>
        <v>0.9</v>
      </c>
      <c r="K25">
        <f t="shared" si="1"/>
        <v>1.4</v>
      </c>
      <c r="L25">
        <v>0.9</v>
      </c>
      <c r="M25">
        <v>1.85</v>
      </c>
      <c r="N25">
        <f t="shared" si="2"/>
        <v>0.61670235546038565</v>
      </c>
      <c r="O25">
        <f t="shared" si="3"/>
        <v>1.8442367601246106</v>
      </c>
    </row>
    <row r="26" spans="1:15" x14ac:dyDescent="0.75">
      <c r="A26">
        <v>25</v>
      </c>
      <c r="B26" t="s">
        <v>79</v>
      </c>
      <c r="C26">
        <v>10</v>
      </c>
      <c r="D26">
        <v>4</v>
      </c>
      <c r="E26">
        <v>1</v>
      </c>
      <c r="F26">
        <v>5</v>
      </c>
      <c r="G26">
        <v>8</v>
      </c>
      <c r="H26">
        <v>13</v>
      </c>
      <c r="I26">
        <v>-5</v>
      </c>
      <c r="J26">
        <f t="shared" si="0"/>
        <v>0.8</v>
      </c>
      <c r="K26">
        <f t="shared" si="1"/>
        <v>1.3</v>
      </c>
      <c r="L26">
        <v>1.1599999999999999</v>
      </c>
      <c r="M26">
        <v>1.41</v>
      </c>
      <c r="N26">
        <f t="shared" si="2"/>
        <v>0.7948608137044969</v>
      </c>
      <c r="O26">
        <f t="shared" si="3"/>
        <v>1.4056074766355138</v>
      </c>
    </row>
    <row r="27" spans="1:15" x14ac:dyDescent="0.75">
      <c r="A27">
        <v>26</v>
      </c>
      <c r="B27" t="s">
        <v>80</v>
      </c>
      <c r="C27">
        <v>10</v>
      </c>
      <c r="D27">
        <v>3</v>
      </c>
      <c r="E27">
        <v>4</v>
      </c>
      <c r="F27">
        <v>3</v>
      </c>
      <c r="G27">
        <v>7</v>
      </c>
      <c r="H27">
        <v>8</v>
      </c>
      <c r="I27">
        <v>-1</v>
      </c>
      <c r="J27">
        <f t="shared" si="0"/>
        <v>0.7</v>
      </c>
      <c r="K27">
        <f t="shared" si="1"/>
        <v>0.8</v>
      </c>
      <c r="L27">
        <v>1.26</v>
      </c>
      <c r="M27">
        <v>1.55</v>
      </c>
      <c r="N27">
        <f t="shared" si="2"/>
        <v>0.8633832976445398</v>
      </c>
      <c r="O27">
        <f t="shared" si="3"/>
        <v>1.5451713395638629</v>
      </c>
    </row>
    <row r="28" spans="1:15" x14ac:dyDescent="0.75">
      <c r="A28">
        <v>27</v>
      </c>
      <c r="B28" t="s">
        <v>81</v>
      </c>
      <c r="C28">
        <v>10</v>
      </c>
      <c r="D28">
        <v>3</v>
      </c>
      <c r="E28">
        <v>4</v>
      </c>
      <c r="F28">
        <v>3</v>
      </c>
      <c r="G28">
        <v>16</v>
      </c>
      <c r="H28">
        <v>12</v>
      </c>
      <c r="I28">
        <v>4</v>
      </c>
      <c r="J28">
        <f t="shared" si="0"/>
        <v>1.6</v>
      </c>
      <c r="K28">
        <f t="shared" si="1"/>
        <v>1.2</v>
      </c>
      <c r="L28">
        <v>1.93</v>
      </c>
      <c r="M28">
        <v>1.0900000000000001</v>
      </c>
      <c r="N28">
        <f t="shared" si="2"/>
        <v>1.3224839400428268</v>
      </c>
      <c r="O28">
        <f t="shared" si="3"/>
        <v>1.0866043613707166</v>
      </c>
    </row>
    <row r="29" spans="1:15" x14ac:dyDescent="0.75">
      <c r="A29">
        <v>28</v>
      </c>
      <c r="B29" t="s">
        <v>82</v>
      </c>
      <c r="C29">
        <v>10</v>
      </c>
      <c r="D29">
        <v>3</v>
      </c>
      <c r="E29">
        <v>3</v>
      </c>
      <c r="F29">
        <v>4</v>
      </c>
      <c r="G29">
        <v>12</v>
      </c>
      <c r="H29">
        <v>11</v>
      </c>
      <c r="I29">
        <v>1</v>
      </c>
      <c r="J29">
        <f t="shared" si="0"/>
        <v>1.2</v>
      </c>
      <c r="K29">
        <f t="shared" si="1"/>
        <v>1.1000000000000001</v>
      </c>
      <c r="L29">
        <v>1.91</v>
      </c>
      <c r="M29">
        <v>0.88</v>
      </c>
      <c r="N29">
        <f t="shared" si="2"/>
        <v>1.3087794432548183</v>
      </c>
      <c r="O29">
        <f t="shared" si="3"/>
        <v>0.87725856697819315</v>
      </c>
    </row>
    <row r="30" spans="1:15" x14ac:dyDescent="0.75">
      <c r="A30">
        <v>29</v>
      </c>
      <c r="B30" t="s">
        <v>83</v>
      </c>
      <c r="C30">
        <v>10</v>
      </c>
      <c r="D30">
        <v>3</v>
      </c>
      <c r="E30">
        <v>3</v>
      </c>
      <c r="F30">
        <v>4</v>
      </c>
      <c r="G30">
        <v>9</v>
      </c>
      <c r="H30">
        <v>13</v>
      </c>
      <c r="I30">
        <v>-4</v>
      </c>
      <c r="J30">
        <f t="shared" si="0"/>
        <v>0.9</v>
      </c>
      <c r="K30">
        <f t="shared" si="1"/>
        <v>1.3</v>
      </c>
      <c r="L30">
        <v>1.05</v>
      </c>
      <c r="M30">
        <v>1.3</v>
      </c>
      <c r="N30">
        <f t="shared" si="2"/>
        <v>0.71948608137044989</v>
      </c>
      <c r="O30">
        <f t="shared" si="3"/>
        <v>1.2959501557632398</v>
      </c>
    </row>
    <row r="31" spans="1:15" x14ac:dyDescent="0.75">
      <c r="A31">
        <v>30</v>
      </c>
      <c r="B31" t="s">
        <v>84</v>
      </c>
      <c r="C31">
        <v>10</v>
      </c>
      <c r="D31">
        <v>2</v>
      </c>
      <c r="E31">
        <v>4</v>
      </c>
      <c r="F31">
        <v>4</v>
      </c>
      <c r="G31">
        <v>11</v>
      </c>
      <c r="H31">
        <v>14</v>
      </c>
      <c r="I31">
        <v>-3</v>
      </c>
      <c r="J31">
        <f t="shared" si="0"/>
        <v>1.1000000000000001</v>
      </c>
      <c r="K31">
        <f t="shared" si="1"/>
        <v>1.4</v>
      </c>
      <c r="L31">
        <v>1.56</v>
      </c>
      <c r="M31">
        <v>1.32</v>
      </c>
      <c r="N31">
        <f t="shared" si="2"/>
        <v>1.0689507494646684</v>
      </c>
      <c r="O31">
        <f t="shared" si="3"/>
        <v>1.3158878504672897</v>
      </c>
    </row>
    <row r="32" spans="1:15" x14ac:dyDescent="0.75">
      <c r="A32">
        <v>31</v>
      </c>
      <c r="B32" t="s">
        <v>85</v>
      </c>
      <c r="C32">
        <v>10</v>
      </c>
      <c r="D32">
        <v>3</v>
      </c>
      <c r="E32">
        <v>1</v>
      </c>
      <c r="F32">
        <v>6</v>
      </c>
      <c r="G32">
        <v>14</v>
      </c>
      <c r="H32">
        <v>16</v>
      </c>
      <c r="I32">
        <v>-2</v>
      </c>
      <c r="J32">
        <f t="shared" si="0"/>
        <v>1.4</v>
      </c>
      <c r="K32">
        <f t="shared" si="1"/>
        <v>1.6</v>
      </c>
      <c r="L32">
        <v>1.43</v>
      </c>
      <c r="M32">
        <v>1.1299999999999999</v>
      </c>
      <c r="N32">
        <f t="shared" si="2"/>
        <v>0.9798715203426126</v>
      </c>
      <c r="O32">
        <f t="shared" si="3"/>
        <v>1.126479750778816</v>
      </c>
    </row>
    <row r="33" spans="1:15" x14ac:dyDescent="0.75">
      <c r="A33">
        <v>32</v>
      </c>
      <c r="B33" t="s">
        <v>86</v>
      </c>
      <c r="C33">
        <v>10</v>
      </c>
      <c r="D33">
        <v>1</v>
      </c>
      <c r="E33">
        <v>2</v>
      </c>
      <c r="F33">
        <v>7</v>
      </c>
      <c r="G33">
        <v>8</v>
      </c>
      <c r="H33">
        <v>17</v>
      </c>
      <c r="I33">
        <v>-9</v>
      </c>
      <c r="J33">
        <f t="shared" si="0"/>
        <v>0.8</v>
      </c>
      <c r="K33">
        <f t="shared" si="1"/>
        <v>1.7</v>
      </c>
      <c r="L33">
        <v>1.19</v>
      </c>
      <c r="M33">
        <v>1.68</v>
      </c>
      <c r="N33">
        <f t="shared" si="2"/>
        <v>0.8154175588865098</v>
      </c>
      <c r="O33">
        <f t="shared" si="3"/>
        <v>1.6747663551401868</v>
      </c>
    </row>
    <row r="34" spans="1:15" x14ac:dyDescent="0.75">
      <c r="J34" s="1">
        <f>AVERAGE(J2:J33)</f>
        <v>1.4593749999999996</v>
      </c>
      <c r="K34" s="1">
        <f>AVERAGE(K2:K33)</f>
        <v>1.003125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F41053-3284-4E59-B60D-A7EC00484C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France-Morr</vt:lpstr>
      <vt:lpstr>Sheet4 (2)</vt:lpstr>
      <vt:lpstr>RiskSerializationData8</vt:lpstr>
      <vt:lpstr>Sheet4</vt:lpstr>
      <vt:lpstr>Sheet1</vt:lpstr>
      <vt:lpstr>RiskSerializationData8!BrowseRecords</vt:lpstr>
      <vt:lpstr>RiskSerializationData8!SerializationHeader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Poehlitz</dc:creator>
  <cp:lastModifiedBy>Robert Poehlitz</cp:lastModifiedBy>
  <dcterms:created xsi:type="dcterms:W3CDTF">2022-12-01T01:30:38Z</dcterms:created>
  <dcterms:modified xsi:type="dcterms:W3CDTF">2023-02-18T20:12:29Z</dcterms:modified>
</cp:coreProperties>
</file>