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ilda\OneDrive - Nora's Home\Marilda\Monthly Guest Stats\"/>
    </mc:Choice>
  </mc:AlternateContent>
  <xr:revisionPtr revIDLastSave="0" documentId="13_ncr:1_{415C02DF-2F20-42E0-B237-C1438B4BAA20}" xr6:coauthVersionLast="47" xr6:coauthVersionMax="47" xr10:uidLastSave="{00000000-0000-0000-0000-000000000000}"/>
  <bookViews>
    <workbookView xWindow="-120" yWindow="-120" windowWidth="29040" windowHeight="15840" tabRatio="560" xr2:uid="{00000000-000D-0000-FFFF-FFFF00000000}"/>
  </bookViews>
  <sheets>
    <sheet name="2022 Stats" sheetId="1" r:id="rId1"/>
    <sheet name="2021 vs 2019" sheetId="2" r:id="rId2"/>
  </sheets>
  <definedNames>
    <definedName name="_xlnm.Print_Area" localSheetId="0">'2022 Stats'!$A$1:$Q$61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15" i="1"/>
  <c r="O14" i="1"/>
  <c r="O13" i="1"/>
  <c r="O12" i="1"/>
  <c r="N38" i="1"/>
  <c r="N37" i="1"/>
  <c r="N36" i="1"/>
  <c r="N35" i="1"/>
  <c r="O35" i="1" s="1"/>
  <c r="N34" i="1"/>
  <c r="N47" i="1"/>
  <c r="N46" i="1"/>
  <c r="O46" i="1" s="1"/>
  <c r="N45" i="1"/>
  <c r="N44" i="1"/>
  <c r="O44" i="1" s="1"/>
  <c r="N43" i="1"/>
  <c r="J30" i="1"/>
  <c r="J29" i="1"/>
  <c r="J28" i="1"/>
  <c r="J27" i="1"/>
  <c r="O45" i="1"/>
  <c r="O43" i="1"/>
  <c r="O38" i="1"/>
  <c r="O36" i="1"/>
  <c r="J25" i="1"/>
  <c r="J24" i="1"/>
  <c r="J23" i="1"/>
  <c r="J22" i="1"/>
  <c r="O37" i="1"/>
  <c r="J18" i="1"/>
  <c r="J19" i="1"/>
  <c r="J20" i="1"/>
  <c r="J17" i="1"/>
  <c r="O47" i="1"/>
  <c r="D30" i="1"/>
  <c r="D29" i="1"/>
  <c r="D28" i="1"/>
  <c r="D27" i="1"/>
  <c r="D25" i="1"/>
  <c r="D24" i="1"/>
  <c r="D23" i="1"/>
  <c r="D22" i="1"/>
  <c r="O48" i="1" l="1"/>
  <c r="D18" i="1"/>
  <c r="D17" i="1"/>
  <c r="D20" i="1"/>
  <c r="D19" i="1"/>
  <c r="N39" i="1"/>
  <c r="N57" i="1"/>
  <c r="M38" i="1"/>
  <c r="M37" i="1"/>
  <c r="M36" i="1"/>
  <c r="M35" i="1"/>
  <c r="M34" i="1"/>
  <c r="N48" i="1" l="1"/>
  <c r="O61" i="1"/>
  <c r="M47" i="1"/>
  <c r="M46" i="1"/>
  <c r="M45" i="1"/>
  <c r="M44" i="1"/>
  <c r="M43" i="1"/>
  <c r="M39" i="1" l="1"/>
  <c r="M48" i="1"/>
  <c r="M57" i="1" l="1"/>
  <c r="L37" i="1"/>
  <c r="L36" i="1"/>
  <c r="L35" i="1"/>
  <c r="L34" i="1"/>
  <c r="Q22" i="2"/>
  <c r="Q21" i="2"/>
  <c r="Q20" i="2"/>
  <c r="Q19" i="2"/>
  <c r="L46" i="1" l="1"/>
  <c r="L45" i="1"/>
  <c r="L44" i="1"/>
  <c r="L43" i="1"/>
  <c r="Q17" i="2"/>
  <c r="Q16" i="2"/>
  <c r="Q15" i="2"/>
  <c r="Q14" i="2"/>
  <c r="D4" i="2" l="1"/>
  <c r="D5" i="2"/>
  <c r="D6" i="2"/>
  <c r="D7" i="2"/>
  <c r="D9" i="2"/>
  <c r="D10" i="2"/>
  <c r="D11" i="2"/>
  <c r="D12" i="2"/>
  <c r="D14" i="2"/>
  <c r="D15" i="2"/>
  <c r="D16" i="2"/>
  <c r="D17" i="2"/>
  <c r="D19" i="2"/>
  <c r="D20" i="2"/>
  <c r="D21" i="2"/>
  <c r="D22" i="2"/>
  <c r="K22" i="2"/>
  <c r="K21" i="2"/>
  <c r="K20" i="2"/>
  <c r="K19" i="2"/>
  <c r="K17" i="2"/>
  <c r="K16" i="2"/>
  <c r="K15" i="2"/>
  <c r="K14" i="2"/>
  <c r="Q12" i="2"/>
  <c r="K12" i="2"/>
  <c r="Q11" i="2"/>
  <c r="K11" i="2"/>
  <c r="Q10" i="2"/>
  <c r="K10" i="2"/>
  <c r="Q9" i="2"/>
  <c r="K9" i="2"/>
  <c r="Q7" i="2"/>
  <c r="K7" i="2"/>
  <c r="Q6" i="2"/>
  <c r="K6" i="2"/>
  <c r="Q5" i="2"/>
  <c r="K5" i="2"/>
  <c r="Q4" i="2"/>
  <c r="K4" i="2"/>
  <c r="K37" i="1" l="1"/>
  <c r="K36" i="1"/>
  <c r="K35" i="1"/>
  <c r="K34" i="1"/>
  <c r="O34" i="1" s="1"/>
  <c r="O39" i="1" l="1"/>
  <c r="L57" i="1"/>
  <c r="K57" i="1"/>
  <c r="J57" i="1"/>
  <c r="G57" i="1"/>
  <c r="F57" i="1"/>
  <c r="E57" i="1"/>
  <c r="D57" i="1"/>
  <c r="C57" i="1"/>
  <c r="B57" i="1"/>
  <c r="G48" i="1"/>
  <c r="F48" i="1"/>
  <c r="E48" i="1"/>
  <c r="D48" i="1"/>
  <c r="C48" i="1"/>
  <c r="B48" i="1"/>
  <c r="K46" i="1"/>
  <c r="J46" i="1"/>
  <c r="K45" i="1"/>
  <c r="J45" i="1"/>
  <c r="K44" i="1"/>
  <c r="J44" i="1"/>
  <c r="K43" i="1"/>
  <c r="J43" i="1"/>
  <c r="J39" i="1"/>
  <c r="G39" i="1"/>
  <c r="F39" i="1"/>
  <c r="E39" i="1"/>
  <c r="D39" i="1"/>
  <c r="C39" i="1"/>
  <c r="B39" i="1"/>
  <c r="L39" i="1" l="1"/>
  <c r="L48" i="1"/>
  <c r="K39" i="1"/>
  <c r="K48" i="1"/>
  <c r="J48" i="1"/>
  <c r="O8" i="1" l="1"/>
  <c r="D15" i="1"/>
  <c r="D14" i="1"/>
  <c r="D13" i="1"/>
  <c r="D12" i="1"/>
  <c r="J344" i="1"/>
</calcChain>
</file>

<file path=xl/sharedStrings.xml><?xml version="1.0" encoding="utf-8"?>
<sst xmlns="http://schemas.openxmlformats.org/spreadsheetml/2006/main" count="211" uniqueCount="47">
  <si>
    <t>ADR</t>
  </si>
  <si>
    <t>TT Rm Rev</t>
  </si>
  <si>
    <t>Methodist</t>
  </si>
  <si>
    <t>Variance</t>
  </si>
  <si>
    <t>Total Occ %</t>
  </si>
  <si>
    <t>Sun-Thur Occ%</t>
  </si>
  <si>
    <t>St. Luke's</t>
  </si>
  <si>
    <t>Total</t>
  </si>
  <si>
    <t>TX Children's</t>
  </si>
  <si>
    <t>Hermann</t>
  </si>
  <si>
    <t xml:space="preserve">Total </t>
  </si>
  <si>
    <t>Nora's Home Monthly Statistics</t>
  </si>
  <si>
    <t>Total/Avg</t>
  </si>
  <si>
    <t>** Rev PAR</t>
  </si>
  <si>
    <t>* ADR</t>
  </si>
  <si>
    <t>Operating @ 50%</t>
  </si>
  <si>
    <t>Operating @ 75%</t>
  </si>
  <si>
    <t>16 rooms</t>
  </si>
  <si>
    <t>32 rooms</t>
  </si>
  <si>
    <t>Adopt a Family Fund thru 2018</t>
  </si>
  <si>
    <t>Total Night Stays thru 2018</t>
  </si>
  <si>
    <t>Stats - 2021 vs. 2019</t>
  </si>
  <si>
    <t xml:space="preserve">*ADR-Avg Daily Rate </t>
  </si>
  <si>
    <t>**Rev PAR-Rev Rer Available Rm</t>
  </si>
  <si>
    <t>HCA</t>
  </si>
  <si>
    <t>-</t>
  </si>
  <si>
    <t>Sep</t>
  </si>
  <si>
    <t>Oct</t>
  </si>
  <si>
    <t>Nov</t>
  </si>
  <si>
    <t>Jan</t>
  </si>
  <si>
    <t>Feb</t>
  </si>
  <si>
    <t>Mar</t>
  </si>
  <si>
    <t>May</t>
  </si>
  <si>
    <t>Jun</t>
  </si>
  <si>
    <t>Jul</t>
  </si>
  <si>
    <t>Aug</t>
  </si>
  <si>
    <t xml:space="preserve">Total Volunteer Meals Served </t>
  </si>
  <si>
    <t>Total Families served thru Dec 2018                                                                                               (Note: Families reoccur YOY)</t>
  </si>
  <si>
    <t>Dec</t>
  </si>
  <si>
    <t>YOY Stats - 2023 vs. 2022</t>
  </si>
  <si>
    <t>2023  Room Stats</t>
  </si>
  <si>
    <t>Apr</t>
  </si>
  <si>
    <t>Thru Dec 2022</t>
  </si>
  <si>
    <t>Total Night Stays thru Sep 2023</t>
  </si>
  <si>
    <t>Total Families served 2019 thru Sep 2023                                                        (Note: Families reoccur YOY)</t>
  </si>
  <si>
    <t>Adopt a Family Fund thru Aug 2023</t>
  </si>
  <si>
    <t xml:space="preserve"> thru 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</si>
</sst>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$-409]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8" tint="0.59999389629810485"/>
      <name val="Calibri"/>
      <family val="2"/>
      <scheme val="minor"/>
    </font>
    <font>
      <b/>
      <sz val="13"/>
      <color theme="9" tint="0.59999389629810485"/>
      <name val="Calibri"/>
      <family val="2"/>
      <scheme val="minor"/>
    </font>
    <font>
      <b/>
      <sz val="13"/>
      <color rgb="FFE9BDDD"/>
      <name val="Calibri"/>
      <family val="2"/>
      <scheme val="minor"/>
    </font>
    <font>
      <b/>
      <sz val="13"/>
      <color theme="5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7" tint="-0.499984740745262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24"/>
      <color theme="7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9BD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3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Border="1"/>
    <xf numFmtId="0" fontId="3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44" fontId="4" fillId="0" borderId="0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2" fillId="3" borderId="10" xfId="3" applyFont="1" applyFill="1" applyBorder="1"/>
    <xf numFmtId="9" fontId="2" fillId="3" borderId="11" xfId="3" applyFont="1" applyFill="1" applyBorder="1"/>
    <xf numFmtId="43" fontId="2" fillId="3" borderId="11" xfId="1" applyFont="1" applyFill="1" applyBorder="1"/>
    <xf numFmtId="165" fontId="2" fillId="3" borderId="11" xfId="1" applyNumberFormat="1" applyFont="1" applyFill="1" applyBorder="1"/>
    <xf numFmtId="0" fontId="2" fillId="3" borderId="11" xfId="0" applyFont="1" applyFill="1" applyBorder="1"/>
    <xf numFmtId="17" fontId="4" fillId="2" borderId="9" xfId="0" applyNumberFormat="1" applyFont="1" applyFill="1" applyBorder="1" applyAlignment="1">
      <alignment horizontal="center"/>
    </xf>
    <xf numFmtId="165" fontId="2" fillId="0" borderId="0" xfId="1" applyNumberFormat="1" applyFont="1" applyBorder="1"/>
    <xf numFmtId="2" fontId="2" fillId="3" borderId="11" xfId="0" applyNumberFormat="1" applyFont="1" applyFill="1" applyBorder="1"/>
    <xf numFmtId="9" fontId="2" fillId="3" borderId="7" xfId="3" applyFont="1" applyFill="1" applyBorder="1" applyAlignment="1">
      <alignment horizontal="center"/>
    </xf>
    <xf numFmtId="9" fontId="2" fillId="3" borderId="6" xfId="3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9" fontId="2" fillId="3" borderId="6" xfId="3" applyFont="1" applyFill="1" applyBorder="1"/>
    <xf numFmtId="9" fontId="2" fillId="3" borderId="7" xfId="3" applyFont="1" applyFill="1" applyBorder="1"/>
    <xf numFmtId="165" fontId="2" fillId="3" borderId="7" xfId="1" applyNumberFormat="1" applyFont="1" applyFill="1" applyBorder="1"/>
    <xf numFmtId="0" fontId="2" fillId="3" borderId="7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9" fontId="2" fillId="0" borderId="16" xfId="3" applyFont="1" applyBorder="1" applyAlignment="1">
      <alignment horizontal="center"/>
    </xf>
    <xf numFmtId="2" fontId="2" fillId="3" borderId="7" xfId="0" applyNumberFormat="1" applyFont="1" applyFill="1" applyBorder="1"/>
    <xf numFmtId="165" fontId="2" fillId="3" borderId="26" xfId="1" applyNumberFormat="1" applyFont="1" applyFill="1" applyBorder="1"/>
    <xf numFmtId="165" fontId="2" fillId="3" borderId="12" xfId="1" applyNumberFormat="1" applyFont="1" applyFill="1" applyBorder="1"/>
    <xf numFmtId="9" fontId="5" fillId="0" borderId="23" xfId="3" applyFont="1" applyBorder="1"/>
    <xf numFmtId="9" fontId="5" fillId="0" borderId="24" xfId="3" applyFont="1" applyBorder="1"/>
    <xf numFmtId="43" fontId="5" fillId="0" borderId="24" xfId="1" applyFont="1" applyBorder="1"/>
    <xf numFmtId="43" fontId="2" fillId="3" borderId="7" xfId="1" applyFont="1" applyFill="1" applyBorder="1"/>
    <xf numFmtId="165" fontId="5" fillId="0" borderId="24" xfId="1" applyNumberFormat="1" applyFont="1" applyBorder="1"/>
    <xf numFmtId="165" fontId="5" fillId="0" borderId="27" xfId="1" applyNumberFormat="1" applyFont="1" applyBorder="1"/>
    <xf numFmtId="164" fontId="2" fillId="0" borderId="16" xfId="2" applyNumberFormat="1" applyFont="1" applyBorder="1"/>
    <xf numFmtId="164" fontId="2" fillId="0" borderId="1" xfId="2" applyNumberFormat="1" applyFont="1" applyBorder="1"/>
    <xf numFmtId="1" fontId="0" fillId="0" borderId="0" xfId="0" applyNumberFormat="1"/>
    <xf numFmtId="9" fontId="2" fillId="3" borderId="8" xfId="0" applyNumberFormat="1" applyFont="1" applyFill="1" applyBorder="1" applyAlignment="1">
      <alignment horizontal="center"/>
    </xf>
    <xf numFmtId="9" fontId="6" fillId="3" borderId="8" xfId="0" applyNumberFormat="1" applyFont="1" applyFill="1" applyBorder="1" applyAlignment="1">
      <alignment horizontal="center"/>
    </xf>
    <xf numFmtId="9" fontId="2" fillId="3" borderId="28" xfId="0" applyNumberFormat="1" applyFont="1" applyFill="1" applyBorder="1" applyAlignment="1">
      <alignment horizontal="center"/>
    </xf>
    <xf numFmtId="9" fontId="2" fillId="3" borderId="10" xfId="3" applyFont="1" applyFill="1" applyBorder="1" applyAlignment="1">
      <alignment horizontal="center"/>
    </xf>
    <xf numFmtId="9" fontId="2" fillId="3" borderId="18" xfId="3" applyFont="1" applyFill="1" applyBorder="1" applyAlignment="1">
      <alignment horizontal="center"/>
    </xf>
    <xf numFmtId="9" fontId="2" fillId="3" borderId="10" xfId="0" applyNumberFormat="1" applyFont="1" applyFill="1" applyBorder="1" applyAlignment="1">
      <alignment horizontal="center"/>
    </xf>
    <xf numFmtId="9" fontId="2" fillId="3" borderId="16" xfId="0" applyNumberFormat="1" applyFont="1" applyFill="1" applyBorder="1" applyAlignment="1">
      <alignment horizontal="center"/>
    </xf>
    <xf numFmtId="9" fontId="2" fillId="3" borderId="11" xfId="3" applyFont="1" applyFill="1" applyBorder="1" applyAlignment="1">
      <alignment horizontal="center"/>
    </xf>
    <xf numFmtId="9" fontId="6" fillId="3" borderId="11" xfId="3" applyFont="1" applyFill="1" applyBorder="1" applyAlignment="1">
      <alignment horizontal="center"/>
    </xf>
    <xf numFmtId="9" fontId="2" fillId="3" borderId="19" xfId="3" applyFont="1" applyFill="1" applyBorder="1" applyAlignment="1">
      <alignment horizontal="center"/>
    </xf>
    <xf numFmtId="9" fontId="2" fillId="3" borderId="24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3" fontId="2" fillId="3" borderId="11" xfId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2" fontId="2" fillId="3" borderId="19" xfId="0" applyNumberFormat="1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165" fontId="2" fillId="3" borderId="12" xfId="1" applyNumberFormat="1" applyFont="1" applyFill="1" applyBorder="1" applyAlignment="1">
      <alignment horizontal="center"/>
    </xf>
    <xf numFmtId="165" fontId="2" fillId="3" borderId="27" xfId="1" applyNumberFormat="1" applyFont="1" applyFill="1" applyBorder="1" applyAlignment="1">
      <alignment horizontal="center"/>
    </xf>
    <xf numFmtId="9" fontId="2" fillId="3" borderId="11" xfId="0" applyNumberFormat="1" applyFont="1" applyFill="1" applyBorder="1" applyAlignment="1">
      <alignment horizontal="center"/>
    </xf>
    <xf numFmtId="17" fontId="4" fillId="2" borderId="8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7" fontId="4" fillId="2" borderId="5" xfId="0" applyNumberFormat="1" applyFont="1" applyFill="1" applyBorder="1" applyAlignment="1">
      <alignment horizontal="center"/>
    </xf>
    <xf numFmtId="165" fontId="2" fillId="3" borderId="10" xfId="1" applyNumberFormat="1" applyFont="1" applyFill="1" applyBorder="1" applyAlignment="1">
      <alignment horizontal="center"/>
    </xf>
    <xf numFmtId="165" fontId="2" fillId="3" borderId="18" xfId="1" applyNumberFormat="1" applyFont="1" applyFill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165" fontId="2" fillId="3" borderId="19" xfId="1" applyNumberFormat="1" applyFont="1" applyFill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165" fontId="2" fillId="3" borderId="20" xfId="1" applyNumberFormat="1" applyFont="1" applyFill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165" fontId="2" fillId="3" borderId="7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3" borderId="14" xfId="1" applyNumberFormat="1" applyFont="1" applyFill="1" applyBorder="1" applyAlignment="1">
      <alignment horizontal="center"/>
    </xf>
    <xf numFmtId="165" fontId="2" fillId="3" borderId="6" xfId="1" applyNumberFormat="1" applyFont="1" applyFill="1" applyBorder="1" applyAlignment="1">
      <alignment horizontal="center"/>
    </xf>
    <xf numFmtId="165" fontId="2" fillId="3" borderId="16" xfId="1" applyNumberFormat="1" applyFont="1" applyFill="1" applyBorder="1" applyAlignment="1">
      <alignment horizontal="center"/>
    </xf>
    <xf numFmtId="165" fontId="2" fillId="3" borderId="24" xfId="1" applyNumberFormat="1" applyFont="1" applyFill="1" applyBorder="1" applyAlignment="1">
      <alignment horizontal="center"/>
    </xf>
    <xf numFmtId="165" fontId="6" fillId="3" borderId="7" xfId="1" applyNumberFormat="1" applyFont="1" applyFill="1" applyBorder="1" applyAlignment="1">
      <alignment horizontal="center"/>
    </xf>
    <xf numFmtId="165" fontId="2" fillId="3" borderId="15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17" fontId="4" fillId="4" borderId="9" xfId="0" applyNumberFormat="1" applyFont="1" applyFill="1" applyBorder="1" applyAlignment="1">
      <alignment horizontal="center"/>
    </xf>
    <xf numFmtId="17" fontId="4" fillId="4" borderId="13" xfId="0" applyNumberFormat="1" applyFont="1" applyFill="1" applyBorder="1" applyAlignment="1">
      <alignment horizontal="center"/>
    </xf>
    <xf numFmtId="9" fontId="5" fillId="0" borderId="16" xfId="3" applyFont="1" applyBorder="1"/>
    <xf numFmtId="0" fontId="4" fillId="4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165" fontId="2" fillId="7" borderId="20" xfId="1" applyNumberFormat="1" applyFont="1" applyFill="1" applyBorder="1" applyAlignment="1">
      <alignment horizontal="center"/>
    </xf>
    <xf numFmtId="165" fontId="2" fillId="7" borderId="19" xfId="1" applyNumberFormat="1" applyFont="1" applyFill="1" applyBorder="1" applyAlignment="1">
      <alignment horizontal="center"/>
    </xf>
    <xf numFmtId="165" fontId="6" fillId="7" borderId="22" xfId="0" applyNumberFormat="1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165" fontId="2" fillId="0" borderId="16" xfId="1" applyNumberFormat="1" applyFont="1" applyBorder="1"/>
    <xf numFmtId="165" fontId="2" fillId="0" borderId="1" xfId="1" applyNumberFormat="1" applyFont="1" applyBorder="1"/>
    <xf numFmtId="165" fontId="6" fillId="3" borderId="1" xfId="0" applyNumberFormat="1" applyFont="1" applyFill="1" applyBorder="1" applyAlignment="1">
      <alignment horizontal="center"/>
    </xf>
    <xf numFmtId="165" fontId="0" fillId="0" borderId="0" xfId="0" applyNumberFormat="1"/>
    <xf numFmtId="0" fontId="10" fillId="8" borderId="3" xfId="0" applyFont="1" applyFill="1" applyBorder="1"/>
    <xf numFmtId="0" fontId="11" fillId="8" borderId="3" xfId="0" applyFont="1" applyFill="1" applyBorder="1"/>
    <xf numFmtId="0" fontId="2" fillId="3" borderId="0" xfId="0" applyFont="1" applyFill="1"/>
    <xf numFmtId="0" fontId="0" fillId="3" borderId="0" xfId="0" applyFill="1"/>
    <xf numFmtId="17" fontId="4" fillId="2" borderId="2" xfId="0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/>
    <xf numFmtId="165" fontId="2" fillId="7" borderId="1" xfId="1" applyNumberFormat="1" applyFont="1" applyFill="1" applyBorder="1" applyAlignment="1"/>
    <xf numFmtId="43" fontId="6" fillId="0" borderId="24" xfId="1" applyFont="1" applyBorder="1"/>
    <xf numFmtId="164" fontId="0" fillId="0" borderId="0" xfId="2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9" fontId="2" fillId="3" borderId="0" xfId="3" applyFont="1" applyFill="1" applyBorder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6" fillId="3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3" applyFont="1" applyBorder="1" applyAlignment="1">
      <alignment horizontal="center"/>
    </xf>
    <xf numFmtId="9" fontId="2" fillId="3" borderId="16" xfId="3" applyFont="1" applyFill="1" applyBorder="1"/>
    <xf numFmtId="9" fontId="2" fillId="3" borderId="24" xfId="3" applyFont="1" applyFill="1" applyBorder="1"/>
    <xf numFmtId="2" fontId="2" fillId="3" borderId="24" xfId="0" applyNumberFormat="1" applyFont="1" applyFill="1" applyBorder="1"/>
    <xf numFmtId="165" fontId="2" fillId="3" borderId="24" xfId="1" applyNumberFormat="1" applyFont="1" applyFill="1" applyBorder="1"/>
    <xf numFmtId="0" fontId="2" fillId="3" borderId="24" xfId="0" applyFont="1" applyFill="1" applyBorder="1"/>
    <xf numFmtId="165" fontId="2" fillId="3" borderId="27" xfId="1" applyNumberFormat="1" applyFont="1" applyFill="1" applyBorder="1"/>
    <xf numFmtId="43" fontId="16" fillId="0" borderId="0" xfId="1" applyFont="1" applyBorder="1"/>
    <xf numFmtId="0" fontId="7" fillId="2" borderId="23" xfId="0" applyFont="1" applyFill="1" applyBorder="1" applyAlignment="1">
      <alignment horizontal="center"/>
    </xf>
    <xf numFmtId="9" fontId="6" fillId="0" borderId="10" xfId="3" applyFont="1" applyBorder="1"/>
    <xf numFmtId="9" fontId="6" fillId="0" borderId="11" xfId="3" applyFont="1" applyBorder="1"/>
    <xf numFmtId="43" fontId="5" fillId="0" borderId="11" xfId="3" applyNumberFormat="1" applyFont="1" applyBorder="1"/>
    <xf numFmtId="0" fontId="4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" fontId="4" fillId="9" borderId="2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2" fontId="6" fillId="3" borderId="11" xfId="1" applyNumberFormat="1" applyFont="1" applyFill="1" applyBorder="1" applyAlignment="1">
      <alignment horizontal="center"/>
    </xf>
    <xf numFmtId="2" fontId="2" fillId="3" borderId="19" xfId="1" applyNumberFormat="1" applyFont="1" applyFill="1" applyBorder="1" applyAlignment="1">
      <alignment horizontal="center"/>
    </xf>
    <xf numFmtId="2" fontId="2" fillId="0" borderId="23" xfId="1" applyNumberFormat="1" applyFont="1" applyBorder="1" applyAlignment="1">
      <alignment horizontal="center"/>
    </xf>
    <xf numFmtId="17" fontId="4" fillId="2" borderId="23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9" fontId="2" fillId="3" borderId="19" xfId="3" applyFont="1" applyFill="1" applyBorder="1"/>
    <xf numFmtId="2" fontId="2" fillId="3" borderId="19" xfId="0" applyNumberFormat="1" applyFont="1" applyFill="1" applyBorder="1"/>
    <xf numFmtId="9" fontId="2" fillId="3" borderId="18" xfId="3" applyFont="1" applyFill="1" applyBorder="1"/>
    <xf numFmtId="165" fontId="2" fillId="3" borderId="21" xfId="1" applyNumberFormat="1" applyFont="1" applyFill="1" applyBorder="1"/>
    <xf numFmtId="43" fontId="6" fillId="0" borderId="11" xfId="1" applyFont="1" applyBorder="1"/>
    <xf numFmtId="1" fontId="4" fillId="7" borderId="9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4" fillId="6" borderId="8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" fontId="4" fillId="11" borderId="8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" fontId="4" fillId="12" borderId="5" xfId="0" applyNumberFormat="1" applyFont="1" applyFill="1" applyBorder="1" applyAlignment="1">
      <alignment horizontal="center"/>
    </xf>
    <xf numFmtId="1" fontId="4" fillId="12" borderId="8" xfId="0" applyNumberFormat="1" applyFont="1" applyFill="1" applyBorder="1" applyAlignment="1">
      <alignment horizontal="center"/>
    </xf>
    <xf numFmtId="9" fontId="2" fillId="3" borderId="8" xfId="3" applyFont="1" applyFill="1" applyBorder="1" applyAlignment="1">
      <alignment horizontal="right" vertical="center"/>
    </xf>
    <xf numFmtId="9" fontId="2" fillId="3" borderId="11" xfId="3" applyFont="1" applyFill="1" applyBorder="1" applyAlignment="1">
      <alignment horizontal="right" vertical="center"/>
    </xf>
    <xf numFmtId="43" fontId="2" fillId="3" borderId="5" xfId="1" applyFont="1" applyFill="1" applyBorder="1" applyAlignment="1">
      <alignment horizontal="right" vertical="center"/>
    </xf>
    <xf numFmtId="165" fontId="2" fillId="3" borderId="12" xfId="1" applyNumberFormat="1" applyFont="1" applyFill="1" applyBorder="1" applyAlignment="1">
      <alignment horizontal="right" vertical="center"/>
    </xf>
    <xf numFmtId="2" fontId="2" fillId="3" borderId="11" xfId="1" applyNumberFormat="1" applyFont="1" applyFill="1" applyBorder="1" applyAlignment="1">
      <alignment horizontal="center"/>
    </xf>
    <xf numFmtId="2" fontId="2" fillId="3" borderId="11" xfId="1" applyNumberFormat="1" applyFont="1" applyFill="1" applyBorder="1" applyAlignment="1">
      <alignment horizontal="center" vertical="center"/>
    </xf>
    <xf numFmtId="2" fontId="2" fillId="3" borderId="24" xfId="1" applyNumberFormat="1" applyFont="1" applyFill="1" applyBorder="1" applyAlignment="1">
      <alignment horizontal="center"/>
    </xf>
    <xf numFmtId="43" fontId="2" fillId="3" borderId="19" xfId="1" applyFont="1" applyFill="1" applyBorder="1"/>
    <xf numFmtId="165" fontId="2" fillId="3" borderId="19" xfId="1" applyNumberFormat="1" applyFont="1" applyFill="1" applyBorder="1"/>
    <xf numFmtId="0" fontId="7" fillId="2" borderId="25" xfId="0" applyFont="1" applyFill="1" applyBorder="1" applyAlignment="1">
      <alignment horizontal="center"/>
    </xf>
    <xf numFmtId="43" fontId="5" fillId="0" borderId="11" xfId="1" applyFont="1" applyBorder="1"/>
    <xf numFmtId="165" fontId="6" fillId="0" borderId="12" xfId="1" applyNumberFormat="1" applyFont="1" applyBorder="1"/>
    <xf numFmtId="9" fontId="2" fillId="3" borderId="10" xfId="3" applyFont="1" applyFill="1" applyBorder="1" applyAlignment="1">
      <alignment horizontal="right"/>
    </xf>
    <xf numFmtId="9" fontId="2" fillId="3" borderId="5" xfId="3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165" fontId="2" fillId="3" borderId="12" xfId="1" applyNumberFormat="1" applyFont="1" applyFill="1" applyBorder="1" applyAlignment="1">
      <alignment horizontal="right"/>
    </xf>
    <xf numFmtId="43" fontId="2" fillId="3" borderId="11" xfId="1" applyFont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17" fontId="4" fillId="6" borderId="2" xfId="0" applyNumberFormat="1" applyFont="1" applyFill="1" applyBorder="1" applyAlignment="1">
      <alignment horizontal="center"/>
    </xf>
    <xf numFmtId="9" fontId="5" fillId="0" borderId="10" xfId="3" applyFont="1" applyBorder="1"/>
    <xf numFmtId="9" fontId="5" fillId="0" borderId="11" xfId="3" applyFont="1" applyBorder="1"/>
    <xf numFmtId="165" fontId="5" fillId="0" borderId="12" xfId="3" applyNumberFormat="1" applyFont="1" applyBorder="1"/>
    <xf numFmtId="9" fontId="5" fillId="0" borderId="8" xfId="3" applyFont="1" applyBorder="1"/>
    <xf numFmtId="165" fontId="5" fillId="0" borderId="11" xfId="1" applyNumberFormat="1" applyFont="1" applyBorder="1"/>
    <xf numFmtId="165" fontId="5" fillId="0" borderId="12" xfId="1" applyNumberFormat="1" applyFont="1" applyBorder="1"/>
    <xf numFmtId="3" fontId="0" fillId="0" borderId="0" xfId="0" applyNumberFormat="1"/>
    <xf numFmtId="9" fontId="2" fillId="3" borderId="5" xfId="0" applyNumberFormat="1" applyFont="1" applyFill="1" applyBorder="1" applyAlignment="1">
      <alignment horizontal="center"/>
    </xf>
    <xf numFmtId="165" fontId="2" fillId="3" borderId="12" xfId="1" applyNumberFormat="1" applyFont="1" applyFill="1" applyBorder="1" applyAlignment="1">
      <alignment horizontal="left"/>
    </xf>
    <xf numFmtId="9" fontId="2" fillId="3" borderId="10" xfId="0" applyNumberFormat="1" applyFont="1" applyFill="1" applyBorder="1" applyAlignment="1">
      <alignment horizontal="right"/>
    </xf>
    <xf numFmtId="9" fontId="2" fillId="3" borderId="5" xfId="0" applyNumberFormat="1" applyFont="1" applyFill="1" applyBorder="1" applyAlignment="1">
      <alignment horizontal="right"/>
    </xf>
    <xf numFmtId="17" fontId="4" fillId="2" borderId="13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165" fontId="2" fillId="3" borderId="26" xfId="1" applyNumberFormat="1" applyFont="1" applyFill="1" applyBorder="1" applyAlignment="1">
      <alignment horizontal="center"/>
    </xf>
    <xf numFmtId="165" fontId="2" fillId="7" borderId="0" xfId="1" applyNumberFormat="1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165" fontId="2" fillId="3" borderId="22" xfId="1" applyNumberFormat="1" applyFont="1" applyFill="1" applyBorder="1" applyAlignment="1">
      <alignment horizontal="left"/>
    </xf>
    <xf numFmtId="165" fontId="2" fillId="3" borderId="22" xfId="2" applyNumberFormat="1" applyFont="1" applyFill="1" applyBorder="1" applyAlignment="1">
      <alignment horizontal="center"/>
    </xf>
    <xf numFmtId="164" fontId="2" fillId="0" borderId="41" xfId="2" applyNumberFormat="1" applyFont="1" applyBorder="1"/>
    <xf numFmtId="165" fontId="2" fillId="0" borderId="32" xfId="1" applyNumberFormat="1" applyFont="1" applyBorder="1"/>
    <xf numFmtId="164" fontId="2" fillId="0" borderId="34" xfId="2" applyNumberFormat="1" applyFont="1" applyBorder="1"/>
    <xf numFmtId="164" fontId="2" fillId="0" borderId="36" xfId="2" applyNumberFormat="1" applyFont="1" applyBorder="1"/>
    <xf numFmtId="165" fontId="6" fillId="3" borderId="26" xfId="1" applyNumberFormat="1" applyFont="1" applyFill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2" fillId="0" borderId="43" xfId="1" applyNumberFormat="1" applyFont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165" fontId="2" fillId="0" borderId="41" xfId="1" applyNumberFormat="1" applyFont="1" applyBorder="1"/>
    <xf numFmtId="165" fontId="2" fillId="3" borderId="22" xfId="1" applyNumberFormat="1" applyFont="1" applyFill="1" applyBorder="1" applyAlignment="1">
      <alignment horizontal="center"/>
    </xf>
    <xf numFmtId="165" fontId="2" fillId="12" borderId="35" xfId="1" applyNumberFormat="1" applyFont="1" applyFill="1" applyBorder="1" applyAlignment="1">
      <alignment horizontal="center"/>
    </xf>
    <xf numFmtId="165" fontId="2" fillId="12" borderId="42" xfId="1" applyNumberFormat="1" applyFont="1" applyFill="1" applyBorder="1" applyAlignment="1">
      <alignment horizontal="center"/>
    </xf>
    <xf numFmtId="165" fontId="2" fillId="12" borderId="36" xfId="1" applyNumberFormat="1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65" fontId="2" fillId="7" borderId="40" xfId="1" applyNumberFormat="1" applyFont="1" applyFill="1" applyBorder="1" applyAlignment="1">
      <alignment horizontal="center"/>
    </xf>
    <xf numFmtId="165" fontId="2" fillId="12" borderId="15" xfId="1" applyNumberFormat="1" applyFont="1" applyFill="1" applyBorder="1" applyAlignment="1">
      <alignment horizontal="center"/>
    </xf>
    <xf numFmtId="165" fontId="2" fillId="0" borderId="41" xfId="1" applyNumberFormat="1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" fontId="4" fillId="6" borderId="8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7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3" fontId="2" fillId="0" borderId="39" xfId="0" applyNumberFormat="1" applyFont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9" fontId="5" fillId="0" borderId="10" xfId="3" applyFont="1" applyBorder="1" applyAlignment="1">
      <alignment horizontal="right"/>
    </xf>
    <xf numFmtId="9" fontId="5" fillId="0" borderId="11" xfId="3" applyFont="1" applyBorder="1" applyAlignment="1">
      <alignment horizontal="right"/>
    </xf>
    <xf numFmtId="43" fontId="5" fillId="0" borderId="11" xfId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0" fillId="8" borderId="0" xfId="0" applyFill="1"/>
    <xf numFmtId="166" fontId="4" fillId="2" borderId="6" xfId="0" applyNumberFormat="1" applyFont="1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center"/>
    </xf>
    <xf numFmtId="2" fontId="2" fillId="3" borderId="7" xfId="1" applyNumberFormat="1" applyFont="1" applyFill="1" applyBorder="1" applyAlignment="1">
      <alignment horizontal="center"/>
    </xf>
    <xf numFmtId="9" fontId="2" fillId="3" borderId="16" xfId="3" applyFont="1" applyFill="1" applyBorder="1" applyAlignment="1">
      <alignment horizontal="center"/>
    </xf>
    <xf numFmtId="9" fontId="2" fillId="3" borderId="24" xfId="3" applyFont="1" applyFill="1" applyBorder="1" applyAlignment="1">
      <alignment horizontal="center"/>
    </xf>
    <xf numFmtId="165" fontId="2" fillId="0" borderId="32" xfId="1" applyNumberFormat="1" applyFont="1" applyBorder="1" applyAlignment="1">
      <alignment horizontal="center"/>
    </xf>
    <xf numFmtId="165" fontId="2" fillId="0" borderId="34" xfId="1" applyNumberFormat="1" applyFont="1" applyBorder="1" applyAlignment="1">
      <alignment horizontal="center"/>
    </xf>
    <xf numFmtId="165" fontId="2" fillId="0" borderId="36" xfId="1" applyNumberFormat="1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7" fontId="4" fillId="2" borderId="22" xfId="0" applyNumberFormat="1" applyFont="1" applyFill="1" applyBorder="1" applyAlignment="1">
      <alignment horizontal="center"/>
    </xf>
    <xf numFmtId="0" fontId="15" fillId="0" borderId="0" xfId="0" applyFont="1"/>
    <xf numFmtId="0" fontId="4" fillId="3" borderId="2" xfId="0" applyFont="1" applyFill="1" applyBorder="1" applyAlignment="1">
      <alignment horizontal="center"/>
    </xf>
    <xf numFmtId="9" fontId="5" fillId="0" borderId="6" xfId="3" applyFont="1" applyBorder="1" applyAlignment="1">
      <alignment horizontal="center"/>
    </xf>
    <xf numFmtId="9" fontId="5" fillId="0" borderId="7" xfId="3" applyFont="1" applyBorder="1" applyAlignment="1">
      <alignment horizontal="center"/>
    </xf>
    <xf numFmtId="43" fontId="5" fillId="0" borderId="7" xfId="1" applyFont="1" applyBorder="1" applyAlignment="1">
      <alignment horizontal="center"/>
    </xf>
    <xf numFmtId="165" fontId="5" fillId="0" borderId="26" xfId="1" applyNumberFormat="1" applyFont="1" applyBorder="1" applyAlignment="1">
      <alignment horizontal="center"/>
    </xf>
    <xf numFmtId="37" fontId="2" fillId="3" borderId="26" xfId="1" applyNumberFormat="1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9" fontId="2" fillId="3" borderId="8" xfId="3" applyFont="1" applyFill="1" applyBorder="1" applyAlignment="1">
      <alignment horizontal="center" vertical="center"/>
    </xf>
    <xf numFmtId="9" fontId="2" fillId="3" borderId="11" xfId="3" applyFont="1" applyFill="1" applyBorder="1" applyAlignment="1">
      <alignment horizontal="center" vertical="center"/>
    </xf>
    <xf numFmtId="43" fontId="2" fillId="3" borderId="5" xfId="1" applyFont="1" applyFill="1" applyBorder="1" applyAlignment="1">
      <alignment horizontal="center" vertical="center"/>
    </xf>
    <xf numFmtId="165" fontId="2" fillId="3" borderId="12" xfId="1" applyNumberFormat="1" applyFont="1" applyFill="1" applyBorder="1" applyAlignment="1">
      <alignment horizontal="center" vertical="center"/>
    </xf>
    <xf numFmtId="9" fontId="2" fillId="3" borderId="5" xfId="3" applyFont="1" applyFill="1" applyBorder="1" applyAlignment="1">
      <alignment horizontal="center"/>
    </xf>
    <xf numFmtId="43" fontId="2" fillId="3" borderId="7" xfId="1" applyFont="1" applyFill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37" fontId="2" fillId="3" borderId="29" xfId="1" applyNumberFormat="1" applyFont="1" applyFill="1" applyBorder="1" applyAlignment="1">
      <alignment horizontal="center"/>
    </xf>
    <xf numFmtId="9" fontId="6" fillId="0" borderId="6" xfId="3" applyFont="1" applyBorder="1" applyAlignment="1">
      <alignment horizontal="center"/>
    </xf>
    <xf numFmtId="9" fontId="6" fillId="0" borderId="7" xfId="3" applyFont="1" applyBorder="1" applyAlignment="1">
      <alignment horizontal="center"/>
    </xf>
    <xf numFmtId="165" fontId="5" fillId="0" borderId="26" xfId="1" applyNumberFormat="1" applyFont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165" fontId="2" fillId="9" borderId="5" xfId="1" applyNumberFormat="1" applyFont="1" applyFill="1" applyBorder="1" applyAlignment="1">
      <alignment horizontal="center"/>
    </xf>
    <xf numFmtId="165" fontId="2" fillId="9" borderId="13" xfId="1" applyNumberFormat="1" applyFont="1" applyFill="1" applyBorder="1" applyAlignment="1">
      <alignment horizontal="center"/>
    </xf>
    <xf numFmtId="165" fontId="2" fillId="9" borderId="30" xfId="1" applyNumberFormat="1" applyFont="1" applyFill="1" applyBorder="1" applyAlignment="1">
      <alignment horizontal="center"/>
    </xf>
    <xf numFmtId="165" fontId="6" fillId="9" borderId="13" xfId="1" applyNumberFormat="1" applyFont="1" applyFill="1" applyBorder="1" applyAlignment="1">
      <alignment horizontal="center"/>
    </xf>
    <xf numFmtId="0" fontId="23" fillId="4" borderId="2" xfId="0" applyFont="1" applyFill="1" applyBorder="1"/>
    <xf numFmtId="17" fontId="24" fillId="4" borderId="2" xfId="0" applyNumberFormat="1" applyFont="1" applyFill="1" applyBorder="1" applyAlignment="1">
      <alignment horizontal="center"/>
    </xf>
    <xf numFmtId="17" fontId="24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3" fillId="4" borderId="9" xfId="0" applyFont="1" applyFill="1" applyBorder="1"/>
    <xf numFmtId="0" fontId="23" fillId="4" borderId="1" xfId="0" applyFont="1" applyFill="1" applyBorder="1"/>
    <xf numFmtId="44" fontId="9" fillId="7" borderId="3" xfId="2" applyFont="1" applyFill="1" applyBorder="1" applyAlignment="1"/>
    <xf numFmtId="43" fontId="6" fillId="0" borderId="7" xfId="1" applyFont="1" applyBorder="1" applyAlignment="1">
      <alignment horizontal="center"/>
    </xf>
    <xf numFmtId="165" fontId="6" fillId="0" borderId="26" xfId="1" applyNumberFormat="1" applyFont="1" applyBorder="1" applyAlignment="1">
      <alignment horizontal="center"/>
    </xf>
    <xf numFmtId="9" fontId="6" fillId="0" borderId="8" xfId="3" applyFont="1" applyBorder="1" applyAlignment="1">
      <alignment horizontal="center"/>
    </xf>
    <xf numFmtId="9" fontId="6" fillId="0" borderId="11" xfId="3" applyFont="1" applyBorder="1" applyAlignment="1">
      <alignment horizontal="center"/>
    </xf>
    <xf numFmtId="43" fontId="6" fillId="0" borderId="11" xfId="1" applyFont="1" applyBorder="1" applyAlignment="1">
      <alignment horizontal="center"/>
    </xf>
    <xf numFmtId="165" fontId="6" fillId="0" borderId="41" xfId="1" applyNumberFormat="1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19" xfId="1" applyNumberFormat="1" applyFont="1" applyBorder="1" applyAlignment="1">
      <alignment horizontal="center"/>
    </xf>
    <xf numFmtId="165" fontId="2" fillId="0" borderId="29" xfId="1" applyNumberFormat="1" applyFont="1" applyBorder="1" applyAlignment="1">
      <alignment horizontal="center"/>
    </xf>
    <xf numFmtId="164" fontId="2" fillId="0" borderId="24" xfId="2" applyNumberFormat="1" applyFont="1" applyBorder="1"/>
    <xf numFmtId="164" fontId="2" fillId="0" borderId="27" xfId="2" applyNumberFormat="1" applyFont="1" applyBorder="1"/>
    <xf numFmtId="165" fontId="2" fillId="0" borderId="12" xfId="1" applyNumberFormat="1" applyFont="1" applyBorder="1" applyAlignment="1">
      <alignment horizontal="center"/>
    </xf>
    <xf numFmtId="165" fontId="2" fillId="3" borderId="41" xfId="1" applyNumberFormat="1" applyFont="1" applyFill="1" applyBorder="1"/>
    <xf numFmtId="43" fontId="5" fillId="0" borderId="11" xfId="1" applyFont="1" applyBorder="1" applyAlignment="1">
      <alignment horizontal="center"/>
    </xf>
    <xf numFmtId="9" fontId="6" fillId="0" borderId="10" xfId="3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17" fontId="4" fillId="2" borderId="22" xfId="0" applyNumberFormat="1" applyFont="1" applyFill="1" applyBorder="1" applyAlignment="1">
      <alignment horizontal="center"/>
    </xf>
    <xf numFmtId="17" fontId="4" fillId="2" borderId="25" xfId="0" applyNumberFormat="1" applyFont="1" applyFill="1" applyBorder="1" applyAlignment="1">
      <alignment horizontal="center"/>
    </xf>
    <xf numFmtId="17" fontId="4" fillId="2" borderId="9" xfId="0" applyNumberFormat="1" applyFont="1" applyFill="1" applyBorder="1" applyAlignment="1">
      <alignment horizontal="center"/>
    </xf>
    <xf numFmtId="17" fontId="4" fillId="2" borderId="23" xfId="0" applyNumberFormat="1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43" fontId="2" fillId="0" borderId="45" xfId="1" applyFont="1" applyBorder="1" applyAlignment="1">
      <alignment horizontal="center"/>
    </xf>
    <xf numFmtId="43" fontId="2" fillId="0" borderId="46" xfId="1" applyFont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43" fontId="2" fillId="0" borderId="37" xfId="1" applyFont="1" applyBorder="1" applyAlignment="1">
      <alignment horizontal="center"/>
    </xf>
    <xf numFmtId="43" fontId="2" fillId="0" borderId="39" xfId="1" applyFont="1" applyBorder="1" applyAlignment="1">
      <alignment horizontal="center"/>
    </xf>
    <xf numFmtId="0" fontId="20" fillId="5" borderId="2" xfId="0" applyFont="1" applyFill="1" applyBorder="1" applyAlignment="1">
      <alignment horizontal="right"/>
    </xf>
    <xf numFmtId="0" fontId="20" fillId="5" borderId="3" xfId="0" applyFont="1" applyFill="1" applyBorder="1" applyAlignment="1">
      <alignment horizontal="right"/>
    </xf>
    <xf numFmtId="17" fontId="24" fillId="4" borderId="9" xfId="0" applyNumberFormat="1" applyFont="1" applyFill="1" applyBorder="1" applyAlignment="1">
      <alignment horizontal="center"/>
    </xf>
    <xf numFmtId="17" fontId="24" fillId="4" borderId="23" xfId="0" applyNumberFormat="1" applyFont="1" applyFill="1" applyBorder="1" applyAlignment="1">
      <alignment horizontal="center"/>
    </xf>
    <xf numFmtId="9" fontId="2" fillId="3" borderId="31" xfId="3" applyFont="1" applyFill="1" applyBorder="1" applyAlignment="1">
      <alignment horizontal="center"/>
    </xf>
    <xf numFmtId="9" fontId="2" fillId="3" borderId="51" xfId="3" applyFont="1" applyFill="1" applyBorder="1" applyAlignment="1">
      <alignment horizontal="center"/>
    </xf>
    <xf numFmtId="9" fontId="2" fillId="3" borderId="33" xfId="3" applyFont="1" applyFill="1" applyBorder="1" applyAlignment="1">
      <alignment horizontal="center"/>
    </xf>
    <xf numFmtId="9" fontId="2" fillId="3" borderId="50" xfId="3" applyFont="1" applyFill="1" applyBorder="1" applyAlignment="1">
      <alignment horizontal="center"/>
    </xf>
    <xf numFmtId="43" fontId="2" fillId="3" borderId="33" xfId="1" applyFont="1" applyFill="1" applyBorder="1" applyAlignment="1">
      <alignment horizontal="center"/>
    </xf>
    <xf numFmtId="43" fontId="2" fillId="3" borderId="50" xfId="1" applyFont="1" applyFill="1" applyBorder="1" applyAlignment="1">
      <alignment horizontal="center"/>
    </xf>
    <xf numFmtId="9" fontId="2" fillId="3" borderId="32" xfId="3" applyFont="1" applyFill="1" applyBorder="1" applyAlignment="1">
      <alignment horizontal="center"/>
    </xf>
    <xf numFmtId="9" fontId="2" fillId="3" borderId="34" xfId="3" applyFont="1" applyFill="1" applyBorder="1" applyAlignment="1">
      <alignment horizontal="center"/>
    </xf>
    <xf numFmtId="2" fontId="2" fillId="3" borderId="33" xfId="1" applyNumberFormat="1" applyFont="1" applyFill="1" applyBorder="1" applyAlignment="1">
      <alignment horizontal="center"/>
    </xf>
    <xf numFmtId="2" fontId="2" fillId="3" borderId="34" xfId="1" applyNumberFormat="1" applyFont="1" applyFill="1" applyBorder="1" applyAlignment="1">
      <alignment horizontal="center"/>
    </xf>
    <xf numFmtId="44" fontId="19" fillId="7" borderId="2" xfId="2" applyFont="1" applyFill="1" applyBorder="1" applyAlignment="1">
      <alignment horizontal="center" vertical="center"/>
    </xf>
    <xf numFmtId="44" fontId="19" fillId="7" borderId="3" xfId="2" applyFon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/>
    </xf>
    <xf numFmtId="166" fontId="4" fillId="2" borderId="16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44" fontId="19" fillId="7" borderId="4" xfId="2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left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165" fontId="2" fillId="3" borderId="35" xfId="1" applyNumberFormat="1" applyFont="1" applyFill="1" applyBorder="1" applyAlignment="1">
      <alignment horizontal="center"/>
    </xf>
    <xf numFmtId="165" fontId="2" fillId="3" borderId="52" xfId="1" applyNumberFormat="1" applyFont="1" applyFill="1" applyBorder="1" applyAlignment="1">
      <alignment horizontal="center"/>
    </xf>
    <xf numFmtId="2" fontId="2" fillId="3" borderId="33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165" fontId="2" fillId="3" borderId="36" xfId="1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9" fontId="2" fillId="3" borderId="7" xfId="3" applyFont="1" applyFill="1" applyBorder="1" applyAlignment="1">
      <alignment horizontal="center"/>
    </xf>
    <xf numFmtId="9" fontId="2" fillId="3" borderId="24" xfId="3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9" fontId="2" fillId="3" borderId="6" xfId="3" applyFont="1" applyFill="1" applyBorder="1" applyAlignment="1">
      <alignment horizontal="center"/>
    </xf>
    <xf numFmtId="9" fontId="2" fillId="3" borderId="16" xfId="3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0" xfId="0" applyFont="1" applyAlignment="1">
      <alignment horizontal="left"/>
    </xf>
    <xf numFmtId="37" fontId="2" fillId="3" borderId="35" xfId="1" applyNumberFormat="1" applyFont="1" applyFill="1" applyBorder="1" applyAlignment="1">
      <alignment horizontal="center"/>
    </xf>
    <xf numFmtId="37" fontId="2" fillId="3" borderId="36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5" fontId="2" fillId="3" borderId="26" xfId="1" applyNumberFormat="1" applyFont="1" applyFill="1" applyBorder="1" applyAlignment="1">
      <alignment horizontal="center"/>
    </xf>
    <xf numFmtId="165" fontId="2" fillId="3" borderId="27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6" fontId="4" fillId="6" borderId="31" xfId="0" applyNumberFormat="1" applyFont="1" applyFill="1" applyBorder="1" applyAlignment="1">
      <alignment horizontal="center"/>
    </xf>
    <xf numFmtId="166" fontId="4" fillId="6" borderId="32" xfId="0" applyNumberFormat="1" applyFont="1" applyFill="1" applyBorder="1" applyAlignment="1">
      <alignment horizontal="center"/>
    </xf>
    <xf numFmtId="9" fontId="2" fillId="3" borderId="33" xfId="3" applyFont="1" applyFill="1" applyBorder="1" applyAlignment="1">
      <alignment horizontal="right"/>
    </xf>
    <xf numFmtId="9" fontId="2" fillId="3" borderId="34" xfId="3" applyFont="1" applyFill="1" applyBorder="1" applyAlignment="1">
      <alignment horizontal="right"/>
    </xf>
    <xf numFmtId="0" fontId="2" fillId="3" borderId="33" xfId="0" applyFont="1" applyFill="1" applyBorder="1" applyAlignment="1">
      <alignment horizontal="right"/>
    </xf>
    <xf numFmtId="0" fontId="2" fillId="3" borderId="34" xfId="0" applyFont="1" applyFill="1" applyBorder="1" applyAlignment="1">
      <alignment horizontal="right"/>
    </xf>
    <xf numFmtId="165" fontId="2" fillId="3" borderId="35" xfId="1" applyNumberFormat="1" applyFont="1" applyFill="1" applyBorder="1" applyAlignment="1">
      <alignment horizontal="right"/>
    </xf>
    <xf numFmtId="165" fontId="2" fillId="3" borderId="36" xfId="1" applyNumberFormat="1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17" fontId="4" fillId="6" borderId="2" xfId="0" applyNumberFormat="1" applyFont="1" applyFill="1" applyBorder="1" applyAlignment="1">
      <alignment horizontal="center"/>
    </xf>
    <xf numFmtId="17" fontId="4" fillId="6" borderId="4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9" fontId="2" fillId="3" borderId="6" xfId="3" applyFont="1" applyFill="1" applyBorder="1" applyAlignment="1">
      <alignment horizontal="right"/>
    </xf>
    <xf numFmtId="9" fontId="2" fillId="3" borderId="16" xfId="3" applyFont="1" applyFill="1" applyBorder="1" applyAlignment="1">
      <alignment horizontal="right"/>
    </xf>
    <xf numFmtId="9" fontId="2" fillId="3" borderId="7" xfId="3" applyFont="1" applyFill="1" applyBorder="1" applyAlignment="1">
      <alignment horizontal="right"/>
    </xf>
    <xf numFmtId="9" fontId="2" fillId="3" borderId="24" xfId="3" applyFont="1" applyFill="1" applyBorder="1" applyAlignment="1">
      <alignment horizontal="right"/>
    </xf>
    <xf numFmtId="43" fontId="2" fillId="3" borderId="7" xfId="1" applyFont="1" applyFill="1" applyBorder="1" applyAlignment="1">
      <alignment horizontal="right"/>
    </xf>
    <xf numFmtId="43" fontId="2" fillId="3" borderId="24" xfId="1" applyFont="1" applyFill="1" applyBorder="1" applyAlignment="1">
      <alignment horizontal="right"/>
    </xf>
    <xf numFmtId="165" fontId="2" fillId="3" borderId="26" xfId="1" applyNumberFormat="1" applyFont="1" applyFill="1" applyBorder="1" applyAlignment="1">
      <alignment horizontal="right"/>
    </xf>
    <xf numFmtId="165" fontId="2" fillId="3" borderId="27" xfId="1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right"/>
    </xf>
    <xf numFmtId="9" fontId="2" fillId="3" borderId="6" xfId="0" applyNumberFormat="1" applyFont="1" applyFill="1" applyBorder="1" applyAlignment="1">
      <alignment horizontal="right"/>
    </xf>
    <xf numFmtId="0" fontId="2" fillId="3" borderId="16" xfId="0" applyFont="1" applyFill="1" applyBorder="1" applyAlignment="1">
      <alignment horizontal="right"/>
    </xf>
    <xf numFmtId="9" fontId="2" fillId="3" borderId="7" xfId="0" applyNumberFormat="1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2" fontId="2" fillId="3" borderId="24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9B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44"/>
  <sheetViews>
    <sheetView tabSelected="1" topLeftCell="A33" zoomScale="89" zoomScaleNormal="89" workbookViewId="0">
      <selection activeCell="Q17" sqref="Q17"/>
    </sheetView>
  </sheetViews>
  <sheetFormatPr defaultRowHeight="15" x14ac:dyDescent="0.25"/>
  <cols>
    <col min="1" max="1" width="15" bestFit="1" customWidth="1"/>
    <col min="2" max="3" width="11.85546875" bestFit="1" customWidth="1"/>
    <col min="4" max="4" width="10.7109375" customWidth="1"/>
    <col min="5" max="5" width="10.28515625" customWidth="1"/>
    <col min="6" max="6" width="10.5703125" customWidth="1"/>
    <col min="7" max="7" width="9.85546875" bestFit="1" customWidth="1"/>
    <col min="8" max="8" width="0.7109375" customWidth="1"/>
    <col min="9" max="9" width="12.5703125" customWidth="1"/>
    <col min="10" max="10" width="9.85546875" bestFit="1" customWidth="1"/>
    <col min="11" max="11" width="12" customWidth="1"/>
    <col min="12" max="12" width="11" customWidth="1"/>
    <col min="13" max="13" width="11.85546875" customWidth="1"/>
    <col min="14" max="14" width="11.140625" customWidth="1"/>
    <col min="15" max="15" width="12.85546875" customWidth="1"/>
    <col min="16" max="16" width="12.28515625" customWidth="1"/>
    <col min="17" max="17" width="11.140625" customWidth="1"/>
    <col min="18" max="18" width="7.140625" customWidth="1"/>
    <col min="19" max="19" width="10.42578125" bestFit="1" customWidth="1"/>
    <col min="20" max="20" width="1.7109375" customWidth="1"/>
    <col min="21" max="21" width="13.28515625" style="27" bestFit="1" customWidth="1"/>
    <col min="22" max="22" width="17.28515625" bestFit="1" customWidth="1"/>
    <col min="23" max="23" width="13.28515625" bestFit="1" customWidth="1"/>
    <col min="24" max="24" width="11" bestFit="1" customWidth="1"/>
    <col min="25" max="25" width="13.140625" bestFit="1" customWidth="1"/>
    <col min="26" max="26" width="11" bestFit="1" customWidth="1"/>
    <col min="27" max="27" width="12.7109375" bestFit="1" customWidth="1"/>
    <col min="28" max="28" width="1.7109375" customWidth="1"/>
    <col min="29" max="29" width="12.7109375" hidden="1" customWidth="1"/>
    <col min="30" max="30" width="12.7109375" bestFit="1" customWidth="1"/>
    <col min="31" max="31" width="14" bestFit="1" customWidth="1"/>
  </cols>
  <sheetData>
    <row r="1" spans="1:31" s="112" customFormat="1" ht="31.5" x14ac:dyDescent="0.5">
      <c r="A1" s="344" t="s">
        <v>11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31" s="112" customFormat="1" ht="32.25" thickBot="1" x14ac:dyDescent="0.55000000000000004">
      <c r="A2" s="344" t="s">
        <v>40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</row>
    <row r="3" spans="1:31" ht="16.5" thickBot="1" x14ac:dyDescent="0.3">
      <c r="A3" s="274"/>
      <c r="B3" s="275">
        <v>44927</v>
      </c>
      <c r="C3" s="275">
        <v>44958</v>
      </c>
      <c r="D3" s="275">
        <v>44986</v>
      </c>
      <c r="E3" s="275">
        <v>45017</v>
      </c>
      <c r="F3" s="275">
        <v>45047</v>
      </c>
      <c r="G3" s="276">
        <v>45078</v>
      </c>
      <c r="H3" s="313">
        <v>45108</v>
      </c>
      <c r="I3" s="314"/>
      <c r="J3" s="275">
        <v>45139</v>
      </c>
      <c r="K3" s="275">
        <v>45170</v>
      </c>
      <c r="L3" s="275">
        <v>45200</v>
      </c>
      <c r="M3" s="275">
        <v>45231</v>
      </c>
      <c r="N3" s="275">
        <v>45261</v>
      </c>
      <c r="O3" s="277" t="s">
        <v>12</v>
      </c>
      <c r="P3" s="354" t="s">
        <v>22</v>
      </c>
      <c r="Q3" s="355"/>
      <c r="R3" s="355"/>
    </row>
    <row r="4" spans="1:31" ht="16.5" thickBot="1" x14ac:dyDescent="0.3">
      <c r="A4" s="278" t="s">
        <v>4</v>
      </c>
      <c r="B4" s="18">
        <v>0.75</v>
      </c>
      <c r="C4" s="18">
        <v>0.82</v>
      </c>
      <c r="D4" s="42">
        <v>0.82</v>
      </c>
      <c r="E4" s="43">
        <v>0.84</v>
      </c>
      <c r="F4" s="44">
        <v>0.77</v>
      </c>
      <c r="G4" s="18">
        <v>0.77</v>
      </c>
      <c r="H4" s="315">
        <v>0.78</v>
      </c>
      <c r="I4" s="321"/>
      <c r="J4" s="240">
        <v>0.79</v>
      </c>
      <c r="K4" s="46">
        <v>0.72</v>
      </c>
      <c r="L4" s="47"/>
      <c r="M4" s="47"/>
      <c r="N4" s="48"/>
      <c r="O4" s="29">
        <f>SUM(B4:N4)/9</f>
        <v>0.78444444444444439</v>
      </c>
      <c r="P4" s="354" t="s">
        <v>23</v>
      </c>
      <c r="Q4" s="355"/>
      <c r="R4" s="355"/>
    </row>
    <row r="5" spans="1:31" ht="16.5" thickBot="1" x14ac:dyDescent="0.3">
      <c r="A5" s="274" t="s">
        <v>5</v>
      </c>
      <c r="B5" s="17">
        <v>0.75</v>
      </c>
      <c r="C5" s="17">
        <v>0.87</v>
      </c>
      <c r="D5" s="49">
        <v>0.85</v>
      </c>
      <c r="E5" s="50">
        <v>0.82</v>
      </c>
      <c r="F5" s="51">
        <v>0.84</v>
      </c>
      <c r="G5" s="17">
        <v>0.84299999999999997</v>
      </c>
      <c r="H5" s="317">
        <v>0.82399999999999995</v>
      </c>
      <c r="I5" s="322"/>
      <c r="J5" s="241">
        <v>0.78500000000000003</v>
      </c>
      <c r="K5" s="51">
        <v>0.79</v>
      </c>
      <c r="L5" s="61"/>
      <c r="M5" s="49"/>
      <c r="N5" s="52"/>
      <c r="O5" s="29">
        <f>SUM(B5:N5)/9</f>
        <v>0.81911111111111112</v>
      </c>
    </row>
    <row r="6" spans="1:31" ht="16.5" thickBot="1" x14ac:dyDescent="0.3">
      <c r="A6" s="274" t="s">
        <v>14</v>
      </c>
      <c r="B6" s="23">
        <v>29.11</v>
      </c>
      <c r="C6" s="87">
        <v>27.86</v>
      </c>
      <c r="D6" s="57">
        <v>27.44</v>
      </c>
      <c r="E6" s="139">
        <v>24.71</v>
      </c>
      <c r="F6" s="140">
        <v>31.15</v>
      </c>
      <c r="G6" s="239">
        <v>30.51</v>
      </c>
      <c r="H6" s="323">
        <v>29.65</v>
      </c>
      <c r="I6" s="324"/>
      <c r="J6" s="172">
        <v>34.86</v>
      </c>
      <c r="K6" s="140">
        <v>29.3</v>
      </c>
      <c r="L6" s="170"/>
      <c r="M6" s="171"/>
      <c r="N6" s="172"/>
      <c r="O6" s="141">
        <f>SUM(B6:N6)/9</f>
        <v>29.398888888888891</v>
      </c>
    </row>
    <row r="7" spans="1:31" ht="16.5" thickBot="1" x14ac:dyDescent="0.3">
      <c r="A7" s="279" t="s">
        <v>13</v>
      </c>
      <c r="B7" s="24">
        <v>21.72</v>
      </c>
      <c r="C7" s="198">
        <v>22.87</v>
      </c>
      <c r="D7" s="57">
        <v>22.38</v>
      </c>
      <c r="E7" s="55">
        <v>20.76</v>
      </c>
      <c r="F7" s="140">
        <v>23.86</v>
      </c>
      <c r="G7" s="198">
        <v>23.49</v>
      </c>
      <c r="H7" s="341">
        <v>22.49</v>
      </c>
      <c r="I7" s="342"/>
      <c r="J7" s="238">
        <v>26.46</v>
      </c>
      <c r="K7" s="56">
        <v>21</v>
      </c>
      <c r="L7" s="57"/>
      <c r="M7" s="57"/>
      <c r="N7" s="58"/>
      <c r="O7" s="141">
        <f>SUM(B7:N7)/9</f>
        <v>22.781111111111116</v>
      </c>
    </row>
    <row r="8" spans="1:31" ht="16.5" thickBot="1" x14ac:dyDescent="0.3">
      <c r="A8" s="279" t="s">
        <v>1</v>
      </c>
      <c r="B8" s="256">
        <v>21312</v>
      </c>
      <c r="C8" s="256">
        <v>20054</v>
      </c>
      <c r="D8" s="256">
        <v>21265</v>
      </c>
      <c r="E8" s="256">
        <v>19620</v>
      </c>
      <c r="F8" s="256">
        <v>23363.360000000001</v>
      </c>
      <c r="G8" s="256">
        <v>22275</v>
      </c>
      <c r="H8" s="356">
        <v>21970</v>
      </c>
      <c r="I8" s="357"/>
      <c r="J8" s="265">
        <v>26985</v>
      </c>
      <c r="K8" s="256">
        <v>19985</v>
      </c>
      <c r="L8" s="256"/>
      <c r="M8" s="256"/>
      <c r="N8" s="256"/>
      <c r="O8" s="264">
        <f>SUM(B8:N8)</f>
        <v>196829.36</v>
      </c>
    </row>
    <row r="9" spans="1:31" ht="16.5" customHeight="1" thickBot="1" x14ac:dyDescent="0.3">
      <c r="B9" s="113"/>
      <c r="C9" s="113"/>
      <c r="D9" s="114"/>
      <c r="E9" s="115"/>
      <c r="F9" s="114"/>
      <c r="G9" s="114"/>
      <c r="H9" s="114"/>
      <c r="I9" s="114"/>
      <c r="J9" s="114"/>
      <c r="K9" s="114"/>
      <c r="L9" s="116"/>
      <c r="M9" s="117"/>
      <c r="N9" s="116"/>
      <c r="O9" s="117"/>
    </row>
    <row r="10" spans="1:31" ht="21" customHeight="1" thickBot="1" x14ac:dyDescent="0.35">
      <c r="A10" s="351" t="s">
        <v>39</v>
      </c>
      <c r="B10" s="352"/>
      <c r="C10" s="352"/>
      <c r="D10" s="353"/>
      <c r="E10" s="351" t="s">
        <v>39</v>
      </c>
      <c r="F10" s="352"/>
      <c r="G10" s="352"/>
      <c r="H10" s="352"/>
      <c r="I10" s="352"/>
      <c r="J10" s="353"/>
      <c r="K10" s="351" t="s">
        <v>39</v>
      </c>
      <c r="L10" s="352"/>
      <c r="M10" s="352"/>
      <c r="N10" s="352"/>
      <c r="O10" s="353"/>
      <c r="P10" s="250"/>
      <c r="Q10" s="250"/>
    </row>
    <row r="11" spans="1:31" ht="17.25" customHeight="1" thickBot="1" x14ac:dyDescent="0.3">
      <c r="A11" s="251"/>
      <c r="B11" s="14">
        <v>44943</v>
      </c>
      <c r="C11" s="14">
        <v>44578</v>
      </c>
      <c r="D11" s="245" t="s">
        <v>3</v>
      </c>
      <c r="E11" s="309"/>
      <c r="F11" s="310"/>
      <c r="G11" s="237">
        <v>45063</v>
      </c>
      <c r="H11" s="327">
        <v>44698</v>
      </c>
      <c r="I11" s="328"/>
      <c r="J11" s="25" t="s">
        <v>3</v>
      </c>
      <c r="K11" s="360"/>
      <c r="L11" s="361"/>
      <c r="M11" s="249">
        <v>45186</v>
      </c>
      <c r="N11" s="249">
        <v>44821</v>
      </c>
      <c r="O11" s="257" t="s">
        <v>3</v>
      </c>
    </row>
    <row r="12" spans="1:31" s="5" customFormat="1" ht="16.5" thickBot="1" x14ac:dyDescent="0.3">
      <c r="A12" s="136" t="s">
        <v>4</v>
      </c>
      <c r="B12" s="18">
        <v>0.75</v>
      </c>
      <c r="C12" s="18">
        <v>0.86499999999999999</v>
      </c>
      <c r="D12" s="252">
        <f>SUM(B12)-C12</f>
        <v>-0.11499999999999999</v>
      </c>
      <c r="E12" s="307" t="s">
        <v>4</v>
      </c>
      <c r="F12" s="308"/>
      <c r="G12" s="18">
        <v>0.77</v>
      </c>
      <c r="H12" s="349">
        <v>0.83</v>
      </c>
      <c r="I12" s="350"/>
      <c r="J12" s="252">
        <v>-0.06</v>
      </c>
      <c r="K12" s="358" t="s">
        <v>4</v>
      </c>
      <c r="L12" s="359"/>
      <c r="M12" s="166">
        <v>0.72</v>
      </c>
      <c r="N12" s="258">
        <v>0.7</v>
      </c>
      <c r="O12" s="295">
        <f>SUM(M12)-N12</f>
        <v>2.0000000000000018E-2</v>
      </c>
      <c r="U12" s="27"/>
      <c r="AE12" s="4"/>
    </row>
    <row r="13" spans="1:31" s="5" customFormat="1" ht="16.5" thickBot="1" x14ac:dyDescent="0.3">
      <c r="A13" s="137" t="s">
        <v>5</v>
      </c>
      <c r="B13" s="17">
        <v>0.75</v>
      </c>
      <c r="C13" s="17">
        <v>0.88500000000000001</v>
      </c>
      <c r="D13" s="253">
        <f>SUM(B13)-C13</f>
        <v>-0.13500000000000001</v>
      </c>
      <c r="E13" s="303" t="s">
        <v>5</v>
      </c>
      <c r="F13" s="304"/>
      <c r="G13" s="17">
        <v>0.84</v>
      </c>
      <c r="H13" s="345">
        <v>0.82</v>
      </c>
      <c r="I13" s="346"/>
      <c r="J13" s="267">
        <v>0.02</v>
      </c>
      <c r="K13" s="358" t="s">
        <v>5</v>
      </c>
      <c r="L13" s="359"/>
      <c r="M13" s="167">
        <v>0.79</v>
      </c>
      <c r="N13" s="259">
        <v>0.76</v>
      </c>
      <c r="O13" s="284">
        <f>SUM(M13)-N13</f>
        <v>3.0000000000000027E-2</v>
      </c>
      <c r="U13" s="27"/>
      <c r="AE13" s="4"/>
    </row>
    <row r="14" spans="1:31" s="5" customFormat="1" ht="16.5" thickBot="1" x14ac:dyDescent="0.3">
      <c r="A14" s="137" t="s">
        <v>0</v>
      </c>
      <c r="B14" s="87">
        <v>29.11</v>
      </c>
      <c r="C14" s="87">
        <v>31.15</v>
      </c>
      <c r="D14" s="254">
        <f>SUM(B14)-C14</f>
        <v>-2.0399999999999991</v>
      </c>
      <c r="E14" s="307" t="s">
        <v>0</v>
      </c>
      <c r="F14" s="308"/>
      <c r="G14" s="87">
        <v>31.15</v>
      </c>
      <c r="H14" s="347">
        <v>28.3</v>
      </c>
      <c r="I14" s="348"/>
      <c r="J14" s="281">
        <v>2.85</v>
      </c>
      <c r="K14" s="358" t="s">
        <v>0</v>
      </c>
      <c r="L14" s="359"/>
      <c r="M14" s="168">
        <v>29.3</v>
      </c>
      <c r="N14" s="260">
        <v>26.94</v>
      </c>
      <c r="O14" s="285">
        <f>SUM(M14)-N14</f>
        <v>2.3599999999999994</v>
      </c>
      <c r="U14" s="27"/>
      <c r="AE14" s="4"/>
    </row>
    <row r="15" spans="1:31" s="5" customFormat="1" ht="16.5" thickBot="1" x14ac:dyDescent="0.3">
      <c r="A15" s="138" t="s">
        <v>1</v>
      </c>
      <c r="B15" s="256">
        <v>21312</v>
      </c>
      <c r="C15" s="256">
        <v>26804</v>
      </c>
      <c r="D15" s="255">
        <f>SUM(B15)-C15</f>
        <v>-5492</v>
      </c>
      <c r="E15" s="303" t="s">
        <v>1</v>
      </c>
      <c r="F15" s="304"/>
      <c r="G15" s="256">
        <v>23363</v>
      </c>
      <c r="H15" s="364">
        <v>22925</v>
      </c>
      <c r="I15" s="365"/>
      <c r="J15" s="282">
        <v>438</v>
      </c>
      <c r="K15" s="358" t="s">
        <v>1</v>
      </c>
      <c r="L15" s="359"/>
      <c r="M15" s="169">
        <v>19985</v>
      </c>
      <c r="N15" s="261">
        <v>17351</v>
      </c>
      <c r="O15" s="296">
        <f>SUM(M15)-N15</f>
        <v>2634</v>
      </c>
      <c r="U15" s="27"/>
      <c r="AE15" s="4"/>
    </row>
    <row r="16" spans="1:31" s="5" customFormat="1" ht="15.75" customHeight="1" thickBot="1" x14ac:dyDescent="0.3">
      <c r="A16" s="251"/>
      <c r="B16" s="196">
        <v>44974</v>
      </c>
      <c r="C16" s="196">
        <v>44609</v>
      </c>
      <c r="D16" s="246" t="s">
        <v>3</v>
      </c>
      <c r="E16" s="309"/>
      <c r="F16" s="310"/>
      <c r="G16" s="104">
        <v>45094</v>
      </c>
      <c r="H16" s="301">
        <v>44729</v>
      </c>
      <c r="I16" s="302"/>
      <c r="J16" s="25" t="s">
        <v>3</v>
      </c>
      <c r="K16" s="362"/>
      <c r="L16" s="363"/>
      <c r="M16" s="144">
        <v>45216</v>
      </c>
      <c r="N16" s="144">
        <v>44851</v>
      </c>
      <c r="O16" s="175" t="s">
        <v>3</v>
      </c>
      <c r="U16" s="27"/>
      <c r="AE16" s="4"/>
    </row>
    <row r="17" spans="1:31" s="5" customFormat="1" ht="16.5" thickBot="1" x14ac:dyDescent="0.3">
      <c r="A17" s="136" t="s">
        <v>4</v>
      </c>
      <c r="B17" s="18">
        <v>0.82</v>
      </c>
      <c r="C17" s="18">
        <v>0.82</v>
      </c>
      <c r="D17" s="266">
        <f>SUM(B17)-C17</f>
        <v>0</v>
      </c>
      <c r="E17" s="303" t="s">
        <v>4</v>
      </c>
      <c r="F17" s="304"/>
      <c r="G17" s="18">
        <v>0.77</v>
      </c>
      <c r="H17" s="315">
        <v>0.71</v>
      </c>
      <c r="I17" s="316"/>
      <c r="J17" s="283">
        <f>SUM(G17)-H17</f>
        <v>6.0000000000000053E-2</v>
      </c>
      <c r="K17" s="366" t="s">
        <v>4</v>
      </c>
      <c r="L17" s="359"/>
      <c r="M17" s="178"/>
      <c r="N17" s="45">
        <v>0.75</v>
      </c>
      <c r="O17" s="126"/>
      <c r="U17" s="27"/>
      <c r="AE17" s="4"/>
    </row>
    <row r="18" spans="1:31" s="5" customFormat="1" ht="16.5" thickBot="1" x14ac:dyDescent="0.3">
      <c r="A18" s="137" t="s">
        <v>5</v>
      </c>
      <c r="B18" s="17">
        <v>0.87</v>
      </c>
      <c r="C18" s="17">
        <v>0.85</v>
      </c>
      <c r="D18" s="267">
        <f>SUM(B18)-C18</f>
        <v>2.0000000000000018E-2</v>
      </c>
      <c r="E18" s="307" t="s">
        <v>5</v>
      </c>
      <c r="F18" s="308"/>
      <c r="G18" s="17">
        <v>0.84</v>
      </c>
      <c r="H18" s="317">
        <v>0.75</v>
      </c>
      <c r="I18" s="318"/>
      <c r="J18" s="284">
        <f>SUM(G18)-H18</f>
        <v>8.9999999999999969E-2</v>
      </c>
      <c r="K18" s="366" t="s">
        <v>5</v>
      </c>
      <c r="L18" s="359"/>
      <c r="M18" s="179"/>
      <c r="N18" s="262">
        <v>0.79</v>
      </c>
      <c r="O18" s="127"/>
      <c r="U18" s="27"/>
      <c r="AE18" s="4"/>
    </row>
    <row r="19" spans="1:31" ht="16.5" thickBot="1" x14ac:dyDescent="0.3">
      <c r="A19" s="137" t="s">
        <v>0</v>
      </c>
      <c r="B19" s="87">
        <v>27.86</v>
      </c>
      <c r="C19" s="87">
        <v>28.92</v>
      </c>
      <c r="D19" s="254">
        <f>SUM(B19)-C19</f>
        <v>-1.0600000000000023</v>
      </c>
      <c r="E19" s="303" t="s">
        <v>0</v>
      </c>
      <c r="F19" s="304"/>
      <c r="G19" s="87">
        <v>30.51</v>
      </c>
      <c r="H19" s="319">
        <v>26.19</v>
      </c>
      <c r="I19" s="320"/>
      <c r="J19" s="285">
        <f>SUM(G19)-H19</f>
        <v>4.32</v>
      </c>
      <c r="K19" s="366" t="s">
        <v>0</v>
      </c>
      <c r="L19" s="359"/>
      <c r="M19" s="180"/>
      <c r="N19" s="53">
        <v>28.53</v>
      </c>
      <c r="O19" s="151"/>
    </row>
    <row r="20" spans="1:31" ht="16.5" thickBot="1" x14ac:dyDescent="0.3">
      <c r="A20" s="138" t="s">
        <v>1</v>
      </c>
      <c r="B20" s="256">
        <v>20054</v>
      </c>
      <c r="C20" s="256">
        <v>21350</v>
      </c>
      <c r="D20" s="268">
        <f>SUM(B20)-C20</f>
        <v>-1296</v>
      </c>
      <c r="E20" s="307" t="s">
        <v>1</v>
      </c>
      <c r="F20" s="308"/>
      <c r="G20" s="256">
        <v>22275</v>
      </c>
      <c r="H20" s="339">
        <v>17785</v>
      </c>
      <c r="I20" s="340"/>
      <c r="J20" s="286">
        <f>SUM(G20)-H20</f>
        <v>4490</v>
      </c>
      <c r="K20" s="366" t="s">
        <v>1</v>
      </c>
      <c r="L20" s="359"/>
      <c r="M20" s="181"/>
      <c r="N20" s="59">
        <v>21056</v>
      </c>
      <c r="O20" s="177"/>
    </row>
    <row r="21" spans="1:31" ht="16.5" thickBot="1" x14ac:dyDescent="0.3">
      <c r="A21" s="251"/>
      <c r="B21" s="14">
        <v>45002</v>
      </c>
      <c r="C21" s="14">
        <v>44637</v>
      </c>
      <c r="D21" s="247" t="s">
        <v>3</v>
      </c>
      <c r="E21" s="309"/>
      <c r="F21" s="310"/>
      <c r="G21" s="104">
        <v>45124</v>
      </c>
      <c r="H21" s="299">
        <v>44759</v>
      </c>
      <c r="I21" s="300"/>
      <c r="J21" s="8" t="s">
        <v>3</v>
      </c>
      <c r="K21" s="362"/>
      <c r="L21" s="363"/>
      <c r="M21" s="145">
        <v>45247</v>
      </c>
      <c r="N21" s="145">
        <v>44882</v>
      </c>
      <c r="O21" s="26" t="s">
        <v>3</v>
      </c>
    </row>
    <row r="22" spans="1:31" ht="15.75" customHeight="1" thickBot="1" x14ac:dyDescent="0.3">
      <c r="A22" s="136" t="s">
        <v>4</v>
      </c>
      <c r="B22" s="18">
        <v>0.82</v>
      </c>
      <c r="C22" s="18">
        <v>0.89</v>
      </c>
      <c r="D22" s="252">
        <f>SUM(B22)-C22</f>
        <v>-7.0000000000000062E-2</v>
      </c>
      <c r="E22" s="307" t="s">
        <v>4</v>
      </c>
      <c r="F22" s="308"/>
      <c r="G22" s="45">
        <v>0.78</v>
      </c>
      <c r="H22" s="46">
        <v>0.55000000000000004</v>
      </c>
      <c r="I22" s="46">
        <v>0.55000000000000004</v>
      </c>
      <c r="J22" s="283">
        <f>SUM(G22)-H22</f>
        <v>0.22999999999999998</v>
      </c>
      <c r="K22" s="358" t="s">
        <v>4</v>
      </c>
      <c r="L22" s="359"/>
      <c r="M22" s="178"/>
      <c r="N22" s="45">
        <v>0.79500000000000004</v>
      </c>
      <c r="O22" s="126"/>
    </row>
    <row r="23" spans="1:31" ht="16.5" thickBot="1" x14ac:dyDescent="0.3">
      <c r="A23" s="137" t="s">
        <v>5</v>
      </c>
      <c r="B23" s="17">
        <v>0.85</v>
      </c>
      <c r="C23" s="17">
        <v>0.93</v>
      </c>
      <c r="D23" s="253">
        <f>SUM(B23)-C23</f>
        <v>-8.0000000000000071E-2</v>
      </c>
      <c r="E23" s="303" t="s">
        <v>5</v>
      </c>
      <c r="F23" s="304"/>
      <c r="G23" s="49">
        <v>0.82</v>
      </c>
      <c r="H23" s="51">
        <v>0.6</v>
      </c>
      <c r="I23" s="51">
        <v>0.6</v>
      </c>
      <c r="J23" s="284">
        <f>SUM(G23)-H23</f>
        <v>0.21999999999999997</v>
      </c>
      <c r="K23" s="358" t="s">
        <v>5</v>
      </c>
      <c r="L23" s="359"/>
      <c r="M23" s="179"/>
      <c r="N23" s="262">
        <v>0.79</v>
      </c>
      <c r="O23" s="186"/>
    </row>
    <row r="24" spans="1:31" ht="16.5" thickBot="1" x14ac:dyDescent="0.3">
      <c r="A24" s="137" t="s">
        <v>0</v>
      </c>
      <c r="B24" s="87">
        <v>27.44</v>
      </c>
      <c r="C24" s="87">
        <v>34.57</v>
      </c>
      <c r="D24" s="254">
        <f>SUM(B24)-C24</f>
        <v>-7.129999999999999</v>
      </c>
      <c r="E24" s="307" t="s">
        <v>0</v>
      </c>
      <c r="F24" s="308"/>
      <c r="G24" s="13">
        <v>29.65</v>
      </c>
      <c r="H24" s="56">
        <v>34.840000000000003</v>
      </c>
      <c r="I24" s="56">
        <v>34.840000000000003</v>
      </c>
      <c r="J24" s="294">
        <f>SUM(G24)-H24</f>
        <v>-5.1900000000000048</v>
      </c>
      <c r="K24" s="358" t="s">
        <v>0</v>
      </c>
      <c r="L24" s="359"/>
      <c r="M24" s="182"/>
      <c r="N24" s="54">
        <v>25.29</v>
      </c>
      <c r="O24" s="176"/>
    </row>
    <row r="25" spans="1:31" ht="16.5" thickBot="1" x14ac:dyDescent="0.3">
      <c r="A25" s="138" t="s">
        <v>1</v>
      </c>
      <c r="B25" s="72">
        <v>21265</v>
      </c>
      <c r="C25" s="256">
        <v>28041</v>
      </c>
      <c r="D25" s="255">
        <f>SUM(B25)-C25</f>
        <v>-6776</v>
      </c>
      <c r="E25" s="303" t="s">
        <v>1</v>
      </c>
      <c r="F25" s="304"/>
      <c r="G25" s="293">
        <v>21970</v>
      </c>
      <c r="H25" s="80">
        <v>19020</v>
      </c>
      <c r="I25" s="80">
        <v>19020</v>
      </c>
      <c r="J25" s="286">
        <f>SUM(G25)-H25</f>
        <v>2950</v>
      </c>
      <c r="K25" s="358" t="s">
        <v>1</v>
      </c>
      <c r="L25" s="359"/>
      <c r="M25" s="181"/>
      <c r="N25" s="59">
        <v>18990</v>
      </c>
      <c r="O25" s="190"/>
    </row>
    <row r="26" spans="1:31" ht="16.5" thickBot="1" x14ac:dyDescent="0.3">
      <c r="A26" s="251"/>
      <c r="B26" s="14">
        <v>45033</v>
      </c>
      <c r="C26" s="14">
        <v>44668</v>
      </c>
      <c r="D26" s="248" t="s">
        <v>3</v>
      </c>
      <c r="E26" s="305"/>
      <c r="F26" s="306"/>
      <c r="G26" s="104">
        <v>45155</v>
      </c>
      <c r="H26" s="301">
        <v>44790</v>
      </c>
      <c r="I26" s="302"/>
      <c r="J26" s="25" t="s">
        <v>3</v>
      </c>
      <c r="K26" s="362"/>
      <c r="L26" s="363"/>
      <c r="M26" s="144">
        <v>45277</v>
      </c>
      <c r="N26" s="144">
        <v>44912</v>
      </c>
      <c r="O26" s="26" t="s">
        <v>3</v>
      </c>
    </row>
    <row r="27" spans="1:31" ht="14.25" customHeight="1" thickBot="1" x14ac:dyDescent="0.3">
      <c r="A27" s="136" t="s">
        <v>4</v>
      </c>
      <c r="B27" s="18">
        <v>0.84</v>
      </c>
      <c r="C27" s="18">
        <v>0.85</v>
      </c>
      <c r="D27" s="252">
        <f>SUM(B27)-C27</f>
        <v>-1.0000000000000009E-2</v>
      </c>
      <c r="E27" s="303" t="s">
        <v>4</v>
      </c>
      <c r="F27" s="304"/>
      <c r="G27" s="45">
        <v>0.79</v>
      </c>
      <c r="H27" s="315">
        <v>0.63</v>
      </c>
      <c r="I27" s="321"/>
      <c r="J27" s="283">
        <f>SUM(G27)-H27</f>
        <v>0.16000000000000003</v>
      </c>
      <c r="K27" s="358" t="s">
        <v>4</v>
      </c>
      <c r="L27" s="359"/>
      <c r="M27" s="47"/>
      <c r="N27" s="47">
        <v>0.65</v>
      </c>
      <c r="O27" s="232"/>
    </row>
    <row r="28" spans="1:31" ht="16.5" customHeight="1" thickBot="1" x14ac:dyDescent="0.3">
      <c r="A28" s="137" t="s">
        <v>5</v>
      </c>
      <c r="B28" s="17">
        <v>0.82</v>
      </c>
      <c r="C28" s="17">
        <v>0.89</v>
      </c>
      <c r="D28" s="253">
        <f>SUM(B28)-C28</f>
        <v>-7.0000000000000062E-2</v>
      </c>
      <c r="E28" s="307" t="s">
        <v>5</v>
      </c>
      <c r="F28" s="308"/>
      <c r="G28" s="49">
        <v>0.79</v>
      </c>
      <c r="H28" s="317">
        <v>0.69</v>
      </c>
      <c r="I28" s="322"/>
      <c r="J28" s="284">
        <f>SUM(G28)-H28</f>
        <v>0.10000000000000009</v>
      </c>
      <c r="K28" s="358" t="s">
        <v>5</v>
      </c>
      <c r="L28" s="359"/>
      <c r="M28" s="192"/>
      <c r="N28" s="192">
        <v>0.68</v>
      </c>
      <c r="O28" s="233"/>
    </row>
    <row r="29" spans="1:31" ht="16.5" thickBot="1" x14ac:dyDescent="0.3">
      <c r="A29" s="137" t="s">
        <v>0</v>
      </c>
      <c r="B29" s="263">
        <v>24.71</v>
      </c>
      <c r="C29" s="239">
        <v>37.58</v>
      </c>
      <c r="D29" s="254">
        <f>SUM(B29)-C29</f>
        <v>-12.869999999999997</v>
      </c>
      <c r="E29" s="303" t="s">
        <v>0</v>
      </c>
      <c r="F29" s="304"/>
      <c r="G29" s="13">
        <v>28.62</v>
      </c>
      <c r="H29" s="341">
        <v>24.07</v>
      </c>
      <c r="I29" s="342"/>
      <c r="J29" s="285">
        <f>SUM(G29)-H29</f>
        <v>4.5500000000000007</v>
      </c>
      <c r="K29" s="358" t="s">
        <v>0</v>
      </c>
      <c r="L29" s="359"/>
      <c r="M29" s="53"/>
      <c r="N29" s="53">
        <v>29.72</v>
      </c>
      <c r="O29" s="234"/>
    </row>
    <row r="30" spans="1:31" ht="16.5" thickBot="1" x14ac:dyDescent="0.3">
      <c r="A30" s="146" t="s">
        <v>1</v>
      </c>
      <c r="B30" s="31">
        <v>19620</v>
      </c>
      <c r="C30" s="256">
        <v>29392</v>
      </c>
      <c r="D30" s="255">
        <f>SUM(B30)-C30</f>
        <v>-9772</v>
      </c>
      <c r="E30" s="297" t="s">
        <v>1</v>
      </c>
      <c r="F30" s="298"/>
      <c r="G30" s="293">
        <v>26</v>
      </c>
      <c r="H30" s="339">
        <v>13845</v>
      </c>
      <c r="I30" s="343"/>
      <c r="J30" s="286">
        <f>SUM(G30)-H30</f>
        <v>-13819</v>
      </c>
      <c r="K30" s="358" t="s">
        <v>1</v>
      </c>
      <c r="L30" s="359"/>
      <c r="M30" s="59"/>
      <c r="N30" s="59">
        <v>19080</v>
      </c>
      <c r="O30" s="235"/>
    </row>
    <row r="31" spans="1:31" s="1" customFormat="1" ht="15.75" customHeight="1" thickBot="1" x14ac:dyDescent="0.35">
      <c r="A31" s="15"/>
      <c r="T31"/>
      <c r="U31" s="27"/>
      <c r="V31"/>
      <c r="W31" s="3"/>
    </row>
    <row r="32" spans="1:31" ht="21" customHeight="1" thickBot="1" x14ac:dyDescent="0.3">
      <c r="A32" s="325" t="s">
        <v>19</v>
      </c>
      <c r="B32" s="326"/>
      <c r="C32" s="326"/>
      <c r="D32" s="326"/>
      <c r="E32" s="326"/>
      <c r="F32" s="326"/>
      <c r="G32" s="326"/>
      <c r="H32" s="280"/>
      <c r="I32" s="325" t="s">
        <v>45</v>
      </c>
      <c r="J32" s="326"/>
      <c r="K32" s="326"/>
      <c r="L32" s="326"/>
      <c r="M32" s="326"/>
      <c r="N32" s="326"/>
      <c r="O32" s="335"/>
    </row>
    <row r="33" spans="1:16" ht="21" customHeight="1" thickBot="1" x14ac:dyDescent="0.3">
      <c r="A33" s="129" t="s">
        <v>17</v>
      </c>
      <c r="B33" s="131">
        <v>2013</v>
      </c>
      <c r="C33" s="131">
        <v>2014</v>
      </c>
      <c r="D33" s="131">
        <v>2015</v>
      </c>
      <c r="E33" s="132">
        <v>2016</v>
      </c>
      <c r="F33" s="133">
        <v>2017</v>
      </c>
      <c r="G33" s="133">
        <v>2018</v>
      </c>
      <c r="H33" s="90"/>
      <c r="I33" s="134" t="s">
        <v>18</v>
      </c>
      <c r="J33" s="201">
        <v>2019</v>
      </c>
      <c r="K33" s="133">
        <v>2020</v>
      </c>
      <c r="L33" s="202">
        <v>2021</v>
      </c>
      <c r="M33" s="133">
        <v>2022</v>
      </c>
      <c r="N33" s="133">
        <v>2023</v>
      </c>
      <c r="O33" s="133" t="s">
        <v>7</v>
      </c>
    </row>
    <row r="34" spans="1:16" ht="21" customHeight="1" thickBot="1" x14ac:dyDescent="0.3">
      <c r="A34" s="130" t="s">
        <v>6</v>
      </c>
      <c r="B34" s="74">
        <v>1425</v>
      </c>
      <c r="C34" s="75">
        <v>37050</v>
      </c>
      <c r="D34" s="65">
        <v>36185</v>
      </c>
      <c r="E34" s="76">
        <v>36694</v>
      </c>
      <c r="F34" s="28">
        <v>27584</v>
      </c>
      <c r="G34" s="65">
        <v>23320.6</v>
      </c>
      <c r="H34" s="91"/>
      <c r="I34" s="130" t="s">
        <v>6</v>
      </c>
      <c r="J34" s="65">
        <v>53875.25</v>
      </c>
      <c r="K34" s="287">
        <f>7053.2+4226.53+3384.96+6079.2+7435.8+3554.9+0+3841.53+4830+3154.8</f>
        <v>43560.920000000006</v>
      </c>
      <c r="L34" s="67">
        <f>3309.57+0+556.28+1356.16+1398.41+211.45+902.92+3324.45+7066.76+8088.96+5880.7+14160</f>
        <v>46255.66</v>
      </c>
      <c r="M34" s="96">
        <f>3508.29+1451.45+6020.4+1901.52+4764.81+5331.2+5521.02+1283.31+484.95+1483.56+5728.31+6581.49</f>
        <v>44060.310000000005</v>
      </c>
      <c r="N34" s="206">
        <f>2710.4+5056.25+6226.65+3698.64+4156.62+10083.93+6469+8001.63</f>
        <v>46403.119999999995</v>
      </c>
      <c r="O34" s="39">
        <f>SUM(B34:N34)</f>
        <v>396413.86000000004</v>
      </c>
    </row>
    <row r="35" spans="1:16" ht="21" customHeight="1" thickBot="1" x14ac:dyDescent="0.3">
      <c r="A35" s="130" t="s">
        <v>8</v>
      </c>
      <c r="B35" s="54">
        <v>0</v>
      </c>
      <c r="C35" s="72">
        <v>28782</v>
      </c>
      <c r="D35" s="69">
        <v>11210</v>
      </c>
      <c r="E35" s="77">
        <v>9322</v>
      </c>
      <c r="F35" s="78">
        <v>17754.46</v>
      </c>
      <c r="G35" s="69">
        <v>8026.56</v>
      </c>
      <c r="H35" s="92"/>
      <c r="I35" s="130" t="s">
        <v>8</v>
      </c>
      <c r="J35" s="69">
        <v>6500.31</v>
      </c>
      <c r="K35" s="288">
        <f>385.72+663.67+703.76+11955.76+5035.8+369.66+7333.83+5070+4653.33</f>
        <v>36171.53</v>
      </c>
      <c r="L35" s="71">
        <f>3108.99+3540.96+4450.24+3338.24+4195.23+1987.63+3739.84+1497.5+4168.88+2696.32+227.64+880</f>
        <v>33831.47</v>
      </c>
      <c r="M35" s="290">
        <f>68.79+451.53+175.45+100.08+268.44+609.04+2324.64+1283.31+915.96+2596.23+7376.18+4915.29</f>
        <v>21084.94</v>
      </c>
      <c r="N35" s="207">
        <f>1685.5+1941.6+2404.35+336.24+1138.8+1094.38+2328.84+3556.28</f>
        <v>14485.99</v>
      </c>
      <c r="O35" s="39">
        <f>SUM(B35:N35)</f>
        <v>187169.25999999998</v>
      </c>
    </row>
    <row r="36" spans="1:16" ht="21" customHeight="1" thickBot="1" x14ac:dyDescent="0.3">
      <c r="A36" s="130" t="s">
        <v>9</v>
      </c>
      <c r="B36" s="69">
        <v>100</v>
      </c>
      <c r="C36" s="72">
        <v>10875</v>
      </c>
      <c r="D36" s="69">
        <v>32580</v>
      </c>
      <c r="E36" s="77">
        <v>22778</v>
      </c>
      <c r="F36" s="78">
        <v>18480</v>
      </c>
      <c r="G36" s="69">
        <v>30973.96</v>
      </c>
      <c r="H36" s="92"/>
      <c r="I36" s="130" t="s">
        <v>9</v>
      </c>
      <c r="J36" s="69">
        <v>48215.05</v>
      </c>
      <c r="K36" s="288">
        <f>6412+3318.35+3715.2+8712.52+369.66+116.41+4670+3785.76</f>
        <v>31099.9</v>
      </c>
      <c r="L36" s="71">
        <f>4513.05+1918.02+417.21+5216+7745.04+3214.04+8640.32+3234.6+3355.44+4412.16+2693.74+6560</f>
        <v>51919.62</v>
      </c>
      <c r="M36" s="290">
        <f>2178.35+4164.11+1451.45+3502.8+7650.54+3882.63+4164.98+7088.76+1966.62+2653.29+3766.56+1499.58</f>
        <v>43969.670000000006</v>
      </c>
      <c r="N36" s="207">
        <f>2745.6+2507.9+4130.55+4791.42+4782.96+6566.28+9380.05+8138.41</f>
        <v>43043.17</v>
      </c>
      <c r="O36" s="39">
        <f>SUM(B36:N36)</f>
        <v>334034.37</v>
      </c>
    </row>
    <row r="37" spans="1:16" ht="21" customHeight="1" thickBot="1" x14ac:dyDescent="0.3">
      <c r="A37" s="130" t="s">
        <v>2</v>
      </c>
      <c r="B37" s="59">
        <v>4725</v>
      </c>
      <c r="C37" s="199">
        <v>89485</v>
      </c>
      <c r="D37" s="59">
        <v>88740</v>
      </c>
      <c r="E37" s="60">
        <v>98801</v>
      </c>
      <c r="F37" s="209">
        <v>84675</v>
      </c>
      <c r="G37" s="59">
        <v>114224.76</v>
      </c>
      <c r="H37" s="92"/>
      <c r="I37" s="130" t="s">
        <v>2</v>
      </c>
      <c r="J37" s="69">
        <v>193842.75</v>
      </c>
      <c r="K37" s="288">
        <f>32637.08+15194.55+17709.12+19250.8+22301.4+26568.2+67564.75+31089.34+41217.09+28753.27+14597.55+16404.96</f>
        <v>333288.11000000004</v>
      </c>
      <c r="L37" s="71">
        <f>27980.91+38212.86+43528.91+27331.84+32486.14+16112.49+25792+13267.85+19776.76+27514.72+19311.46+42238</f>
        <v>333553.94000000006</v>
      </c>
      <c r="M37" s="290">
        <f>13918.51+26389.42+9857.1+19615.68+40937.1+40669.44+40874.92+25360.65+13927.98+14322.06+41981.45+40322.04</f>
        <v>328176.34999999998</v>
      </c>
      <c r="N37" s="207">
        <f>18585.6+18728.35+34893.9+24461.46+32398.86+39085+29757.4+33100.76</f>
        <v>231011.33</v>
      </c>
      <c r="O37" s="39">
        <f>SUM(B37:N37)</f>
        <v>1900523.2400000002</v>
      </c>
    </row>
    <row r="38" spans="1:16" ht="21" customHeight="1" thickBot="1" x14ac:dyDescent="0.3">
      <c r="A38" s="130"/>
      <c r="B38" s="270"/>
      <c r="C38" s="271"/>
      <c r="D38" s="270"/>
      <c r="E38" s="272"/>
      <c r="F38" s="273"/>
      <c r="G38" s="270"/>
      <c r="H38" s="200"/>
      <c r="I38" s="130" t="s">
        <v>24</v>
      </c>
      <c r="J38" s="59" t="s">
        <v>25</v>
      </c>
      <c r="K38" s="289" t="s">
        <v>25</v>
      </c>
      <c r="L38" s="292" t="s">
        <v>25</v>
      </c>
      <c r="M38" s="291">
        <f>967.44+738.21+1218.56+61.11+53.88+78.47+44.24</f>
        <v>3161.91</v>
      </c>
      <c r="N38" s="208">
        <f>35.2+40.45+123.3+84.06+227.76+234.51+0+136.78</f>
        <v>882.06</v>
      </c>
      <c r="O38" s="39">
        <f>SUM(B38:N38)</f>
        <v>4043.97</v>
      </c>
    </row>
    <row r="39" spans="1:16" ht="21" customHeight="1" thickBot="1" x14ac:dyDescent="0.3">
      <c r="A39" s="130" t="s">
        <v>7</v>
      </c>
      <c r="B39" s="98">
        <f t="shared" ref="B39:G39" si="0">SUM(B34:B37)</f>
        <v>6250</v>
      </c>
      <c r="C39" s="98">
        <f t="shared" si="0"/>
        <v>166192</v>
      </c>
      <c r="D39" s="98">
        <f t="shared" si="0"/>
        <v>168715</v>
      </c>
      <c r="E39" s="98">
        <f t="shared" si="0"/>
        <v>167595</v>
      </c>
      <c r="F39" s="98">
        <f t="shared" si="0"/>
        <v>148493.46</v>
      </c>
      <c r="G39" s="98">
        <f t="shared" si="0"/>
        <v>176545.88</v>
      </c>
      <c r="H39" s="93"/>
      <c r="I39" s="135" t="s">
        <v>7</v>
      </c>
      <c r="J39" s="203">
        <f>SUM(J34:J37)</f>
        <v>302433.36</v>
      </c>
      <c r="K39" s="204">
        <f>SUM(K34:K37)</f>
        <v>444120.46000000008</v>
      </c>
      <c r="L39" s="204">
        <f>SUM(L34:L37)</f>
        <v>465560.69000000006</v>
      </c>
      <c r="M39" s="205">
        <f>SUM(M34:M38)</f>
        <v>440453.18</v>
      </c>
      <c r="N39" s="205">
        <f>SUM(N34:N38)</f>
        <v>335825.67</v>
      </c>
      <c r="O39" s="40">
        <f>SUM(O34:O38)</f>
        <v>2822184.7000000007</v>
      </c>
      <c r="P39" s="99"/>
    </row>
    <row r="40" spans="1:16" ht="21" customHeight="1" thickBot="1" x14ac:dyDescent="0.3">
      <c r="A40" s="4"/>
      <c r="B40" s="4"/>
      <c r="C40" s="4"/>
      <c r="D40" s="4"/>
      <c r="E40" s="4"/>
      <c r="F40" s="5"/>
      <c r="G40" s="5"/>
      <c r="H40" s="102"/>
      <c r="I40" s="1"/>
    </row>
    <row r="41" spans="1:16" ht="21" customHeight="1" thickBot="1" x14ac:dyDescent="0.3">
      <c r="A41" s="332" t="s">
        <v>20</v>
      </c>
      <c r="B41" s="333"/>
      <c r="C41" s="333"/>
      <c r="D41" s="333"/>
      <c r="E41" s="333"/>
      <c r="F41" s="333"/>
      <c r="G41" s="333"/>
      <c r="H41" s="100"/>
      <c r="I41" s="332" t="s">
        <v>43</v>
      </c>
      <c r="J41" s="333"/>
      <c r="K41" s="333"/>
      <c r="L41" s="333"/>
      <c r="M41" s="333"/>
      <c r="N41" s="333"/>
      <c r="O41" s="334"/>
    </row>
    <row r="42" spans="1:16" ht="21" customHeight="1" thickBot="1" x14ac:dyDescent="0.3">
      <c r="A42" s="160" t="s">
        <v>17</v>
      </c>
      <c r="B42" s="163">
        <v>2013</v>
      </c>
      <c r="C42" s="163">
        <v>2014</v>
      </c>
      <c r="D42" s="163">
        <v>2015</v>
      </c>
      <c r="E42" s="163">
        <v>2016</v>
      </c>
      <c r="F42" s="164">
        <v>2017</v>
      </c>
      <c r="G42" s="165">
        <v>2018</v>
      </c>
      <c r="H42" s="165"/>
      <c r="I42" s="160" t="s">
        <v>18</v>
      </c>
      <c r="J42" s="212">
        <v>2019</v>
      </c>
      <c r="K42" s="212">
        <v>2020</v>
      </c>
      <c r="L42" s="212">
        <v>2021</v>
      </c>
      <c r="M42" s="212">
        <v>2022</v>
      </c>
      <c r="N42" s="212">
        <v>2023</v>
      </c>
      <c r="O42" s="160" t="s">
        <v>7</v>
      </c>
    </row>
    <row r="43" spans="1:16" ht="21" customHeight="1" thickBot="1" x14ac:dyDescent="0.3">
      <c r="A43" s="161" t="s">
        <v>6</v>
      </c>
      <c r="B43" s="65">
        <v>19</v>
      </c>
      <c r="C43" s="66">
        <v>804</v>
      </c>
      <c r="D43" s="65">
        <v>961</v>
      </c>
      <c r="E43" s="66">
        <v>966</v>
      </c>
      <c r="F43" s="88">
        <v>737</v>
      </c>
      <c r="G43" s="88">
        <v>717</v>
      </c>
      <c r="H43" s="218"/>
      <c r="I43" s="162" t="s">
        <v>6</v>
      </c>
      <c r="J43" s="67">
        <f>408+78+128+198+232+171+215+123+73</f>
        <v>1626</v>
      </c>
      <c r="K43" s="67">
        <f>110+118+82+30+31+19+0+0+33+63+40</f>
        <v>526</v>
      </c>
      <c r="L43" s="210">
        <f>33+0+4+13+13+5+14+111+139+132+155+177</f>
        <v>796</v>
      </c>
      <c r="M43" s="242">
        <f>153+120+91+57+71+70+57+21+18+52+73+79</f>
        <v>862</v>
      </c>
      <c r="N43" s="242">
        <f>77+125+101+88+73+129+100+52+66</f>
        <v>811</v>
      </c>
      <c r="O43" s="96">
        <f>SUM(B43:N43)</f>
        <v>8825</v>
      </c>
    </row>
    <row r="44" spans="1:16" ht="21" customHeight="1" thickBot="1" x14ac:dyDescent="0.3">
      <c r="A44" s="161" t="s">
        <v>8</v>
      </c>
      <c r="B44" s="54">
        <v>0</v>
      </c>
      <c r="C44" s="68">
        <v>598</v>
      </c>
      <c r="D44" s="69">
        <v>361</v>
      </c>
      <c r="E44" s="70">
        <v>264</v>
      </c>
      <c r="F44" s="53">
        <v>818</v>
      </c>
      <c r="G44" s="53">
        <v>358</v>
      </c>
      <c r="H44" s="219"/>
      <c r="I44" s="162" t="s">
        <v>8</v>
      </c>
      <c r="J44" s="71">
        <f>63+9-11+5+23+37+46+18+3</f>
        <v>193</v>
      </c>
      <c r="K44" s="71">
        <f>6+19+17+59+21+0+0+2+63+60+59</f>
        <v>306</v>
      </c>
      <c r="L44" s="211">
        <f>31+24+32+32+39+47+58+50+82+44+6+11</f>
        <v>456</v>
      </c>
      <c r="M44" s="243">
        <f>3+9+11+3+4+8+24+21+34+91+94+59</f>
        <v>361</v>
      </c>
      <c r="N44" s="243">
        <f>48+48+39+8+20+14+36+52+51</f>
        <v>316</v>
      </c>
      <c r="O44" s="96">
        <f>SUM(B44:N44)</f>
        <v>4031</v>
      </c>
    </row>
    <row r="45" spans="1:16" ht="21" customHeight="1" thickBot="1" x14ac:dyDescent="0.3">
      <c r="A45" s="161" t="s">
        <v>9</v>
      </c>
      <c r="B45" s="69">
        <v>2</v>
      </c>
      <c r="C45" s="68">
        <v>313</v>
      </c>
      <c r="D45" s="69">
        <v>917</v>
      </c>
      <c r="E45" s="70">
        <v>538</v>
      </c>
      <c r="F45" s="53">
        <v>460</v>
      </c>
      <c r="G45" s="53">
        <v>621</v>
      </c>
      <c r="H45" s="219"/>
      <c r="I45" s="162" t="s">
        <v>9</v>
      </c>
      <c r="J45" s="71">
        <f>437+172+156+184+139+98+83+64+86</f>
        <v>1419</v>
      </c>
      <c r="K45" s="71">
        <f>100+95+90+43+0+0+0+2+1+58+48</f>
        <v>437</v>
      </c>
      <c r="L45" s="211">
        <f>45+13+3+50+72+76+134+108+66+72+71+82</f>
        <v>792</v>
      </c>
      <c r="M45" s="243">
        <f>95+83+91+105+114+51+43+116+73+93+48+18</f>
        <v>930</v>
      </c>
      <c r="N45" s="243">
        <f>78+62+67+114+84+84+145+119+82</f>
        <v>835</v>
      </c>
      <c r="O45" s="96">
        <f>SUM(B45:N45)</f>
        <v>7264</v>
      </c>
    </row>
    <row r="46" spans="1:16" ht="21" customHeight="1" thickBot="1" x14ac:dyDescent="0.3">
      <c r="A46" s="162" t="s">
        <v>2</v>
      </c>
      <c r="B46" s="79">
        <v>126</v>
      </c>
      <c r="C46" s="80">
        <v>2534</v>
      </c>
      <c r="D46" s="79">
        <v>2767</v>
      </c>
      <c r="E46" s="80">
        <v>3175</v>
      </c>
      <c r="F46" s="79">
        <v>2768</v>
      </c>
      <c r="G46" s="79">
        <v>3114</v>
      </c>
      <c r="H46" s="92"/>
      <c r="I46" s="162" t="s">
        <v>2</v>
      </c>
      <c r="J46" s="71">
        <f>1620+464+541+420+443+461+532+475+445</f>
        <v>5401</v>
      </c>
      <c r="K46" s="71">
        <f>511+533+429+95+93+142+178+157+223+247+181+208</f>
        <v>2997</v>
      </c>
      <c r="L46" s="211">
        <f>279+259+313+262+302+381+400+443+389+449+509+528</f>
        <v>4514</v>
      </c>
      <c r="M46" s="243">
        <f>607+527+618+588+610+534+422+415+517+502+535+484</f>
        <v>6359</v>
      </c>
      <c r="N46" s="243">
        <f>528+463+566+582+569+500+460+484+482</f>
        <v>4634</v>
      </c>
      <c r="O46" s="96">
        <f>SUM(B46:N46)</f>
        <v>38389</v>
      </c>
    </row>
    <row r="47" spans="1:16" ht="21" customHeight="1" thickBot="1" x14ac:dyDescent="0.3">
      <c r="A47" s="231"/>
      <c r="B47" s="215"/>
      <c r="C47" s="216"/>
      <c r="D47" s="216"/>
      <c r="E47" s="216"/>
      <c r="F47" s="217"/>
      <c r="G47" s="221"/>
      <c r="H47" s="200"/>
      <c r="I47" s="162" t="s">
        <v>24</v>
      </c>
      <c r="J47" s="222"/>
      <c r="K47" s="222"/>
      <c r="L47" s="223"/>
      <c r="M47" s="244">
        <f>29+11+16+0+1+2+1+0</f>
        <v>60</v>
      </c>
      <c r="N47" s="244">
        <f>1+1+2+2+4+3+2+1</f>
        <v>16</v>
      </c>
      <c r="O47" s="96">
        <f>SUM(B47:N47)</f>
        <v>76</v>
      </c>
    </row>
    <row r="48" spans="1:16" ht="21" customHeight="1" thickBot="1" x14ac:dyDescent="0.3">
      <c r="A48" s="162" t="s">
        <v>10</v>
      </c>
      <c r="B48" s="214">
        <f t="shared" ref="B48:G48" si="1">SUM(B43:B46)</f>
        <v>147</v>
      </c>
      <c r="C48" s="214">
        <f t="shared" si="1"/>
        <v>4249</v>
      </c>
      <c r="D48" s="214">
        <f t="shared" si="1"/>
        <v>5006</v>
      </c>
      <c r="E48" s="214">
        <f t="shared" si="1"/>
        <v>4943</v>
      </c>
      <c r="F48" s="214">
        <f t="shared" si="1"/>
        <v>4783</v>
      </c>
      <c r="G48" s="73">
        <f t="shared" si="1"/>
        <v>4810</v>
      </c>
      <c r="H48" s="220"/>
      <c r="I48" s="162" t="s">
        <v>7</v>
      </c>
      <c r="J48" s="222">
        <f>SUM(J43:J46)</f>
        <v>8639</v>
      </c>
      <c r="K48" s="222">
        <f>SUM(K43:K46)</f>
        <v>4266</v>
      </c>
      <c r="L48" s="222">
        <f>SUM(L43:L46)</f>
        <v>6558</v>
      </c>
      <c r="M48" s="213">
        <f>SUM(M43:M47)</f>
        <v>8572</v>
      </c>
      <c r="N48" s="213">
        <f>SUM(N43:N47)</f>
        <v>6612</v>
      </c>
      <c r="O48" s="97">
        <f>SUM(O43:O47)</f>
        <v>58585</v>
      </c>
    </row>
    <row r="49" spans="1:15" ht="11.25" customHeight="1" thickBot="1" x14ac:dyDescent="0.3">
      <c r="H49" s="103"/>
      <c r="I49" s="27"/>
      <c r="M49" s="41"/>
    </row>
    <row r="50" spans="1:15" ht="38.25" customHeight="1" thickBot="1" x14ac:dyDescent="0.3">
      <c r="A50" s="329" t="s">
        <v>37</v>
      </c>
      <c r="B50" s="330"/>
      <c r="C50" s="330"/>
      <c r="D50" s="330"/>
      <c r="E50" s="330"/>
      <c r="F50" s="330"/>
      <c r="G50" s="330"/>
      <c r="H50" s="101"/>
      <c r="I50" s="329" t="s">
        <v>44</v>
      </c>
      <c r="J50" s="330"/>
      <c r="K50" s="330"/>
      <c r="L50" s="330"/>
      <c r="M50" s="330"/>
      <c r="N50" s="331"/>
    </row>
    <row r="51" spans="1:15" ht="21" customHeight="1" thickBot="1" x14ac:dyDescent="0.3">
      <c r="A51" s="155" t="s">
        <v>17</v>
      </c>
      <c r="B51" s="159">
        <v>2013</v>
      </c>
      <c r="C51" s="159">
        <v>2014</v>
      </c>
      <c r="D51" s="159">
        <v>2015</v>
      </c>
      <c r="E51" s="159">
        <v>2016</v>
      </c>
      <c r="F51" s="159">
        <v>2017</v>
      </c>
      <c r="G51" s="159">
        <v>2018</v>
      </c>
      <c r="H51" s="152"/>
      <c r="I51" s="157" t="s">
        <v>18</v>
      </c>
      <c r="J51" s="157">
        <v>2019</v>
      </c>
      <c r="K51" s="157">
        <v>2020</v>
      </c>
      <c r="L51" s="157">
        <v>2021</v>
      </c>
      <c r="M51" s="157">
        <v>2022</v>
      </c>
      <c r="N51" s="157">
        <v>2023</v>
      </c>
    </row>
    <row r="52" spans="1:15" ht="21" customHeight="1" thickBot="1" x14ac:dyDescent="0.3">
      <c r="A52" s="156" t="s">
        <v>6</v>
      </c>
      <c r="B52" s="85">
        <v>1</v>
      </c>
      <c r="C52" s="85">
        <v>26</v>
      </c>
      <c r="D52" s="85">
        <v>39</v>
      </c>
      <c r="E52" s="85">
        <v>43</v>
      </c>
      <c r="F52" s="85">
        <v>48</v>
      </c>
      <c r="G52" s="85">
        <v>74</v>
      </c>
      <c r="H52" s="94"/>
      <c r="I52" s="158" t="s">
        <v>6</v>
      </c>
      <c r="J52" s="88">
        <v>83</v>
      </c>
      <c r="K52" s="88">
        <v>44</v>
      </c>
      <c r="L52" s="88">
        <v>34</v>
      </c>
      <c r="M52" s="88">
        <v>44</v>
      </c>
      <c r="N52" s="88">
        <v>57</v>
      </c>
    </row>
    <row r="53" spans="1:15" ht="21" customHeight="1" thickBot="1" x14ac:dyDescent="0.3">
      <c r="A53" s="156" t="s">
        <v>8</v>
      </c>
      <c r="B53" s="86">
        <v>0</v>
      </c>
      <c r="C53" s="86">
        <v>5</v>
      </c>
      <c r="D53" s="86">
        <v>27</v>
      </c>
      <c r="E53" s="86">
        <v>26</v>
      </c>
      <c r="F53" s="86">
        <v>40</v>
      </c>
      <c r="G53" s="86">
        <v>36</v>
      </c>
      <c r="H53" s="95"/>
      <c r="I53" s="158" t="s">
        <v>8</v>
      </c>
      <c r="J53" s="53">
        <v>31</v>
      </c>
      <c r="K53" s="53">
        <v>19</v>
      </c>
      <c r="L53" s="53">
        <v>17</v>
      </c>
      <c r="M53" s="53">
        <v>26</v>
      </c>
      <c r="N53" s="53">
        <v>27</v>
      </c>
    </row>
    <row r="54" spans="1:15" ht="21" customHeight="1" thickBot="1" x14ac:dyDescent="0.3">
      <c r="A54" s="156" t="s">
        <v>9</v>
      </c>
      <c r="B54" s="86">
        <v>1</v>
      </c>
      <c r="C54" s="86">
        <v>4</v>
      </c>
      <c r="D54" s="86">
        <v>27</v>
      </c>
      <c r="E54" s="86">
        <v>53</v>
      </c>
      <c r="F54" s="86">
        <v>59</v>
      </c>
      <c r="G54" s="86">
        <v>69</v>
      </c>
      <c r="H54" s="95"/>
      <c r="I54" s="158" t="s">
        <v>9</v>
      </c>
      <c r="J54" s="53">
        <v>70</v>
      </c>
      <c r="K54" s="53">
        <v>40</v>
      </c>
      <c r="L54" s="53">
        <v>37</v>
      </c>
      <c r="M54" s="53">
        <v>40</v>
      </c>
      <c r="N54" s="53">
        <v>44</v>
      </c>
    </row>
    <row r="55" spans="1:15" ht="21" customHeight="1" thickBot="1" x14ac:dyDescent="0.3">
      <c r="A55" s="156" t="s">
        <v>2</v>
      </c>
      <c r="B55" s="86">
        <v>8</v>
      </c>
      <c r="C55" s="86">
        <v>187</v>
      </c>
      <c r="D55" s="86">
        <v>202</v>
      </c>
      <c r="E55" s="86">
        <v>207</v>
      </c>
      <c r="F55" s="86">
        <v>217</v>
      </c>
      <c r="G55" s="86">
        <v>250</v>
      </c>
      <c r="H55" s="95"/>
      <c r="I55" s="158" t="s">
        <v>2</v>
      </c>
      <c r="J55" s="53">
        <v>399</v>
      </c>
      <c r="K55" s="53">
        <v>221</v>
      </c>
      <c r="L55" s="53">
        <v>197</v>
      </c>
      <c r="M55" s="53">
        <v>262</v>
      </c>
      <c r="N55" s="53">
        <v>282</v>
      </c>
    </row>
    <row r="56" spans="1:15" ht="21" customHeight="1" thickBot="1" x14ac:dyDescent="0.3">
      <c r="A56" s="156"/>
      <c r="B56" s="269"/>
      <c r="C56" s="269"/>
      <c r="D56" s="269"/>
      <c r="E56" s="269"/>
      <c r="F56" s="269"/>
      <c r="G56" s="269"/>
      <c r="H56" s="224"/>
      <c r="I56" s="158" t="s">
        <v>24</v>
      </c>
      <c r="J56" s="225"/>
      <c r="K56" s="225"/>
      <c r="L56" s="225"/>
      <c r="M56" s="225">
        <v>2</v>
      </c>
      <c r="N56" s="225">
        <v>2</v>
      </c>
    </row>
    <row r="57" spans="1:15" ht="21" customHeight="1" thickBot="1" x14ac:dyDescent="0.3">
      <c r="A57" s="156" t="s">
        <v>10</v>
      </c>
      <c r="B57" s="105">
        <f t="shared" ref="B57:G57" si="2">SUM(B52:B55)</f>
        <v>10</v>
      </c>
      <c r="C57" s="105">
        <f t="shared" si="2"/>
        <v>222</v>
      </c>
      <c r="D57" s="105">
        <f t="shared" si="2"/>
        <v>295</v>
      </c>
      <c r="E57" s="105">
        <f t="shared" si="2"/>
        <v>329</v>
      </c>
      <c r="F57" s="105">
        <f t="shared" si="2"/>
        <v>364</v>
      </c>
      <c r="G57" s="105">
        <f t="shared" si="2"/>
        <v>429</v>
      </c>
      <c r="H57" s="106"/>
      <c r="I57" s="158" t="s">
        <v>7</v>
      </c>
      <c r="J57" s="105">
        <f>SUM(J52:J55)</f>
        <v>583</v>
      </c>
      <c r="K57" s="105">
        <f>SUM(K52:K55)</f>
        <v>324</v>
      </c>
      <c r="L57" s="105">
        <f>SUM(L52:L55)</f>
        <v>285</v>
      </c>
      <c r="M57" s="105">
        <f>SUM(M52:M55)</f>
        <v>372</v>
      </c>
      <c r="N57" s="105">
        <f>SUM(N52:N55)</f>
        <v>410</v>
      </c>
    </row>
    <row r="58" spans="1:15" ht="11.25" customHeight="1" thickBot="1" x14ac:dyDescent="0.3"/>
    <row r="59" spans="1:15" ht="21" customHeight="1" thickBot="1" x14ac:dyDescent="0.35">
      <c r="A59" s="311" t="s">
        <v>36</v>
      </c>
      <c r="B59" s="312"/>
      <c r="C59" s="312"/>
      <c r="D59" s="312"/>
      <c r="E59" s="312"/>
      <c r="F59" s="312"/>
      <c r="G59" s="312"/>
      <c r="H59" s="236"/>
      <c r="I59" s="336" t="s">
        <v>46</v>
      </c>
      <c r="J59" s="337"/>
      <c r="K59" s="337"/>
      <c r="L59" s="337"/>
      <c r="M59" s="337"/>
      <c r="N59" s="337"/>
      <c r="O59" s="338"/>
    </row>
    <row r="60" spans="1:15" ht="21" customHeight="1" thickBot="1" x14ac:dyDescent="0.3">
      <c r="A60" s="153" t="s">
        <v>42</v>
      </c>
      <c r="B60" s="197" t="s">
        <v>29</v>
      </c>
      <c r="C60" s="197" t="s">
        <v>30</v>
      </c>
      <c r="D60" s="197" t="s">
        <v>31</v>
      </c>
      <c r="E60" s="197" t="s">
        <v>41</v>
      </c>
      <c r="F60" s="197" t="s">
        <v>32</v>
      </c>
      <c r="G60" s="226" t="s">
        <v>33</v>
      </c>
      <c r="I60" s="226" t="s">
        <v>34</v>
      </c>
      <c r="J60" s="226" t="s">
        <v>35</v>
      </c>
      <c r="K60" s="226" t="s">
        <v>26</v>
      </c>
      <c r="L60" s="226" t="s">
        <v>27</v>
      </c>
      <c r="M60" s="226" t="s">
        <v>28</v>
      </c>
      <c r="N60" s="154" t="s">
        <v>38</v>
      </c>
      <c r="O60" s="154" t="s">
        <v>7</v>
      </c>
    </row>
    <row r="61" spans="1:15" ht="21" customHeight="1" thickBot="1" x14ac:dyDescent="0.3">
      <c r="A61" s="227">
        <v>12857</v>
      </c>
      <c r="B61" s="228">
        <v>69</v>
      </c>
      <c r="C61" s="229">
        <v>72</v>
      </c>
      <c r="D61" s="229">
        <v>129</v>
      </c>
      <c r="E61" s="229">
        <v>105</v>
      </c>
      <c r="F61" s="229">
        <v>59</v>
      </c>
      <c r="G61" s="229">
        <v>192</v>
      </c>
      <c r="H61" s="27"/>
      <c r="I61" s="229">
        <v>60</v>
      </c>
      <c r="J61" s="229">
        <v>160</v>
      </c>
      <c r="K61" s="229">
        <v>52</v>
      </c>
      <c r="L61" s="229"/>
      <c r="M61" s="229"/>
      <c r="N61" s="230"/>
      <c r="O61" s="230">
        <f>SUM(A61:N61)</f>
        <v>13755</v>
      </c>
    </row>
    <row r="62" spans="1:15" x14ac:dyDescent="0.25">
      <c r="E62" s="191"/>
    </row>
    <row r="66" spans="20:22" ht="21" customHeight="1" x14ac:dyDescent="0.25"/>
    <row r="67" spans="20:22" ht="18" customHeight="1" x14ac:dyDescent="0.25"/>
    <row r="68" spans="20:22" ht="27" customHeight="1" x14ac:dyDescent="0.25"/>
    <row r="69" spans="20:22" ht="13.5" customHeight="1" x14ac:dyDescent="0.25"/>
    <row r="70" spans="20:22" ht="18" customHeight="1" x14ac:dyDescent="0.25">
      <c r="T70" s="6"/>
    </row>
    <row r="71" spans="20:22" ht="19.5" customHeight="1" x14ac:dyDescent="0.25"/>
    <row r="72" spans="20:22" ht="18" customHeight="1" x14ac:dyDescent="0.25"/>
    <row r="73" spans="20:22" ht="18" customHeight="1" x14ac:dyDescent="0.25"/>
    <row r="74" spans="20:22" ht="18" customHeight="1" x14ac:dyDescent="0.25">
      <c r="U74" s="108"/>
      <c r="V74" s="99"/>
    </row>
    <row r="75" spans="20:22" ht="18" customHeight="1" x14ac:dyDescent="0.25">
      <c r="U75" s="108"/>
    </row>
    <row r="76" spans="20:22" ht="6" customHeight="1" x14ac:dyDescent="0.25"/>
    <row r="77" spans="20:22" ht="13.5" customHeight="1" x14ac:dyDescent="0.25">
      <c r="U77" s="7"/>
    </row>
    <row r="78" spans="20:22" ht="18" customHeight="1" x14ac:dyDescent="0.25">
      <c r="U78" s="7"/>
    </row>
    <row r="79" spans="20:22" ht="18" customHeight="1" x14ac:dyDescent="0.25">
      <c r="U79" s="109"/>
    </row>
    <row r="80" spans="20:22" ht="18" customHeight="1" x14ac:dyDescent="0.25">
      <c r="U80" s="109"/>
    </row>
    <row r="81" spans="21:21" ht="18" customHeight="1" x14ac:dyDescent="0.25">
      <c r="U81" s="109"/>
    </row>
    <row r="82" spans="21:21" x14ac:dyDescent="0.25">
      <c r="U82" s="109"/>
    </row>
    <row r="83" spans="21:21" ht="18" customHeight="1" x14ac:dyDescent="0.25">
      <c r="U83" s="110"/>
    </row>
    <row r="84" spans="21:21" ht="6" customHeight="1" x14ac:dyDescent="0.25"/>
    <row r="85" spans="21:21" ht="13.5" customHeight="1" x14ac:dyDescent="0.25"/>
    <row r="86" spans="21:21" ht="18" customHeight="1" x14ac:dyDescent="0.25"/>
    <row r="87" spans="21:21" ht="18" customHeight="1" x14ac:dyDescent="0.25"/>
    <row r="88" spans="21:21" ht="17.25" customHeight="1" x14ac:dyDescent="0.25"/>
    <row r="89" spans="21:21" ht="18" customHeight="1" x14ac:dyDescent="0.25"/>
    <row r="90" spans="21:21" ht="18" customHeight="1" x14ac:dyDescent="0.25"/>
    <row r="91" spans="21:21" ht="18" customHeight="1" x14ac:dyDescent="0.25"/>
    <row r="344" spans="10:10" x14ac:dyDescent="0.25">
      <c r="J344">
        <f>SUM(J201:J343)</f>
        <v>0</v>
      </c>
    </row>
  </sheetData>
  <mergeCells count="77">
    <mergeCell ref="K29:L29"/>
    <mergeCell ref="K30:L30"/>
    <mergeCell ref="K10:O10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23:L23"/>
    <mergeCell ref="P3:R3"/>
    <mergeCell ref="P4:R4"/>
    <mergeCell ref="H7:I7"/>
    <mergeCell ref="H8:I8"/>
    <mergeCell ref="H16:I16"/>
    <mergeCell ref="K12:L12"/>
    <mergeCell ref="K13:L13"/>
    <mergeCell ref="K14:L14"/>
    <mergeCell ref="K15:L15"/>
    <mergeCell ref="K11:L11"/>
    <mergeCell ref="K16:L16"/>
    <mergeCell ref="H15:I15"/>
    <mergeCell ref="A1:O1"/>
    <mergeCell ref="A2:O2"/>
    <mergeCell ref="H13:I13"/>
    <mergeCell ref="H14:I14"/>
    <mergeCell ref="H12:I12"/>
    <mergeCell ref="A10:D10"/>
    <mergeCell ref="E10:J10"/>
    <mergeCell ref="E11:F11"/>
    <mergeCell ref="H20:I20"/>
    <mergeCell ref="H27:I27"/>
    <mergeCell ref="H28:I28"/>
    <mergeCell ref="H29:I29"/>
    <mergeCell ref="H30:I30"/>
    <mergeCell ref="A59:G59"/>
    <mergeCell ref="H3:I3"/>
    <mergeCell ref="H17:I17"/>
    <mergeCell ref="H18:I18"/>
    <mergeCell ref="H19:I19"/>
    <mergeCell ref="H4:I4"/>
    <mergeCell ref="H5:I5"/>
    <mergeCell ref="H6:I6"/>
    <mergeCell ref="A32:G32"/>
    <mergeCell ref="H11:I11"/>
    <mergeCell ref="I50:N50"/>
    <mergeCell ref="I41:O41"/>
    <mergeCell ref="I32:O32"/>
    <mergeCell ref="I59:O59"/>
    <mergeCell ref="A50:G50"/>
    <mergeCell ref="A41:G41"/>
    <mergeCell ref="E16:F16"/>
    <mergeCell ref="E17:F17"/>
    <mergeCell ref="E18:F18"/>
    <mergeCell ref="E19:F19"/>
    <mergeCell ref="E12:F12"/>
    <mergeCell ref="E13:F13"/>
    <mergeCell ref="E14:F14"/>
    <mergeCell ref="E15:F15"/>
    <mergeCell ref="E20:F20"/>
    <mergeCell ref="E21:F21"/>
    <mergeCell ref="E22:F22"/>
    <mergeCell ref="E23:F23"/>
    <mergeCell ref="E24:F24"/>
    <mergeCell ref="E30:F30"/>
    <mergeCell ref="H21:I21"/>
    <mergeCell ref="H26:I26"/>
    <mergeCell ref="E25:F25"/>
    <mergeCell ref="E26:F26"/>
    <mergeCell ref="E27:F27"/>
    <mergeCell ref="E28:F28"/>
    <mergeCell ref="E29:F29"/>
  </mergeCells>
  <phoneticPr fontId="12" type="noConversion"/>
  <printOptions horizontalCentered="1" verticalCentered="1"/>
  <pageMargins left="0.25" right="0.25" top="0" bottom="0" header="0.3" footer="0.3"/>
  <pageSetup scale="53" orientation="portrait" r:id="rId1"/>
  <rowBreaks count="1" manualBreakCount="1">
    <brk id="66" max="16383" man="1"/>
  </rowBreaks>
  <colBreaks count="2" manualBreakCount="2">
    <brk id="20" max="1048575" man="1"/>
    <brk id="27" max="1048575" man="1"/>
  </colBreaks>
  <ignoredErrors>
    <ignoredError sqref="J57:M57 B57:G57 B48:G48 B39:G39 J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075D-71C0-4F9F-912A-1CCB50301F4D}">
  <dimension ref="A1:Q22"/>
  <sheetViews>
    <sheetView workbookViewId="0">
      <selection activeCell="R18" sqref="R18"/>
    </sheetView>
  </sheetViews>
  <sheetFormatPr defaultRowHeight="15" x14ac:dyDescent="0.25"/>
  <cols>
    <col min="1" max="1" width="17.7109375" customWidth="1"/>
    <col min="4" max="4" width="9.42578125" bestFit="1" customWidth="1"/>
    <col min="9" max="9" width="1.28515625" customWidth="1"/>
    <col min="11" max="11" width="9.42578125" bestFit="1" customWidth="1"/>
    <col min="14" max="14" width="8.140625" customWidth="1"/>
    <col min="15" max="15" width="11.28515625" customWidth="1"/>
  </cols>
  <sheetData>
    <row r="1" spans="1:17" ht="15.75" thickBot="1" x14ac:dyDescent="0.3"/>
    <row r="2" spans="1:17" ht="18" thickBot="1" x14ac:dyDescent="0.35">
      <c r="A2" s="367" t="s">
        <v>21</v>
      </c>
      <c r="B2" s="368"/>
      <c r="C2" s="368"/>
      <c r="D2" s="369"/>
      <c r="E2" s="124"/>
      <c r="F2" s="370" t="s">
        <v>21</v>
      </c>
      <c r="G2" s="371"/>
      <c r="H2" s="371"/>
      <c r="I2" s="371"/>
      <c r="J2" s="371"/>
      <c r="K2" s="372"/>
      <c r="M2" s="367" t="s">
        <v>21</v>
      </c>
      <c r="N2" s="368"/>
      <c r="O2" s="368"/>
      <c r="P2" s="368"/>
      <c r="Q2" s="369"/>
    </row>
    <row r="3" spans="1:17" ht="16.5" thickBot="1" x14ac:dyDescent="0.3">
      <c r="A3" s="84" t="s">
        <v>15</v>
      </c>
      <c r="B3" s="81">
        <v>44213</v>
      </c>
      <c r="C3" s="14">
        <v>43482</v>
      </c>
      <c r="D3" s="19" t="s">
        <v>3</v>
      </c>
      <c r="E3" s="2"/>
      <c r="F3" s="373" t="s">
        <v>16</v>
      </c>
      <c r="G3" s="374"/>
      <c r="H3" s="375">
        <v>44333</v>
      </c>
      <c r="I3" s="376"/>
      <c r="J3" s="143">
        <v>43602</v>
      </c>
      <c r="K3" s="25" t="s">
        <v>3</v>
      </c>
      <c r="M3" s="373" t="s">
        <v>16</v>
      </c>
      <c r="N3" s="374"/>
      <c r="O3" s="184">
        <v>44456</v>
      </c>
      <c r="P3" s="62">
        <v>43725</v>
      </c>
      <c r="Q3" s="125" t="s">
        <v>3</v>
      </c>
    </row>
    <row r="4" spans="1:17" ht="16.5" thickBot="1" x14ac:dyDescent="0.3">
      <c r="A4" s="136" t="s">
        <v>4</v>
      </c>
      <c r="B4" s="20">
        <v>0.39</v>
      </c>
      <c r="C4" s="9">
        <v>0.52</v>
      </c>
      <c r="D4" s="83">
        <f>SUM(B4)-C4</f>
        <v>-0.13</v>
      </c>
      <c r="E4" s="2"/>
      <c r="F4" s="358" t="s">
        <v>4</v>
      </c>
      <c r="G4" s="366"/>
      <c r="H4" s="377">
        <v>0.44</v>
      </c>
      <c r="I4" s="378"/>
      <c r="J4" s="118">
        <v>0.73</v>
      </c>
      <c r="K4" s="185">
        <f>SUM(H4)-J4</f>
        <v>-0.28999999999999998</v>
      </c>
      <c r="L4" s="5"/>
      <c r="M4" s="358" t="s">
        <v>4</v>
      </c>
      <c r="N4" s="366"/>
      <c r="O4" s="166">
        <v>0.7</v>
      </c>
      <c r="P4" s="149">
        <v>0.8</v>
      </c>
      <c r="Q4" s="185">
        <f>SUM(O4)-P4</f>
        <v>-0.10000000000000009</v>
      </c>
    </row>
    <row r="5" spans="1:17" ht="16.5" thickBot="1" x14ac:dyDescent="0.3">
      <c r="A5" s="137" t="s">
        <v>5</v>
      </c>
      <c r="B5" s="21">
        <v>0.4</v>
      </c>
      <c r="C5" s="10">
        <v>0.56000000000000005</v>
      </c>
      <c r="D5" s="34">
        <f>SUM(B5)-C5</f>
        <v>-0.16000000000000003</v>
      </c>
      <c r="E5" s="2"/>
      <c r="F5" s="358" t="s">
        <v>5</v>
      </c>
      <c r="G5" s="366"/>
      <c r="H5" s="377">
        <v>0.47</v>
      </c>
      <c r="I5" s="378"/>
      <c r="J5" s="119">
        <v>0.78</v>
      </c>
      <c r="K5" s="186">
        <f>SUM(H5)-J5</f>
        <v>-0.31000000000000005</v>
      </c>
      <c r="L5" s="5"/>
      <c r="M5" s="358" t="s">
        <v>5</v>
      </c>
      <c r="N5" s="366"/>
      <c r="O5" s="167">
        <v>0.72</v>
      </c>
      <c r="P5" s="147">
        <v>0.85</v>
      </c>
      <c r="Q5" s="186">
        <f>SUM(O5)-P5</f>
        <v>-0.13</v>
      </c>
    </row>
    <row r="6" spans="1:17" ht="16.5" thickBot="1" x14ac:dyDescent="0.3">
      <c r="A6" s="137" t="s">
        <v>0</v>
      </c>
      <c r="B6" s="30">
        <v>29.96</v>
      </c>
      <c r="C6" s="16">
        <v>35.159999999999997</v>
      </c>
      <c r="D6" s="35">
        <f>SUM(B6)-C6</f>
        <v>-5.1999999999999957</v>
      </c>
      <c r="E6" s="2"/>
      <c r="F6" s="358" t="s">
        <v>0</v>
      </c>
      <c r="G6" s="366"/>
      <c r="H6" s="379">
        <v>21.64</v>
      </c>
      <c r="I6" s="380"/>
      <c r="J6" s="122">
        <v>32.67</v>
      </c>
      <c r="K6" s="128">
        <f>SUM(H6)-J6</f>
        <v>-11.030000000000001</v>
      </c>
      <c r="L6" s="5"/>
      <c r="M6" s="358" t="s">
        <v>0</v>
      </c>
      <c r="N6" s="366"/>
      <c r="O6" s="168">
        <v>24.21</v>
      </c>
      <c r="P6" s="173">
        <v>30.24</v>
      </c>
      <c r="Q6" s="176">
        <f>SUM(O6)-P6</f>
        <v>-6.0299999999999976</v>
      </c>
    </row>
    <row r="7" spans="1:17" ht="16.5" thickBot="1" x14ac:dyDescent="0.3">
      <c r="A7" s="138" t="s">
        <v>1</v>
      </c>
      <c r="B7" s="31">
        <v>11625</v>
      </c>
      <c r="C7" s="32">
        <v>17580</v>
      </c>
      <c r="D7" s="38">
        <f>SUM(B7)-C7</f>
        <v>-5955</v>
      </c>
      <c r="E7" s="2"/>
      <c r="F7" s="358" t="s">
        <v>1</v>
      </c>
      <c r="G7" s="366"/>
      <c r="H7" s="381">
        <v>9265</v>
      </c>
      <c r="I7" s="382"/>
      <c r="J7" s="121">
        <v>23623</v>
      </c>
      <c r="K7" s="187">
        <f>SUM(H7)-J7</f>
        <v>-14358</v>
      </c>
      <c r="L7" s="5"/>
      <c r="M7" s="358" t="s">
        <v>1</v>
      </c>
      <c r="N7" s="366"/>
      <c r="O7" s="169">
        <v>16215</v>
      </c>
      <c r="P7" s="174">
        <v>23200</v>
      </c>
      <c r="Q7" s="190">
        <f>SUM(O7)-P7</f>
        <v>-6985</v>
      </c>
    </row>
    <row r="8" spans="1:17" ht="16.5" thickBot="1" x14ac:dyDescent="0.3">
      <c r="A8" s="84" t="s">
        <v>15</v>
      </c>
      <c r="B8" s="82">
        <v>44244</v>
      </c>
      <c r="C8" s="64">
        <v>43513</v>
      </c>
      <c r="D8" s="63" t="s">
        <v>3</v>
      </c>
      <c r="E8" s="2"/>
      <c r="F8" s="373" t="s">
        <v>16</v>
      </c>
      <c r="G8" s="383"/>
      <c r="H8" s="384">
        <v>44364</v>
      </c>
      <c r="I8" s="385"/>
      <c r="J8" s="62">
        <v>43633</v>
      </c>
      <c r="K8" s="26" t="s">
        <v>3</v>
      </c>
      <c r="L8" s="5"/>
      <c r="M8" s="386"/>
      <c r="N8" s="387"/>
      <c r="O8" s="144">
        <v>44486</v>
      </c>
      <c r="P8" s="142">
        <v>43755</v>
      </c>
      <c r="Q8" s="175" t="s">
        <v>3</v>
      </c>
    </row>
    <row r="9" spans="1:17" ht="16.5" thickBot="1" x14ac:dyDescent="0.3">
      <c r="A9" s="136" t="s">
        <v>4</v>
      </c>
      <c r="B9" s="20">
        <v>0.34399999999999997</v>
      </c>
      <c r="C9" s="9">
        <v>0.62</v>
      </c>
      <c r="D9" s="33">
        <f>SUM(B9)-C9</f>
        <v>-0.27600000000000002</v>
      </c>
      <c r="E9" s="2"/>
      <c r="F9" s="358" t="s">
        <v>4</v>
      </c>
      <c r="G9" s="366"/>
      <c r="H9" s="388">
        <v>0.53</v>
      </c>
      <c r="I9" s="389"/>
      <c r="J9" s="9">
        <v>0.84</v>
      </c>
      <c r="K9" s="185">
        <f>SUM(H9)-J9</f>
        <v>-0.30999999999999994</v>
      </c>
      <c r="L9" s="5"/>
      <c r="M9" s="358" t="s">
        <v>4</v>
      </c>
      <c r="N9" s="366"/>
      <c r="O9" s="178">
        <v>0.7</v>
      </c>
      <c r="P9" s="118">
        <v>0.89</v>
      </c>
      <c r="Q9" s="185">
        <f>SUM(O9)-P9</f>
        <v>-0.19000000000000006</v>
      </c>
    </row>
    <row r="10" spans="1:17" ht="16.5" thickBot="1" x14ac:dyDescent="0.3">
      <c r="A10" s="137" t="s">
        <v>5</v>
      </c>
      <c r="B10" s="21">
        <v>0.34300000000000003</v>
      </c>
      <c r="C10" s="10">
        <v>0.68</v>
      </c>
      <c r="D10" s="34">
        <f>SUM(B10)-C10</f>
        <v>-0.33700000000000002</v>
      </c>
      <c r="E10" s="2"/>
      <c r="F10" s="358" t="s">
        <v>5</v>
      </c>
      <c r="G10" s="366"/>
      <c r="H10" s="390">
        <v>0.57999999999999996</v>
      </c>
      <c r="I10" s="391"/>
      <c r="J10" s="10">
        <v>0.93</v>
      </c>
      <c r="K10" s="186">
        <f>SUM(H10)-J10</f>
        <v>-0.35000000000000009</v>
      </c>
      <c r="L10" s="5"/>
      <c r="M10" s="358" t="s">
        <v>5</v>
      </c>
      <c r="N10" s="366"/>
      <c r="O10" s="179">
        <v>0.75</v>
      </c>
      <c r="P10" s="119">
        <v>0.91</v>
      </c>
      <c r="Q10" s="186">
        <f>SUM(O10)-P10</f>
        <v>-0.16000000000000003</v>
      </c>
    </row>
    <row r="11" spans="1:17" ht="16.5" thickBot="1" x14ac:dyDescent="0.3">
      <c r="A11" s="137" t="s">
        <v>0</v>
      </c>
      <c r="B11" s="30">
        <v>20.8</v>
      </c>
      <c r="C11" s="13">
        <v>33.119999999999997</v>
      </c>
      <c r="D11" s="35">
        <f>SUM(B11)-C11</f>
        <v>-12.319999999999997</v>
      </c>
      <c r="E11" s="2"/>
      <c r="F11" s="358" t="s">
        <v>0</v>
      </c>
      <c r="G11" s="366"/>
      <c r="H11" s="392">
        <v>27.73</v>
      </c>
      <c r="I11" s="393"/>
      <c r="J11" s="11">
        <v>32.979999999999997</v>
      </c>
      <c r="K11" s="128">
        <f>SUM(H11)-J11</f>
        <v>-5.2499999999999964</v>
      </c>
      <c r="M11" s="358" t="s">
        <v>0</v>
      </c>
      <c r="N11" s="366"/>
      <c r="O11" s="180">
        <v>26.78</v>
      </c>
      <c r="P11" s="120">
        <v>30.74</v>
      </c>
      <c r="Q11" s="176">
        <f>SUM(O11)-P11</f>
        <v>-3.9599999999999973</v>
      </c>
    </row>
    <row r="12" spans="1:17" ht="16.5" thickBot="1" x14ac:dyDescent="0.3">
      <c r="A12" s="138" t="s">
        <v>1</v>
      </c>
      <c r="B12" s="22">
        <v>6158</v>
      </c>
      <c r="C12" s="12">
        <v>18448</v>
      </c>
      <c r="D12" s="37">
        <f>SUM(B12)-C12</f>
        <v>-12290</v>
      </c>
      <c r="E12" s="2"/>
      <c r="F12" s="358" t="s">
        <v>1</v>
      </c>
      <c r="G12" s="366"/>
      <c r="H12" s="394">
        <v>14115</v>
      </c>
      <c r="I12" s="395"/>
      <c r="J12" s="32">
        <v>27570</v>
      </c>
      <c r="K12" s="187">
        <f>SUM(H12)-J12</f>
        <v>-13455</v>
      </c>
      <c r="M12" s="358" t="s">
        <v>1</v>
      </c>
      <c r="N12" s="366"/>
      <c r="O12" s="181">
        <v>18670</v>
      </c>
      <c r="P12" s="121">
        <v>26966</v>
      </c>
      <c r="Q12" s="190">
        <f>SUM(O12)-P12</f>
        <v>-8296</v>
      </c>
    </row>
    <row r="13" spans="1:17" ht="16.5" thickBot="1" x14ac:dyDescent="0.3">
      <c r="A13" s="183" t="s">
        <v>16</v>
      </c>
      <c r="B13" s="89">
        <v>44272</v>
      </c>
      <c r="C13" s="62">
        <v>43541</v>
      </c>
      <c r="D13" s="26" t="s">
        <v>3</v>
      </c>
      <c r="E13" s="2"/>
      <c r="F13" s="373" t="s">
        <v>16</v>
      </c>
      <c r="G13" s="383"/>
      <c r="H13" s="384">
        <v>44394</v>
      </c>
      <c r="I13" s="385"/>
      <c r="J13" s="14">
        <v>43663</v>
      </c>
      <c r="K13" s="8" t="s">
        <v>3</v>
      </c>
      <c r="M13" s="386"/>
      <c r="N13" s="387"/>
      <c r="O13" s="145">
        <v>44517</v>
      </c>
      <c r="P13" s="143">
        <v>43786</v>
      </c>
      <c r="Q13" s="26" t="s">
        <v>3</v>
      </c>
    </row>
    <row r="14" spans="1:17" ht="16.5" thickBot="1" x14ac:dyDescent="0.3">
      <c r="A14" s="136" t="s">
        <v>4</v>
      </c>
      <c r="B14" s="20">
        <v>0.4</v>
      </c>
      <c r="C14" s="9">
        <v>0.79</v>
      </c>
      <c r="D14" s="33">
        <f>SUM(B14)-C14</f>
        <v>-0.39</v>
      </c>
      <c r="E14" s="2"/>
      <c r="F14" s="358" t="s">
        <v>4</v>
      </c>
      <c r="G14" s="366"/>
      <c r="H14" s="388">
        <v>0.62</v>
      </c>
      <c r="I14" s="389"/>
      <c r="J14" s="149">
        <v>0.82</v>
      </c>
      <c r="K14" s="188">
        <f>SUM(H14)-J14</f>
        <v>-0.19999999999999996</v>
      </c>
      <c r="M14" s="358" t="s">
        <v>4</v>
      </c>
      <c r="N14" s="366"/>
      <c r="O14" s="178">
        <v>0.77</v>
      </c>
      <c r="P14" s="118">
        <v>0.71</v>
      </c>
      <c r="Q14" s="126">
        <f>SUM(O14)-P14</f>
        <v>6.0000000000000053E-2</v>
      </c>
    </row>
    <row r="15" spans="1:17" ht="16.5" thickBot="1" x14ac:dyDescent="0.3">
      <c r="A15" s="137" t="s">
        <v>5</v>
      </c>
      <c r="B15" s="21">
        <v>0.31</v>
      </c>
      <c r="C15" s="10">
        <v>0.87</v>
      </c>
      <c r="D15" s="34">
        <f>SUM(B15)-C15</f>
        <v>-0.56000000000000005</v>
      </c>
      <c r="E15" s="2"/>
      <c r="F15" s="358" t="s">
        <v>5</v>
      </c>
      <c r="G15" s="366"/>
      <c r="H15" s="390">
        <v>0.63</v>
      </c>
      <c r="I15" s="391"/>
      <c r="J15" s="147">
        <v>0.86</v>
      </c>
      <c r="K15" s="186">
        <f>SUM(H15)-J15</f>
        <v>-0.22999999999999998</v>
      </c>
      <c r="M15" s="358" t="s">
        <v>5</v>
      </c>
      <c r="N15" s="366"/>
      <c r="O15" s="179">
        <v>0.81</v>
      </c>
      <c r="P15" s="119">
        <v>0.79</v>
      </c>
      <c r="Q15" s="127">
        <f>SUM(O15)-P15</f>
        <v>2.0000000000000018E-2</v>
      </c>
    </row>
    <row r="16" spans="1:17" ht="16.5" thickBot="1" x14ac:dyDescent="0.3">
      <c r="A16" s="137" t="s">
        <v>0</v>
      </c>
      <c r="B16" s="30">
        <v>39.700000000000003</v>
      </c>
      <c r="C16" s="13">
        <v>35.06</v>
      </c>
      <c r="D16" s="107">
        <f>SUM(B16)-C16</f>
        <v>4.6400000000000006</v>
      </c>
      <c r="E16" s="2"/>
      <c r="F16" s="358" t="s">
        <v>0</v>
      </c>
      <c r="G16" s="366"/>
      <c r="H16" s="396">
        <v>28.45</v>
      </c>
      <c r="I16" s="397"/>
      <c r="J16" s="148">
        <v>29.6</v>
      </c>
      <c r="K16" s="176">
        <f>SUM(H16)-J16</f>
        <v>-1.1500000000000021</v>
      </c>
      <c r="M16" s="358" t="s">
        <v>0</v>
      </c>
      <c r="N16" s="366"/>
      <c r="O16" s="182">
        <v>32.380000000000003</v>
      </c>
      <c r="P16" s="122">
        <v>30.23</v>
      </c>
      <c r="Q16" s="151">
        <f>SUM(O16)-P16</f>
        <v>2.1500000000000021</v>
      </c>
    </row>
    <row r="17" spans="1:17" ht="16.5" thickBot="1" x14ac:dyDescent="0.3">
      <c r="A17" s="138" t="s">
        <v>1</v>
      </c>
      <c r="B17" s="22">
        <v>13975</v>
      </c>
      <c r="C17" s="12">
        <v>27345</v>
      </c>
      <c r="D17" s="37">
        <f>SUM(B17)-C17</f>
        <v>-13370</v>
      </c>
      <c r="E17" s="2"/>
      <c r="F17" s="358" t="s">
        <v>1</v>
      </c>
      <c r="G17" s="366"/>
      <c r="H17" s="394">
        <v>17165</v>
      </c>
      <c r="I17" s="395"/>
      <c r="J17" s="150">
        <v>23715</v>
      </c>
      <c r="K17" s="189">
        <f>SUM(H17)-J17</f>
        <v>-6550</v>
      </c>
      <c r="M17" s="358" t="s">
        <v>1</v>
      </c>
      <c r="N17" s="366"/>
      <c r="O17" s="181">
        <v>23995</v>
      </c>
      <c r="P17" s="121">
        <v>20560</v>
      </c>
      <c r="Q17" s="177">
        <f>SUM(O17)-P17</f>
        <v>3435</v>
      </c>
    </row>
    <row r="18" spans="1:17" ht="16.5" thickBot="1" x14ac:dyDescent="0.3">
      <c r="A18" s="183" t="s">
        <v>16</v>
      </c>
      <c r="B18" s="89">
        <v>44303</v>
      </c>
      <c r="C18" s="62">
        <v>43572</v>
      </c>
      <c r="D18" s="125" t="s">
        <v>3</v>
      </c>
      <c r="E18" s="2"/>
      <c r="F18" s="373" t="s">
        <v>16</v>
      </c>
      <c r="G18" s="383"/>
      <c r="H18" s="384">
        <v>44425</v>
      </c>
      <c r="I18" s="385"/>
      <c r="J18" s="14">
        <v>43694</v>
      </c>
      <c r="K18" s="25" t="s">
        <v>3</v>
      </c>
      <c r="M18" s="386"/>
      <c r="N18" s="387"/>
      <c r="O18" s="144">
        <v>44547</v>
      </c>
      <c r="P18" s="142">
        <v>43816</v>
      </c>
      <c r="Q18" s="26" t="s">
        <v>3</v>
      </c>
    </row>
    <row r="19" spans="1:17" ht="16.5" thickBot="1" x14ac:dyDescent="0.3">
      <c r="A19" s="136" t="s">
        <v>4</v>
      </c>
      <c r="B19" s="20">
        <v>0.45</v>
      </c>
      <c r="C19" s="9">
        <v>0.72</v>
      </c>
      <c r="D19" s="185">
        <f>SUM(B19)-C19</f>
        <v>-0.26999999999999996</v>
      </c>
      <c r="E19" s="2"/>
      <c r="F19" s="358" t="s">
        <v>4</v>
      </c>
      <c r="G19" s="366"/>
      <c r="H19" s="398">
        <v>0.74</v>
      </c>
      <c r="I19" s="399"/>
      <c r="J19" s="9">
        <v>0.85</v>
      </c>
      <c r="K19" s="33">
        <f>SUM(H19)-J19</f>
        <v>-0.10999999999999999</v>
      </c>
      <c r="M19" s="358" t="s">
        <v>4</v>
      </c>
      <c r="N19" s="366"/>
      <c r="O19" s="194">
        <v>0.81</v>
      </c>
      <c r="P19" s="118">
        <v>0.61</v>
      </c>
      <c r="Q19" s="126">
        <f>SUM(O19)-P19</f>
        <v>0.20000000000000007</v>
      </c>
    </row>
    <row r="20" spans="1:17" ht="16.5" thickBot="1" x14ac:dyDescent="0.3">
      <c r="A20" s="137" t="s">
        <v>5</v>
      </c>
      <c r="B20" s="21">
        <v>0.4</v>
      </c>
      <c r="C20" s="10">
        <v>0.77</v>
      </c>
      <c r="D20" s="186">
        <f>SUM(B20)-C20</f>
        <v>-0.37</v>
      </c>
      <c r="E20" s="2"/>
      <c r="F20" s="358" t="s">
        <v>5</v>
      </c>
      <c r="G20" s="366"/>
      <c r="H20" s="400">
        <v>0.73</v>
      </c>
      <c r="I20" s="397"/>
      <c r="J20" s="10">
        <v>0.89</v>
      </c>
      <c r="K20" s="33">
        <f>SUM(H20)-J20</f>
        <v>-0.16000000000000003</v>
      </c>
      <c r="M20" s="358" t="s">
        <v>5</v>
      </c>
      <c r="N20" s="366"/>
      <c r="O20" s="195">
        <v>0.84</v>
      </c>
      <c r="P20" s="119">
        <v>0.65</v>
      </c>
      <c r="Q20" s="127">
        <f>SUM(O20)-P20</f>
        <v>0.18999999999999995</v>
      </c>
    </row>
    <row r="21" spans="1:17" ht="16.5" thickBot="1" x14ac:dyDescent="0.3">
      <c r="A21" s="137" t="s">
        <v>0</v>
      </c>
      <c r="B21" s="36">
        <v>26.15</v>
      </c>
      <c r="C21" s="11">
        <v>33</v>
      </c>
      <c r="D21" s="128">
        <f>SUM(B21)-C21</f>
        <v>-6.8500000000000014</v>
      </c>
      <c r="E21" s="2"/>
      <c r="F21" s="358" t="s">
        <v>0</v>
      </c>
      <c r="G21" s="366"/>
      <c r="H21" s="401">
        <v>26.76</v>
      </c>
      <c r="I21" s="402"/>
      <c r="J21" s="16">
        <v>29.36</v>
      </c>
      <c r="K21" s="35">
        <f>SUM(H21)-J21</f>
        <v>-2.5999999999999979</v>
      </c>
      <c r="M21" s="358" t="s">
        <v>0</v>
      </c>
      <c r="N21" s="366"/>
      <c r="O21" s="180">
        <v>31.12</v>
      </c>
      <c r="P21" s="122">
        <v>34.520000000000003</v>
      </c>
      <c r="Q21" s="151">
        <f>SUM(O21)-P21</f>
        <v>-3.4000000000000021</v>
      </c>
    </row>
    <row r="22" spans="1:17" ht="16.5" thickBot="1" x14ac:dyDescent="0.3">
      <c r="A22" s="146" t="s">
        <v>1</v>
      </c>
      <c r="B22" s="31">
        <v>9338</v>
      </c>
      <c r="C22" s="32">
        <v>22670</v>
      </c>
      <c r="D22" s="187">
        <f>SUM(B22)-C22</f>
        <v>-13332</v>
      </c>
      <c r="E22" s="2"/>
      <c r="F22" s="358" t="s">
        <v>1</v>
      </c>
      <c r="G22" s="366"/>
      <c r="H22" s="394">
        <v>19053.419999999998</v>
      </c>
      <c r="I22" s="395"/>
      <c r="J22" s="32">
        <v>24575</v>
      </c>
      <c r="K22" s="38">
        <f>SUM(H22)-J22</f>
        <v>-5521.5800000000017</v>
      </c>
      <c r="M22" s="358" t="s">
        <v>1</v>
      </c>
      <c r="N22" s="366"/>
      <c r="O22" s="193">
        <v>24804</v>
      </c>
      <c r="P22" s="123">
        <v>18859</v>
      </c>
      <c r="Q22" s="177">
        <f>SUM(O22)-P22</f>
        <v>5945</v>
      </c>
    </row>
  </sheetData>
  <mergeCells count="63">
    <mergeCell ref="F22:G22"/>
    <mergeCell ref="H22:I22"/>
    <mergeCell ref="M22:N22"/>
    <mergeCell ref="F20:G20"/>
    <mergeCell ref="H20:I20"/>
    <mergeCell ref="M20:N20"/>
    <mergeCell ref="F21:G21"/>
    <mergeCell ref="H21:I21"/>
    <mergeCell ref="M21:N21"/>
    <mergeCell ref="F18:G18"/>
    <mergeCell ref="H18:I18"/>
    <mergeCell ref="M18:N18"/>
    <mergeCell ref="F19:G19"/>
    <mergeCell ref="H19:I19"/>
    <mergeCell ref="M19:N19"/>
    <mergeCell ref="F16:G16"/>
    <mergeCell ref="H16:I16"/>
    <mergeCell ref="M16:N16"/>
    <mergeCell ref="F17:G17"/>
    <mergeCell ref="H17:I17"/>
    <mergeCell ref="M17:N17"/>
    <mergeCell ref="F14:G14"/>
    <mergeCell ref="H14:I14"/>
    <mergeCell ref="M14:N14"/>
    <mergeCell ref="F15:G15"/>
    <mergeCell ref="H15:I15"/>
    <mergeCell ref="M15:N15"/>
    <mergeCell ref="F12:G12"/>
    <mergeCell ref="H12:I12"/>
    <mergeCell ref="M12:N12"/>
    <mergeCell ref="F13:G13"/>
    <mergeCell ref="H13:I13"/>
    <mergeCell ref="M13:N13"/>
    <mergeCell ref="F10:G10"/>
    <mergeCell ref="H10:I10"/>
    <mergeCell ref="M10:N10"/>
    <mergeCell ref="F11:G11"/>
    <mergeCell ref="H11:I11"/>
    <mergeCell ref="M11:N11"/>
    <mergeCell ref="F8:G8"/>
    <mergeCell ref="H8:I8"/>
    <mergeCell ref="M8:N8"/>
    <mergeCell ref="F9:G9"/>
    <mergeCell ref="H9:I9"/>
    <mergeCell ref="M9:N9"/>
    <mergeCell ref="F6:G6"/>
    <mergeCell ref="H6:I6"/>
    <mergeCell ref="M6:N6"/>
    <mergeCell ref="F7:G7"/>
    <mergeCell ref="H7:I7"/>
    <mergeCell ref="M7:N7"/>
    <mergeCell ref="F4:G4"/>
    <mergeCell ref="H4:I4"/>
    <mergeCell ref="M4:N4"/>
    <mergeCell ref="F5:G5"/>
    <mergeCell ref="H5:I5"/>
    <mergeCell ref="M5:N5"/>
    <mergeCell ref="A2:D2"/>
    <mergeCell ref="F2:K2"/>
    <mergeCell ref="M2:Q2"/>
    <mergeCell ref="F3:G3"/>
    <mergeCell ref="H3:I3"/>
    <mergeCell ref="M3:N3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70AA64DEEE041982DEF10198F0F3D" ma:contentTypeVersion="10" ma:contentTypeDescription="Create a new document." ma:contentTypeScope="" ma:versionID="cd52ee54b626346e7e48e37433fc40dd">
  <xsd:schema xmlns:xsd="http://www.w3.org/2001/XMLSchema" xmlns:xs="http://www.w3.org/2001/XMLSchema" xmlns:p="http://schemas.microsoft.com/office/2006/metadata/properties" xmlns:ns3="d44897cd-c8dc-4ae4-8fdf-b0e7d4b01ebb" xmlns:ns4="3604221d-3957-4428-abb5-e4995886bb01" targetNamespace="http://schemas.microsoft.com/office/2006/metadata/properties" ma:root="true" ma:fieldsID="3b9d6963f079cc7e8bf9af09925caa01" ns3:_="" ns4:_="">
    <xsd:import namespace="d44897cd-c8dc-4ae4-8fdf-b0e7d4b01ebb"/>
    <xsd:import namespace="3604221d-3957-4428-abb5-e4995886bb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897cd-c8dc-4ae4-8fdf-b0e7d4b01e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221d-3957-4428-abb5-e4995886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FD20D9-A3BB-406C-8121-473ACE9A2ADB}">
  <ds:schemaRefs>
    <ds:schemaRef ds:uri="http://purl.org/dc/terms/"/>
    <ds:schemaRef ds:uri="d44897cd-c8dc-4ae4-8fdf-b0e7d4b01ebb"/>
    <ds:schemaRef ds:uri="http://purl.org/dc/dcmitype/"/>
    <ds:schemaRef ds:uri="3604221d-3957-4428-abb5-e4995886bb01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6D54513-08DC-462B-896E-411821768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88CB8D-7549-4815-A4A0-3C98FAF83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897cd-c8dc-4ae4-8fdf-b0e7d4b01ebb"/>
    <ds:schemaRef ds:uri="3604221d-3957-4428-abb5-e4995886b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2022 Stats</vt:lpstr>
      <vt:lpstr>2021 vs 2019</vt:lpstr>
      <vt:lpstr>'2022 Stats'!Print_Area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Marilda Daniels</dc:creator>
  <cp:lastModifiedBy>Marilda Daniels</cp:lastModifiedBy>
  <cp:lastPrinted>2023-02-09T20:18:56Z</cp:lastPrinted>
  <dcterms:created xsi:type="dcterms:W3CDTF">2014-11-06T19:32:50Z</dcterms:created>
  <dcterms:modified xsi:type="dcterms:W3CDTF">2023-10-09T10:25:29Z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0x010100DD070AA64DEEE041982DEF10198F0F3D</vt:lpwstr>
  </property>
</Properties>
</file>