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1760" yWindow="1760" windowWidth="23840" windowHeight="14300" tabRatio="500" activeTab="2"/>
  </bookViews>
  <sheets>
    <sheet name="w" sheetId="1" r:id="rId1"/>
    <sheet name="m" sheetId="2" r:id="rId2"/>
    <sheet name="w vs. m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3" i="2" l="1"/>
  <c r="H32" i="2"/>
  <c r="H31" i="2"/>
  <c r="H29" i="2"/>
  <c r="I29" i="2"/>
  <c r="J29" i="2"/>
  <c r="K29" i="2"/>
  <c r="M29" i="2"/>
  <c r="I30" i="2"/>
  <c r="J30" i="2"/>
  <c r="K30" i="2"/>
  <c r="M30" i="2"/>
  <c r="H34" i="2"/>
  <c r="I31" i="2"/>
  <c r="J31" i="2"/>
  <c r="K31" i="2"/>
  <c r="M31" i="2"/>
  <c r="I32" i="2"/>
  <c r="J32" i="2"/>
  <c r="K32" i="2"/>
  <c r="M32" i="2"/>
  <c r="K33" i="2"/>
  <c r="M33" i="2"/>
  <c r="K34" i="2"/>
  <c r="M34" i="2"/>
  <c r="K35" i="2"/>
  <c r="M35" i="2"/>
  <c r="M36" i="2"/>
  <c r="L29" i="2"/>
  <c r="L30" i="2"/>
  <c r="L31" i="2"/>
  <c r="L32" i="2"/>
  <c r="J33" i="2"/>
  <c r="L33" i="2"/>
  <c r="J34" i="2"/>
  <c r="L34" i="2"/>
  <c r="J35" i="2"/>
  <c r="L35" i="2"/>
  <c r="L36" i="2"/>
  <c r="H21" i="2"/>
  <c r="H20" i="2"/>
  <c r="H18" i="2"/>
  <c r="I18" i="2"/>
  <c r="J18" i="2"/>
  <c r="K18" i="2"/>
  <c r="M18" i="2"/>
  <c r="I19" i="2"/>
  <c r="J19" i="2"/>
  <c r="K19" i="2"/>
  <c r="M19" i="2"/>
  <c r="I20" i="2"/>
  <c r="J20" i="2"/>
  <c r="K20" i="2"/>
  <c r="M20" i="2"/>
  <c r="I21" i="2"/>
  <c r="J21" i="2"/>
  <c r="K21" i="2"/>
  <c r="M21" i="2"/>
  <c r="M22" i="2"/>
  <c r="L18" i="2"/>
  <c r="L19" i="2"/>
  <c r="L20" i="2"/>
  <c r="L21" i="2"/>
  <c r="L22" i="2"/>
  <c r="H5" i="2"/>
  <c r="I5" i="2"/>
  <c r="M5" i="2"/>
  <c r="I6" i="2"/>
  <c r="M6" i="2"/>
  <c r="H7" i="2"/>
  <c r="I7" i="2"/>
  <c r="M7" i="2"/>
  <c r="H8" i="2"/>
  <c r="I8" i="2"/>
  <c r="M8" i="2"/>
  <c r="H9" i="2"/>
  <c r="I9" i="2"/>
  <c r="M9" i="2"/>
  <c r="H10" i="2"/>
  <c r="I10" i="2"/>
  <c r="M10" i="2"/>
  <c r="M11" i="2"/>
  <c r="L5" i="2"/>
  <c r="L6" i="2"/>
  <c r="L7" i="2"/>
  <c r="L8" i="2"/>
  <c r="L9" i="2"/>
  <c r="L10" i="2"/>
  <c r="L11" i="2"/>
  <c r="B6" i="2"/>
  <c r="E40" i="1"/>
  <c r="F40" i="1"/>
  <c r="E41" i="1"/>
  <c r="F41" i="1"/>
  <c r="E42" i="1"/>
  <c r="F42" i="1"/>
  <c r="E43" i="1"/>
  <c r="F43" i="1"/>
  <c r="F44" i="1"/>
  <c r="F45" i="1"/>
  <c r="F46" i="1"/>
  <c r="C40" i="1"/>
  <c r="C44" i="1"/>
  <c r="D40" i="1"/>
  <c r="H40" i="1"/>
  <c r="C41" i="1"/>
  <c r="D41" i="1"/>
  <c r="H41" i="1"/>
  <c r="C45" i="1"/>
  <c r="D42" i="1"/>
  <c r="H42" i="1"/>
  <c r="D43" i="1"/>
  <c r="H43" i="1"/>
  <c r="H44" i="1"/>
  <c r="H45" i="1"/>
  <c r="H46" i="1"/>
  <c r="H47" i="1"/>
  <c r="G40" i="1"/>
  <c r="G41" i="1"/>
  <c r="G42" i="1"/>
  <c r="G43" i="1"/>
  <c r="E44" i="1"/>
  <c r="G44" i="1"/>
  <c r="E45" i="1"/>
  <c r="G45" i="1"/>
  <c r="E46" i="1"/>
  <c r="G46" i="1"/>
  <c r="G47" i="1"/>
  <c r="E33" i="1"/>
  <c r="F33" i="1"/>
  <c r="E32" i="1"/>
  <c r="F32" i="1"/>
  <c r="D35" i="1"/>
  <c r="E35" i="1"/>
  <c r="F35" i="1"/>
  <c r="H35" i="1"/>
  <c r="D34" i="1"/>
  <c r="E34" i="1"/>
  <c r="F34" i="1"/>
  <c r="H34" i="1"/>
  <c r="C33" i="1"/>
  <c r="D33" i="1"/>
  <c r="H33" i="1"/>
  <c r="C32" i="1"/>
  <c r="D32" i="1"/>
  <c r="H32" i="1"/>
  <c r="G35" i="1"/>
  <c r="G34" i="1"/>
  <c r="G33" i="1"/>
  <c r="G32" i="1"/>
  <c r="D21" i="1"/>
  <c r="E21" i="1"/>
  <c r="F21" i="1"/>
  <c r="H21" i="1"/>
  <c r="D20" i="1"/>
  <c r="E20" i="1"/>
  <c r="F20" i="1"/>
  <c r="H20" i="1"/>
  <c r="D19" i="1"/>
  <c r="E19" i="1"/>
  <c r="F19" i="1"/>
  <c r="H19" i="1"/>
  <c r="D18" i="1"/>
  <c r="F18" i="1"/>
  <c r="H18" i="1"/>
  <c r="C17" i="1"/>
  <c r="D17" i="1"/>
  <c r="E17" i="1"/>
  <c r="F17" i="1"/>
  <c r="H17" i="1"/>
  <c r="C16" i="1"/>
  <c r="D16" i="1"/>
  <c r="E16" i="1"/>
  <c r="F16" i="1"/>
  <c r="H16" i="1"/>
  <c r="G21" i="1"/>
  <c r="G20" i="1"/>
  <c r="G19" i="1"/>
  <c r="G18" i="1"/>
  <c r="G17" i="1"/>
  <c r="G16" i="1"/>
  <c r="H36" i="1"/>
  <c r="G36" i="1"/>
  <c r="B26" i="1"/>
  <c r="B25" i="1"/>
  <c r="H22" i="1"/>
  <c r="G22" i="1"/>
  <c r="C8" i="1"/>
  <c r="E8" i="1"/>
  <c r="E9" i="1"/>
  <c r="C7" i="1"/>
  <c r="E7" i="1"/>
  <c r="E10" i="1"/>
  <c r="B11" i="3"/>
  <c r="C11" i="3"/>
  <c r="D11" i="3"/>
  <c r="B10" i="3"/>
  <c r="C10" i="3"/>
  <c r="D10" i="3"/>
  <c r="B8" i="3"/>
  <c r="C8" i="3"/>
  <c r="D8" i="3"/>
  <c r="B7" i="3"/>
  <c r="C7" i="3"/>
  <c r="D7" i="3"/>
  <c r="B5" i="3"/>
  <c r="C5" i="3"/>
  <c r="D5" i="3"/>
  <c r="B4" i="3"/>
  <c r="C4" i="3"/>
  <c r="D4" i="3"/>
</calcChain>
</file>

<file path=xl/sharedStrings.xml><?xml version="1.0" encoding="utf-8"?>
<sst xmlns="http://schemas.openxmlformats.org/spreadsheetml/2006/main" count="164" uniqueCount="67">
  <si>
    <t>$ln(\tilde{P}(gender(sam)=W|MB$</t>
    <phoneticPr fontId="4" type="noConversion"/>
  </si>
  <si>
    <t>$ln(\tilde{P}(gender(sam)=M|MB$</t>
    <phoneticPr fontId="4" type="noConversion"/>
  </si>
  <si>
    <t>log-diff</t>
    <phoneticPr fontId="4" type="noConversion"/>
  </si>
  <si>
    <t>basic regression</t>
    <phoneticPr fontId="4" type="noConversion"/>
  </si>
  <si>
    <t>count</t>
    <phoneticPr fontId="4" type="noConversion"/>
  </si>
  <si>
    <t>frequency</t>
    <phoneticPr fontId="4" type="noConversion"/>
  </si>
  <si>
    <t>relevant regression</t>
    <phoneticPr fontId="4" type="noConversion"/>
  </si>
  <si>
    <t>Relevant Regression</t>
    <phoneticPr fontId="4" type="noConversion"/>
  </si>
  <si>
    <t>log-difference regression</t>
    <phoneticPr fontId="4" type="noConversion"/>
  </si>
  <si>
    <t>Log-difference Regression</t>
    <phoneticPr fontId="4" type="noConversion"/>
  </si>
  <si>
    <t>$\it{CoffeeDr}(sam) = \false$</t>
    <phoneticPr fontId="4" type="noConversion"/>
  </si>
  <si>
    <t>$\it{gender}(sam) = W$</t>
    <phoneticPr fontId="4" type="noConversion"/>
  </si>
  <si>
    <t>Child Node Value</t>
    <phoneticPr fontId="4" type="noConversion"/>
  </si>
  <si>
    <t>Parent State</t>
    <phoneticPr fontId="4" type="noConversion"/>
  </si>
  <si>
    <t>$\it{gender}(\Y) = W, \it{Friend}(sam,\Y) = \true$</t>
    <phoneticPr fontId="4" type="noConversion"/>
  </si>
  <si>
    <t>$\it{gender}(sam) = W$</t>
    <phoneticPr fontId="4" type="noConversion"/>
  </si>
  <si>
    <t>$\it{gender}(\Y) = M, \it{Friend}(sam,\Y) = \true$</t>
    <phoneticPr fontId="4" type="noConversion"/>
  </si>
  <si>
    <t>$\it{gender}(\Y) = W, \it{Friend}(sam,\Y) = \false$</t>
    <phoneticPr fontId="4" type="noConversion"/>
  </si>
  <si>
    <t>$\it{gender}(\Y) = M, \it{Friend}(sam,\Y) = \false$</t>
    <phoneticPr fontId="4" type="noConversion"/>
  </si>
  <si>
    <t>$\it{CoffeeDr}(sam) = \true$</t>
    <phoneticPr fontId="4" type="noConversion"/>
  </si>
  <si>
    <t>$\it{gender}(sam) = W$</t>
    <phoneticPr fontId="4" type="noConversion"/>
  </si>
  <si>
    <t>Example computations for regression paper</t>
  </si>
  <si>
    <t>Grounding</t>
  </si>
  <si>
    <t>Y= sam</t>
  </si>
  <si>
    <t>Y= anna</t>
  </si>
  <si>
    <t>Y= bob</t>
  </si>
  <si>
    <t>Factor 1</t>
  </si>
  <si>
    <t>Factor 2</t>
  </si>
  <si>
    <t>Log(Product)</t>
  </si>
  <si>
    <t>coffee_drinker</t>
  </si>
  <si>
    <t>Random regression</t>
  </si>
  <si>
    <t>Count regression</t>
  </si>
  <si>
    <t>$\instances_{ijk}^{\grounding}$</t>
  </si>
  <si>
    <t>$\prob_{ijk}^{\grounding}$</t>
  </si>
  <si>
    <t>$ln(\theta_{ijk})$</t>
  </si>
  <si>
    <t>$ln(\theta_{ijk})\; \instances_{ijk}^{\grounding} $</t>
  </si>
  <si>
    <t>$ln(\theta_{ijk})\; \prob_{ijk}^{\grounding} $</t>
  </si>
  <si>
    <t>Sum</t>
  </si>
  <si>
    <t>Prior Probability $\theta_{i0k}$</t>
  </si>
  <si>
    <t>yes</t>
  </si>
  <si>
    <t>no</t>
  </si>
  <si>
    <t>Relevant regression</t>
  </si>
  <si>
    <t>$\it{gender}(sam) = W$</t>
  </si>
  <si>
    <t>Solve for Bayes net parameters</t>
  </si>
  <si>
    <t>P(man)</t>
  </si>
  <si>
    <t>P(Man|male friend)</t>
  </si>
  <si>
    <t>P(Man|female friend)</t>
  </si>
  <si>
    <t>$\theta_{ijk}$</t>
  </si>
  <si>
    <t>Child Node Value $\family_{i0k}$</t>
  </si>
  <si>
    <t>$\it{CoffeeDr}(sam) = \true$</t>
  </si>
  <si>
    <t>Conditional Probability $\theta_{ijk}$</t>
  </si>
  <si>
    <t>Parent State $j$</t>
  </si>
  <si>
    <t>$\it{gender}(\Y) = W, \it{Friend}(sam,\Y) = \false$</t>
  </si>
  <si>
    <t>$\F_{ijk}$ Relevant?</t>
  </si>
  <si>
    <t>Log-difference</t>
  </si>
  <si>
    <t>$ln(\theta_{ijk})-ln(\theta_{i0k})$</t>
  </si>
  <si>
    <t>n/a</t>
  </si>
  <si>
    <t>Regression Values for Sam being male</t>
    <phoneticPr fontId="4" type="noConversion"/>
  </si>
  <si>
    <t>Child Node Value</t>
  </si>
  <si>
    <t>Parent State</t>
  </si>
  <si>
    <t>$\it{gender}(\Y) = W, \it{Friend}(sam,\Y) = \true$</t>
  </si>
  <si>
    <t>$\it{gender}(\Y) = M, \it{Friend}(sam,\Y) = \true$</t>
  </si>
  <si>
    <t>$\it{gender}(\Y) = M, \it{Friend}(sam,\Y) = \false$</t>
  </si>
  <si>
    <t>$\it{CoffeeDr}(sam) = \false$</t>
  </si>
  <si>
    <t>$\it{gender}(sam) = M$</t>
    <phoneticPr fontId="4" type="noConversion"/>
  </si>
  <si>
    <t>$\it{gender}(sam) = M$</t>
    <phoneticPr fontId="4" type="noConversion"/>
  </si>
  <si>
    <t>comparing predicted gender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</si>
</sst>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Verdana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2" fontId="5" fillId="0" borderId="0" xfId="0" applyNumberFormat="1" applyFont="1"/>
    <xf numFmtId="0" fontId="5" fillId="0" borderId="0" xfId="0" applyFont="1"/>
    <xf numFmtId="2" fontId="0" fillId="0" borderId="0" xfId="0" applyNumberFormat="1"/>
    <xf numFmtId="0" fontId="3" fillId="0" borderId="0" xfId="0" applyFont="1"/>
    <xf numFmtId="0" fontId="5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1"/>
  <sheetViews>
    <sheetView topLeftCell="C19" zoomScaleNormal="150" zoomScalePageLayoutView="150" workbookViewId="0">
      <selection activeCell="C44" sqref="C44"/>
    </sheetView>
  </sheetViews>
  <sheetFormatPr baseColWidth="10" defaultRowHeight="15" x14ac:dyDescent="0"/>
  <cols>
    <col min="1" max="1" width="44.6640625" customWidth="1"/>
    <col min="2" max="2" width="41.5" customWidth="1"/>
    <col min="3" max="3" width="59.1640625" customWidth="1"/>
    <col min="4" max="4" width="31" customWidth="1"/>
    <col min="5" max="5" width="29.1640625" customWidth="1"/>
    <col min="6" max="6" width="51.1640625" customWidth="1"/>
    <col min="7" max="7" width="27.33203125" customWidth="1"/>
    <col min="8" max="8" width="20.83203125" customWidth="1"/>
  </cols>
  <sheetData>
    <row r="2" spans="1:11">
      <c r="A2" t="s">
        <v>21</v>
      </c>
    </row>
    <row r="3" spans="1:11">
      <c r="C3" t="s">
        <v>30</v>
      </c>
    </row>
    <row r="4" spans="1:11">
      <c r="C4" t="s">
        <v>29</v>
      </c>
    </row>
    <row r="5" spans="1:11">
      <c r="A5" t="s">
        <v>22</v>
      </c>
      <c r="C5" t="s">
        <v>26</v>
      </c>
      <c r="D5" t="s">
        <v>27</v>
      </c>
      <c r="E5" t="s">
        <v>28</v>
      </c>
    </row>
    <row r="7" spans="1:11">
      <c r="A7" t="s">
        <v>24</v>
      </c>
      <c r="C7">
        <f>0.2</f>
        <v>0.2</v>
      </c>
      <c r="D7">
        <v>0.7</v>
      </c>
      <c r="E7" s="4">
        <f>LN(C7*D7)</f>
        <v>-1.966112856372833</v>
      </c>
    </row>
    <row r="8" spans="1:11">
      <c r="A8" t="s">
        <v>25</v>
      </c>
      <c r="C8">
        <f>0.2</f>
        <v>0.2</v>
      </c>
      <c r="D8">
        <v>0.3</v>
      </c>
      <c r="E8" s="4">
        <f t="shared" ref="E8:E9" si="0">LN(C8*D8)</f>
        <v>-2.8134107167600364</v>
      </c>
    </row>
    <row r="9" spans="1:11">
      <c r="A9" s="5" t="s">
        <v>23</v>
      </c>
      <c r="B9" s="5"/>
      <c r="C9" s="5">
        <v>0.2</v>
      </c>
      <c r="D9" s="5">
        <v>0.5</v>
      </c>
      <c r="E9" s="4">
        <f t="shared" si="0"/>
        <v>-2.3025850929940455</v>
      </c>
    </row>
    <row r="10" spans="1:11">
      <c r="E10" s="4">
        <f>AVERAGE(E7:E9)</f>
        <v>-2.3607028887089716</v>
      </c>
    </row>
    <row r="11" spans="1:11">
      <c r="E11" s="4"/>
    </row>
    <row r="13" spans="1:11">
      <c r="A13" t="s">
        <v>31</v>
      </c>
    </row>
    <row r="15" spans="1:11">
      <c r="A15" t="s">
        <v>12</v>
      </c>
      <c r="B15" t="s">
        <v>13</v>
      </c>
      <c r="C15" t="s">
        <v>47</v>
      </c>
      <c r="D15" t="s">
        <v>34</v>
      </c>
      <c r="E15" s="5" t="s">
        <v>32</v>
      </c>
      <c r="F15" s="5" t="s">
        <v>33</v>
      </c>
      <c r="G15" t="s">
        <v>35</v>
      </c>
      <c r="H15" t="s">
        <v>36</v>
      </c>
    </row>
    <row r="16" spans="1:11">
      <c r="A16" t="s">
        <v>15</v>
      </c>
      <c r="B16" t="s">
        <v>14</v>
      </c>
      <c r="C16">
        <f>0.55</f>
        <v>0.55000000000000004</v>
      </c>
      <c r="D16" s="4">
        <f>LN(C16)</f>
        <v>-0.59783700075562041</v>
      </c>
      <c r="E16">
        <f>40</f>
        <v>40</v>
      </c>
      <c r="F16" s="4">
        <f>E16/1000</f>
        <v>0.04</v>
      </c>
      <c r="G16" s="4">
        <f>D16*E16</f>
        <v>-23.913480030224818</v>
      </c>
      <c r="H16" s="4">
        <f>D16*F16</f>
        <v>-2.3913480030224817E-2</v>
      </c>
      <c r="K16" s="4"/>
    </row>
    <row r="17" spans="1:11">
      <c r="A17" t="s">
        <v>15</v>
      </c>
      <c r="B17" t="s">
        <v>16</v>
      </c>
      <c r="C17">
        <f>0.37</f>
        <v>0.37</v>
      </c>
      <c r="D17" s="4">
        <f t="shared" ref="D17:D21" si="1">LN(C17)</f>
        <v>-0.9942522733438669</v>
      </c>
      <c r="E17">
        <f>60</f>
        <v>60</v>
      </c>
      <c r="F17" s="4">
        <f>E17/1000</f>
        <v>0.06</v>
      </c>
      <c r="G17" s="4">
        <f t="shared" ref="G17:G21" si="2">D17*E17</f>
        <v>-59.655136400632017</v>
      </c>
      <c r="H17" s="4">
        <f t="shared" ref="H17:H21" si="3">D17*F17</f>
        <v>-5.9655136400632011E-2</v>
      </c>
      <c r="K17" s="4"/>
    </row>
    <row r="18" spans="1:11">
      <c r="A18" t="s">
        <v>15</v>
      </c>
      <c r="B18" t="s">
        <v>17</v>
      </c>
      <c r="C18">
        <v>0.45</v>
      </c>
      <c r="D18" s="4">
        <f t="shared" si="1"/>
        <v>-0.79850769621777162</v>
      </c>
      <c r="E18">
        <v>450</v>
      </c>
      <c r="F18" s="4">
        <f>E18/1000</f>
        <v>0.45</v>
      </c>
      <c r="G18" s="4">
        <f t="shared" si="2"/>
        <v>-359.32846329799725</v>
      </c>
      <c r="H18" s="4">
        <f t="shared" si="3"/>
        <v>-0.35932846329799722</v>
      </c>
      <c r="K18" s="4"/>
    </row>
    <row r="19" spans="1:11">
      <c r="A19" t="s">
        <v>15</v>
      </c>
      <c r="B19" t="s">
        <v>18</v>
      </c>
      <c r="C19">
        <v>0.45</v>
      </c>
      <c r="D19" s="4">
        <f t="shared" si="1"/>
        <v>-0.79850769621777162</v>
      </c>
      <c r="E19">
        <f>450</f>
        <v>450</v>
      </c>
      <c r="F19" s="4">
        <f>E19/1000</f>
        <v>0.45</v>
      </c>
      <c r="G19" s="4">
        <f t="shared" si="2"/>
        <v>-359.32846329799725</v>
      </c>
      <c r="H19" s="4">
        <f t="shared" si="3"/>
        <v>-0.35932846329799722</v>
      </c>
      <c r="K19" s="4"/>
    </row>
    <row r="20" spans="1:11">
      <c r="A20" t="s">
        <v>19</v>
      </c>
      <c r="B20" t="s">
        <v>20</v>
      </c>
      <c r="C20">
        <v>0.8</v>
      </c>
      <c r="D20" s="4">
        <f t="shared" si="1"/>
        <v>-0.22314355131420971</v>
      </c>
      <c r="E20">
        <f>1</f>
        <v>1</v>
      </c>
      <c r="F20" s="4">
        <f>E20</f>
        <v>1</v>
      </c>
      <c r="G20" s="4">
        <f t="shared" si="2"/>
        <v>-0.22314355131420971</v>
      </c>
      <c r="H20" s="4">
        <f t="shared" si="3"/>
        <v>-0.22314355131420971</v>
      </c>
      <c r="K20" s="4"/>
    </row>
    <row r="21" spans="1:11">
      <c r="A21" t="s">
        <v>10</v>
      </c>
      <c r="B21" t="s">
        <v>11</v>
      </c>
      <c r="C21">
        <v>0.2</v>
      </c>
      <c r="D21" s="4">
        <f t="shared" si="1"/>
        <v>-1.6094379124341003</v>
      </c>
      <c r="E21">
        <f>0</f>
        <v>0</v>
      </c>
      <c r="F21" s="4">
        <f>E21</f>
        <v>0</v>
      </c>
      <c r="G21" s="4">
        <f t="shared" si="2"/>
        <v>0</v>
      </c>
      <c r="H21" s="4">
        <f t="shared" si="3"/>
        <v>0</v>
      </c>
      <c r="K21" s="4"/>
    </row>
    <row r="22" spans="1:11">
      <c r="F22" t="s">
        <v>37</v>
      </c>
      <c r="G22" s="4">
        <f>SUM(G16:G21)</f>
        <v>-802.44868657816551</v>
      </c>
      <c r="H22" s="4">
        <f>SUM(H16:H21)</f>
        <v>-1.0253690943410609</v>
      </c>
    </row>
    <row r="24" spans="1:11">
      <c r="A24" t="s">
        <v>48</v>
      </c>
      <c r="B24" t="s">
        <v>38</v>
      </c>
      <c r="C24" t="s">
        <v>51</v>
      </c>
      <c r="D24" t="s">
        <v>50</v>
      </c>
      <c r="E24" t="s">
        <v>53</v>
      </c>
    </row>
    <row r="25" spans="1:11">
      <c r="A25" t="s">
        <v>49</v>
      </c>
      <c r="B25">
        <f>0.7</f>
        <v>0.7</v>
      </c>
      <c r="C25" t="s">
        <v>42</v>
      </c>
      <c r="D25">
        <v>0.8</v>
      </c>
      <c r="E25" t="s">
        <v>39</v>
      </c>
    </row>
    <row r="26" spans="1:11">
      <c r="A26" s="5" t="s">
        <v>42</v>
      </c>
      <c r="B26" s="5">
        <f>0.45</f>
        <v>0.45</v>
      </c>
      <c r="C26" t="s">
        <v>52</v>
      </c>
      <c r="D26">
        <v>0.45</v>
      </c>
      <c r="E26" t="s">
        <v>40</v>
      </c>
    </row>
    <row r="29" spans="1:11">
      <c r="A29" t="s">
        <v>41</v>
      </c>
    </row>
    <row r="31" spans="1:11">
      <c r="A31" t="s">
        <v>12</v>
      </c>
      <c r="B31" t="s">
        <v>13</v>
      </c>
      <c r="C31" t="s">
        <v>47</v>
      </c>
      <c r="D31" t="s">
        <v>34</v>
      </c>
      <c r="E31" s="5" t="s">
        <v>32</v>
      </c>
      <c r="F31" s="5" t="s">
        <v>33</v>
      </c>
      <c r="G31" t="s">
        <v>35</v>
      </c>
      <c r="H31" t="s">
        <v>36</v>
      </c>
    </row>
    <row r="32" spans="1:11">
      <c r="A32" t="s">
        <v>11</v>
      </c>
      <c r="B32" t="s">
        <v>14</v>
      </c>
      <c r="C32">
        <f>0.55</f>
        <v>0.55000000000000004</v>
      </c>
      <c r="D32" s="4">
        <f>LN(C32)</f>
        <v>-0.59783700075562041</v>
      </c>
      <c r="E32">
        <f>40</f>
        <v>40</v>
      </c>
      <c r="F32" s="4">
        <f>E32/100</f>
        <v>0.4</v>
      </c>
      <c r="G32" s="4">
        <f t="shared" ref="G32:G35" si="4">D32*E32</f>
        <v>-23.913480030224818</v>
      </c>
      <c r="H32" s="4">
        <f t="shared" ref="H32:H35" si="5">D32*F32</f>
        <v>-0.23913480030224818</v>
      </c>
      <c r="K32" s="4"/>
    </row>
    <row r="33" spans="1:11">
      <c r="A33" t="s">
        <v>11</v>
      </c>
      <c r="B33" t="s">
        <v>16</v>
      </c>
      <c r="C33">
        <f>0.37</f>
        <v>0.37</v>
      </c>
      <c r="D33" s="4">
        <f t="shared" ref="D33:D35" si="6">LN(C33)</f>
        <v>-0.9942522733438669</v>
      </c>
      <c r="E33">
        <f>60</f>
        <v>60</v>
      </c>
      <c r="F33" s="4">
        <f>E33/100</f>
        <v>0.6</v>
      </c>
      <c r="G33" s="4">
        <f t="shared" si="4"/>
        <v>-59.655136400632017</v>
      </c>
      <c r="H33" s="4">
        <f t="shared" si="5"/>
        <v>-0.59655136400632014</v>
      </c>
      <c r="K33" s="4"/>
    </row>
    <row r="34" spans="1:11">
      <c r="A34" t="s">
        <v>19</v>
      </c>
      <c r="B34" t="s">
        <v>20</v>
      </c>
      <c r="C34">
        <v>0.8</v>
      </c>
      <c r="D34" s="4">
        <f t="shared" si="6"/>
        <v>-0.22314355131420971</v>
      </c>
      <c r="E34">
        <f>1</f>
        <v>1</v>
      </c>
      <c r="F34" s="4">
        <f>E34</f>
        <v>1</v>
      </c>
      <c r="G34" s="4">
        <f t="shared" si="4"/>
        <v>-0.22314355131420971</v>
      </c>
      <c r="H34" s="4">
        <f t="shared" si="5"/>
        <v>-0.22314355131420971</v>
      </c>
      <c r="K34" s="4"/>
    </row>
    <row r="35" spans="1:11">
      <c r="A35" t="s">
        <v>10</v>
      </c>
      <c r="B35" t="s">
        <v>11</v>
      </c>
      <c r="C35">
        <v>0.2</v>
      </c>
      <c r="D35" s="4">
        <f t="shared" si="6"/>
        <v>-1.6094379124341003</v>
      </c>
      <c r="E35">
        <f>0</f>
        <v>0</v>
      </c>
      <c r="F35" s="4">
        <f>E35</f>
        <v>0</v>
      </c>
      <c r="G35" s="4">
        <f t="shared" si="4"/>
        <v>0</v>
      </c>
      <c r="H35" s="4">
        <f t="shared" si="5"/>
        <v>0</v>
      </c>
    </row>
    <row r="36" spans="1:11">
      <c r="F36" t="s">
        <v>37</v>
      </c>
      <c r="G36" s="4">
        <f>SUM(G32:G35)</f>
        <v>-83.791759982171044</v>
      </c>
      <c r="H36" s="4">
        <f>SUM(H32:H35)</f>
        <v>-1.0588297156227782</v>
      </c>
    </row>
    <row r="37" spans="1:11">
      <c r="A37" t="s">
        <v>54</v>
      </c>
    </row>
    <row r="38" spans="1:11">
      <c r="D38" s="5"/>
      <c r="E38" s="5"/>
    </row>
    <row r="39" spans="1:11">
      <c r="A39" t="s">
        <v>12</v>
      </c>
      <c r="B39" t="s">
        <v>13</v>
      </c>
      <c r="C39" t="s">
        <v>47</v>
      </c>
      <c r="D39" t="s">
        <v>55</v>
      </c>
      <c r="E39" s="5" t="s">
        <v>32</v>
      </c>
      <c r="F39" s="5" t="s">
        <v>33</v>
      </c>
      <c r="G39" t="s">
        <v>35</v>
      </c>
      <c r="H39" t="s">
        <v>36</v>
      </c>
      <c r="I39" s="4"/>
      <c r="J39" s="4"/>
      <c r="K39" s="4"/>
    </row>
    <row r="40" spans="1:11">
      <c r="A40" t="s">
        <v>11</v>
      </c>
      <c r="B40" t="s">
        <v>14</v>
      </c>
      <c r="C40">
        <f>0.55</f>
        <v>0.55000000000000004</v>
      </c>
      <c r="D40" s="4">
        <f>LN(C40)-LN(C44)</f>
        <v>0.20067069546215122</v>
      </c>
      <c r="E40">
        <f>40</f>
        <v>40</v>
      </c>
      <c r="F40" s="4">
        <f>E40/100</f>
        <v>0.4</v>
      </c>
      <c r="G40" s="4">
        <f t="shared" ref="G40:G43" si="7">D40*E40</f>
        <v>8.0268278184860478</v>
      </c>
      <c r="H40" s="4">
        <f t="shared" ref="H40:H43" si="8">D40*F40</f>
        <v>8.0268278184860486E-2</v>
      </c>
      <c r="I40" s="4"/>
      <c r="J40" s="4"/>
      <c r="K40" s="4"/>
    </row>
    <row r="41" spans="1:11">
      <c r="A41" t="s">
        <v>11</v>
      </c>
      <c r="B41" t="s">
        <v>16</v>
      </c>
      <c r="C41">
        <f>0.37</f>
        <v>0.37</v>
      </c>
      <c r="D41" s="4">
        <f>LN(C41)-LN(C44)</f>
        <v>-0.19574457712609528</v>
      </c>
      <c r="E41">
        <f>60</f>
        <v>60</v>
      </c>
      <c r="F41" s="4">
        <f>E41/100</f>
        <v>0.6</v>
      </c>
      <c r="G41" s="4">
        <f t="shared" si="7"/>
        <v>-11.744674627565717</v>
      </c>
      <c r="H41" s="4">
        <f t="shared" si="8"/>
        <v>-0.11744674627565715</v>
      </c>
      <c r="I41" s="4"/>
      <c r="J41" s="4"/>
      <c r="K41" s="4"/>
    </row>
    <row r="42" spans="1:11">
      <c r="A42" t="s">
        <v>19</v>
      </c>
      <c r="B42" t="s">
        <v>20</v>
      </c>
      <c r="C42">
        <v>0.8</v>
      </c>
      <c r="D42" s="4">
        <f>LN(C42)-LN(C45)</f>
        <v>0.13353139262452274</v>
      </c>
      <c r="E42">
        <f>1</f>
        <v>1</v>
      </c>
      <c r="F42" s="4">
        <f>E42</f>
        <v>1</v>
      </c>
      <c r="G42" s="4">
        <f t="shared" si="7"/>
        <v>0.13353139262452274</v>
      </c>
      <c r="H42" s="4">
        <f t="shared" si="8"/>
        <v>0.13353139262452274</v>
      </c>
      <c r="I42" s="4"/>
      <c r="J42" s="4"/>
      <c r="K42" s="4"/>
    </row>
    <row r="43" spans="1:11">
      <c r="A43" t="s">
        <v>10</v>
      </c>
      <c r="B43" t="s">
        <v>11</v>
      </c>
      <c r="C43">
        <v>0.2</v>
      </c>
      <c r="D43" s="4">
        <f>LN(C43)-LN(C46)</f>
        <v>-0.40546510810816416</v>
      </c>
      <c r="E43">
        <f>0</f>
        <v>0</v>
      </c>
      <c r="F43" s="4">
        <f>E43</f>
        <v>0</v>
      </c>
      <c r="G43" s="4">
        <f t="shared" si="7"/>
        <v>0</v>
      </c>
      <c r="H43" s="4">
        <f t="shared" si="8"/>
        <v>0</v>
      </c>
      <c r="K43" s="4"/>
    </row>
    <row r="44" spans="1:11">
      <c r="A44" t="s">
        <v>11</v>
      </c>
      <c r="B44" t="s">
        <v>56</v>
      </c>
      <c r="C44">
        <f>0.45</f>
        <v>0.45</v>
      </c>
      <c r="E44">
        <f>1</f>
        <v>1</v>
      </c>
      <c r="F44" s="4">
        <f>1</f>
        <v>1</v>
      </c>
      <c r="G44" s="4">
        <f>E44*LN(C44)</f>
        <v>-0.79850769621777162</v>
      </c>
      <c r="H44" s="4">
        <f>F44*LN(C44)</f>
        <v>-0.79850769621777162</v>
      </c>
      <c r="K44" s="4"/>
    </row>
    <row r="45" spans="1:11">
      <c r="A45" t="s">
        <v>19</v>
      </c>
      <c r="C45">
        <f>0.7</f>
        <v>0.7</v>
      </c>
      <c r="E45">
        <f>1</f>
        <v>1</v>
      </c>
      <c r="F45" s="4">
        <f>1</f>
        <v>1</v>
      </c>
      <c r="G45" s="4">
        <f t="shared" ref="G45:G46" si="9">E45*LN(C45)</f>
        <v>-0.35667494393873245</v>
      </c>
      <c r="H45" s="4">
        <f t="shared" ref="H45:H46" si="10">F45*LN(C45)</f>
        <v>-0.35667494393873245</v>
      </c>
    </row>
    <row r="46" spans="1:11">
      <c r="A46" t="s">
        <v>10</v>
      </c>
      <c r="C46">
        <v>0.3</v>
      </c>
      <c r="E46">
        <f>0</f>
        <v>0</v>
      </c>
      <c r="F46">
        <f>0</f>
        <v>0</v>
      </c>
      <c r="G46" s="4">
        <f t="shared" si="9"/>
        <v>0</v>
      </c>
      <c r="H46" s="4">
        <f t="shared" si="10"/>
        <v>0</v>
      </c>
    </row>
    <row r="47" spans="1:11">
      <c r="F47" t="s">
        <v>37</v>
      </c>
      <c r="G47" s="4">
        <f>SUM(G40:G46)</f>
        <v>-4.7394980566116498</v>
      </c>
      <c r="H47" s="4">
        <f>SUM(H40:H46)</f>
        <v>-1.0588297156227779</v>
      </c>
    </row>
    <row r="48" spans="1:11">
      <c r="G48" s="4"/>
      <c r="H48" s="4"/>
    </row>
    <row r="49" spans="7:8">
      <c r="H49" s="4"/>
    </row>
    <row r="50" spans="7:8">
      <c r="G50" s="4"/>
    </row>
    <row r="51" spans="7:8">
      <c r="G51" s="4"/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B1" workbookViewId="0">
      <selection activeCell="L29" sqref="L29"/>
    </sheetView>
  </sheetViews>
  <sheetFormatPr baseColWidth="10" defaultRowHeight="15" x14ac:dyDescent="0"/>
  <cols>
    <col min="1" max="1" width="19.83203125" customWidth="1"/>
    <col min="2" max="2" width="17.83203125" customWidth="1"/>
    <col min="6" max="6" width="32.6640625" customWidth="1"/>
    <col min="7" max="7" width="40.33203125" customWidth="1"/>
    <col min="8" max="8" width="15.1640625" customWidth="1"/>
    <col min="9" max="9" width="19.5" customWidth="1"/>
    <col min="10" max="10" width="17.1640625" customWidth="1"/>
    <col min="12" max="12" width="16" customWidth="1"/>
  </cols>
  <sheetData>
    <row r="1" spans="1:14">
      <c r="A1" t="s">
        <v>43</v>
      </c>
    </row>
    <row r="2" spans="1:14">
      <c r="F2" t="s">
        <v>57</v>
      </c>
    </row>
    <row r="3" spans="1:14">
      <c r="A3" t="s">
        <v>44</v>
      </c>
      <c r="B3">
        <v>0.55000000000000004</v>
      </c>
    </row>
    <row r="4" spans="1:14">
      <c r="A4" t="s">
        <v>46</v>
      </c>
      <c r="B4">
        <v>0.45</v>
      </c>
      <c r="F4" s="3" t="s">
        <v>58</v>
      </c>
      <c r="G4" s="3" t="s">
        <v>59</v>
      </c>
      <c r="H4" s="3" t="s">
        <v>47</v>
      </c>
      <c r="I4" s="3" t="s">
        <v>34</v>
      </c>
      <c r="J4" s="3" t="s">
        <v>32</v>
      </c>
      <c r="K4" s="3" t="s">
        <v>33</v>
      </c>
      <c r="L4" s="3" t="s">
        <v>35</v>
      </c>
      <c r="M4" s="6" t="s">
        <v>36</v>
      </c>
      <c r="N4" s="6"/>
    </row>
    <row r="5" spans="1:14">
      <c r="F5" s="3" t="s">
        <v>64</v>
      </c>
      <c r="G5" s="3" t="s">
        <v>60</v>
      </c>
      <c r="H5" s="3">
        <f>0.45</f>
        <v>0.45</v>
      </c>
      <c r="I5" s="2">
        <f>LN(H5)</f>
        <v>-0.79850769621777162</v>
      </c>
      <c r="J5" s="3">
        <v>40</v>
      </c>
      <c r="K5" s="2">
        <v>0.04</v>
      </c>
      <c r="L5" s="2">
        <f>I5*J5</f>
        <v>-31.940307848710866</v>
      </c>
      <c r="M5" s="2">
        <f>I5*K5</f>
        <v>-3.1940307848710867E-2</v>
      </c>
      <c r="N5" s="3"/>
    </row>
    <row r="6" spans="1:14">
      <c r="A6" t="s">
        <v>45</v>
      </c>
      <c r="B6">
        <f>1+B4-B4/B3</f>
        <v>0.63181818181818183</v>
      </c>
      <c r="F6" s="3" t="s">
        <v>64</v>
      </c>
      <c r="G6" s="3" t="s">
        <v>61</v>
      </c>
      <c r="H6" s="3">
        <v>0.63</v>
      </c>
      <c r="I6" s="2">
        <f t="shared" ref="I6:I10" si="0">LN(H6)</f>
        <v>-0.46203545959655867</v>
      </c>
      <c r="J6" s="3">
        <v>60</v>
      </c>
      <c r="K6" s="2">
        <v>0.06</v>
      </c>
      <c r="L6" s="2">
        <f t="shared" ref="L6:L10" si="1">I6*J6</f>
        <v>-27.722127575793522</v>
      </c>
      <c r="M6" s="2">
        <f t="shared" ref="M6:M10" si="2">I6*K6</f>
        <v>-2.772212757579352E-2</v>
      </c>
      <c r="N6" s="3"/>
    </row>
    <row r="7" spans="1:14">
      <c r="F7" s="3" t="s">
        <v>64</v>
      </c>
      <c r="G7" s="3" t="s">
        <v>52</v>
      </c>
      <c r="H7" s="3">
        <f>0.55</f>
        <v>0.55000000000000004</v>
      </c>
      <c r="I7" s="2">
        <f t="shared" si="0"/>
        <v>-0.59783700075562041</v>
      </c>
      <c r="J7" s="3">
        <v>450</v>
      </c>
      <c r="K7" s="2">
        <v>0.45</v>
      </c>
      <c r="L7" s="2">
        <f t="shared" si="1"/>
        <v>-269.02665034002916</v>
      </c>
      <c r="M7" s="2">
        <f t="shared" si="2"/>
        <v>-0.26902665034002921</v>
      </c>
      <c r="N7" s="3"/>
    </row>
    <row r="8" spans="1:14">
      <c r="F8" s="3" t="s">
        <v>64</v>
      </c>
      <c r="G8" s="3" t="s">
        <v>62</v>
      </c>
      <c r="H8" s="3">
        <f>0.55</f>
        <v>0.55000000000000004</v>
      </c>
      <c r="I8" s="2">
        <f t="shared" si="0"/>
        <v>-0.59783700075562041</v>
      </c>
      <c r="J8" s="3">
        <v>450</v>
      </c>
      <c r="K8" s="2">
        <v>0.45</v>
      </c>
      <c r="L8" s="2">
        <f t="shared" si="1"/>
        <v>-269.02665034002916</v>
      </c>
      <c r="M8" s="2">
        <f t="shared" si="2"/>
        <v>-0.26902665034002921</v>
      </c>
      <c r="N8" s="3"/>
    </row>
    <row r="9" spans="1:14">
      <c r="F9" s="3" t="s">
        <v>49</v>
      </c>
      <c r="G9" s="3" t="s">
        <v>64</v>
      </c>
      <c r="H9" s="3">
        <f>0.6</f>
        <v>0.6</v>
      </c>
      <c r="I9" s="2">
        <f t="shared" si="0"/>
        <v>-0.51082562376599072</v>
      </c>
      <c r="J9" s="3">
        <v>1</v>
      </c>
      <c r="K9" s="2">
        <v>1</v>
      </c>
      <c r="L9" s="2">
        <f t="shared" si="1"/>
        <v>-0.51082562376599072</v>
      </c>
      <c r="M9" s="2">
        <f t="shared" si="2"/>
        <v>-0.51082562376599072</v>
      </c>
      <c r="N9" s="3"/>
    </row>
    <row r="10" spans="1:14">
      <c r="F10" s="3" t="s">
        <v>63</v>
      </c>
      <c r="G10" s="3" t="s">
        <v>65</v>
      </c>
      <c r="H10" s="3">
        <f>0.4</f>
        <v>0.4</v>
      </c>
      <c r="I10" s="2">
        <f t="shared" si="0"/>
        <v>-0.916290731874155</v>
      </c>
      <c r="J10" s="3">
        <v>0</v>
      </c>
      <c r="K10" s="2">
        <v>0</v>
      </c>
      <c r="L10" s="2">
        <f t="shared" si="1"/>
        <v>0</v>
      </c>
      <c r="M10" s="2">
        <f t="shared" si="2"/>
        <v>0</v>
      </c>
      <c r="N10" s="3"/>
    </row>
    <row r="11" spans="1:14">
      <c r="F11" s="3"/>
      <c r="G11" s="3"/>
      <c r="H11" s="3"/>
      <c r="I11" s="3"/>
      <c r="J11" s="3"/>
      <c r="K11" s="3" t="s">
        <v>37</v>
      </c>
      <c r="L11" s="4">
        <f>SUM(L5:L10)</f>
        <v>-598.22656172832865</v>
      </c>
      <c r="M11" s="2">
        <f>SUM(M5:M10)</f>
        <v>-1.1085413598705536</v>
      </c>
      <c r="N11" s="3"/>
    </row>
    <row r="13" spans="1:14">
      <c r="F13" t="s">
        <v>7</v>
      </c>
    </row>
    <row r="15" spans="1:14">
      <c r="F15" t="s">
        <v>41</v>
      </c>
    </row>
    <row r="17" spans="6:13">
      <c r="F17" t="s">
        <v>58</v>
      </c>
      <c r="G17" t="s">
        <v>59</v>
      </c>
      <c r="H17" t="s">
        <v>47</v>
      </c>
      <c r="I17" t="s">
        <v>34</v>
      </c>
      <c r="J17" t="s">
        <v>32</v>
      </c>
      <c r="K17" t="s">
        <v>33</v>
      </c>
      <c r="L17" t="s">
        <v>35</v>
      </c>
      <c r="M17" t="s">
        <v>36</v>
      </c>
    </row>
    <row r="18" spans="6:13">
      <c r="F18" t="s">
        <v>64</v>
      </c>
      <c r="G18" t="s">
        <v>60</v>
      </c>
      <c r="H18" s="3">
        <f>0.45</f>
        <v>0.45</v>
      </c>
      <c r="I18">
        <f>LN(H18)</f>
        <v>-0.79850769621777162</v>
      </c>
      <c r="J18">
        <f>40</f>
        <v>40</v>
      </c>
      <c r="K18">
        <f>J18/100</f>
        <v>0.4</v>
      </c>
      <c r="L18">
        <f t="shared" ref="L18:L21" si="3">I18*J18</f>
        <v>-31.940307848710866</v>
      </c>
      <c r="M18">
        <f t="shared" ref="M18:M21" si="4">I18*K18</f>
        <v>-0.31940307848710869</v>
      </c>
    </row>
    <row r="19" spans="6:13">
      <c r="F19" t="s">
        <v>64</v>
      </c>
      <c r="G19" t="s">
        <v>61</v>
      </c>
      <c r="H19" s="3">
        <v>0.63</v>
      </c>
      <c r="I19">
        <f t="shared" ref="I19:I21" si="5">LN(H19)</f>
        <v>-0.46203545959655867</v>
      </c>
      <c r="J19">
        <f>60</f>
        <v>60</v>
      </c>
      <c r="K19">
        <f>J19/100</f>
        <v>0.6</v>
      </c>
      <c r="L19">
        <f t="shared" si="3"/>
        <v>-27.722127575793522</v>
      </c>
      <c r="M19">
        <f t="shared" si="4"/>
        <v>-0.2772212757579352</v>
      </c>
    </row>
    <row r="20" spans="6:13">
      <c r="F20" t="s">
        <v>49</v>
      </c>
      <c r="G20" t="s">
        <v>42</v>
      </c>
      <c r="H20">
        <f>0.6</f>
        <v>0.6</v>
      </c>
      <c r="I20">
        <f t="shared" si="5"/>
        <v>-0.51082562376599072</v>
      </c>
      <c r="J20">
        <f>1</f>
        <v>1</v>
      </c>
      <c r="K20">
        <f>J20</f>
        <v>1</v>
      </c>
      <c r="L20">
        <f t="shared" si="3"/>
        <v>-0.51082562376599072</v>
      </c>
      <c r="M20">
        <f t="shared" si="4"/>
        <v>-0.51082562376599072</v>
      </c>
    </row>
    <row r="21" spans="6:13">
      <c r="F21" t="s">
        <v>63</v>
      </c>
      <c r="G21" t="s">
        <v>42</v>
      </c>
      <c r="H21">
        <f>0.4</f>
        <v>0.4</v>
      </c>
      <c r="I21">
        <f t="shared" si="5"/>
        <v>-0.916290731874155</v>
      </c>
      <c r="J21">
        <f>0</f>
        <v>0</v>
      </c>
      <c r="K21">
        <f>J21</f>
        <v>0</v>
      </c>
      <c r="L21">
        <f t="shared" si="3"/>
        <v>0</v>
      </c>
      <c r="M21">
        <f t="shared" si="4"/>
        <v>0</v>
      </c>
    </row>
    <row r="22" spans="6:13">
      <c r="K22" t="s">
        <v>37</v>
      </c>
      <c r="L22">
        <f>SUM(L18:L21)</f>
        <v>-60.173261048270376</v>
      </c>
      <c r="M22">
        <f>SUM(M18:M21)</f>
        <v>-1.1074499780110347</v>
      </c>
    </row>
    <row r="24" spans="6:13">
      <c r="F24" t="s">
        <v>9</v>
      </c>
    </row>
    <row r="26" spans="6:13">
      <c r="F26" t="s">
        <v>54</v>
      </c>
    </row>
    <row r="28" spans="6:13">
      <c r="F28" t="s">
        <v>58</v>
      </c>
      <c r="G28" t="s">
        <v>59</v>
      </c>
      <c r="H28" t="s">
        <v>47</v>
      </c>
      <c r="I28" t="s">
        <v>55</v>
      </c>
      <c r="J28" t="s">
        <v>32</v>
      </c>
      <c r="K28" t="s">
        <v>33</v>
      </c>
      <c r="L28" t="s">
        <v>35</v>
      </c>
      <c r="M28" t="s">
        <v>36</v>
      </c>
    </row>
    <row r="29" spans="6:13">
      <c r="F29" t="s">
        <v>64</v>
      </c>
      <c r="G29" t="s">
        <v>60</v>
      </c>
      <c r="H29" s="3">
        <f>0.45</f>
        <v>0.45</v>
      </c>
      <c r="I29">
        <f>LN(H29)-LN(H33)</f>
        <v>-0.20067069546215122</v>
      </c>
      <c r="J29">
        <f>40</f>
        <v>40</v>
      </c>
      <c r="K29">
        <f>J29/100</f>
        <v>0.4</v>
      </c>
      <c r="L29">
        <f t="shared" ref="L29:L32" si="6">I29*J29</f>
        <v>-8.0268278184860478</v>
      </c>
      <c r="M29">
        <f t="shared" ref="M29:M32" si="7">I29*K29</f>
        <v>-8.0268278184860486E-2</v>
      </c>
    </row>
    <row r="30" spans="6:13">
      <c r="F30" t="s">
        <v>64</v>
      </c>
      <c r="G30" t="s">
        <v>61</v>
      </c>
      <c r="H30" s="3">
        <v>0.63</v>
      </c>
      <c r="I30">
        <f>LN(H30)-LN(H33)</f>
        <v>0.13580154115906173</v>
      </c>
      <c r="J30">
        <f>60</f>
        <v>60</v>
      </c>
      <c r="K30">
        <f>J30/100</f>
        <v>0.6</v>
      </c>
      <c r="L30">
        <f t="shared" si="6"/>
        <v>8.1480924695437036</v>
      </c>
      <c r="M30">
        <f t="shared" si="7"/>
        <v>8.1480924695437038E-2</v>
      </c>
    </row>
    <row r="31" spans="6:13">
      <c r="F31" t="s">
        <v>49</v>
      </c>
      <c r="G31" t="s">
        <v>64</v>
      </c>
      <c r="H31">
        <f>0.6</f>
        <v>0.6</v>
      </c>
      <c r="I31">
        <f>LN(H31)-LN(H34)</f>
        <v>-0.15415067982725827</v>
      </c>
      <c r="J31">
        <f>1</f>
        <v>1</v>
      </c>
      <c r="K31">
        <f>J31</f>
        <v>1</v>
      </c>
      <c r="L31">
        <f t="shared" si="6"/>
        <v>-0.15415067982725827</v>
      </c>
      <c r="M31">
        <f t="shared" si="7"/>
        <v>-0.15415067982725827</v>
      </c>
    </row>
    <row r="32" spans="6:13">
      <c r="F32" t="s">
        <v>63</v>
      </c>
      <c r="G32" t="s">
        <v>64</v>
      </c>
      <c r="H32">
        <f>0.4</f>
        <v>0.4</v>
      </c>
      <c r="I32">
        <f>LN(H32)-LN(H35)</f>
        <v>0.28768207245178112</v>
      </c>
      <c r="J32">
        <f>0</f>
        <v>0</v>
      </c>
      <c r="K32">
        <f>J32</f>
        <v>0</v>
      </c>
      <c r="L32">
        <f t="shared" si="6"/>
        <v>0</v>
      </c>
      <c r="M32">
        <f t="shared" si="7"/>
        <v>0</v>
      </c>
    </row>
    <row r="33" spans="6:13">
      <c r="F33" t="s">
        <v>64</v>
      </c>
      <c r="G33" t="s">
        <v>56</v>
      </c>
      <c r="H33">
        <f>0.55</f>
        <v>0.55000000000000004</v>
      </c>
      <c r="J33">
        <f>1</f>
        <v>1</v>
      </c>
      <c r="K33">
        <f>1</f>
        <v>1</v>
      </c>
      <c r="L33">
        <f>J33*LN(H33)</f>
        <v>-0.59783700075562041</v>
      </c>
      <c r="M33">
        <f>K33*LN(H33)</f>
        <v>-0.59783700075562041</v>
      </c>
    </row>
    <row r="34" spans="6:13">
      <c r="F34" t="s">
        <v>49</v>
      </c>
      <c r="H34">
        <f>0.7</f>
        <v>0.7</v>
      </c>
      <c r="J34">
        <f>1</f>
        <v>1</v>
      </c>
      <c r="K34">
        <f>1</f>
        <v>1</v>
      </c>
      <c r="L34">
        <f t="shared" ref="L34:L35" si="8">J34*LN(H34)</f>
        <v>-0.35667494393873245</v>
      </c>
      <c r="M34">
        <f t="shared" ref="M34:M35" si="9">K34*LN(H34)</f>
        <v>-0.35667494393873245</v>
      </c>
    </row>
    <row r="35" spans="6:13">
      <c r="F35" t="s">
        <v>63</v>
      </c>
      <c r="H35">
        <v>0.3</v>
      </c>
      <c r="J35">
        <f>0</f>
        <v>0</v>
      </c>
      <c r="K35">
        <f>0</f>
        <v>0</v>
      </c>
      <c r="L35">
        <f t="shared" si="8"/>
        <v>0</v>
      </c>
      <c r="M35">
        <f t="shared" si="9"/>
        <v>0</v>
      </c>
    </row>
    <row r="36" spans="6:13">
      <c r="K36" t="s">
        <v>37</v>
      </c>
      <c r="L36">
        <f>SUM(L29:L35)</f>
        <v>-0.9873979734639553</v>
      </c>
      <c r="M36">
        <f>SUM(M29:M35)</f>
        <v>-1.1074499780110345</v>
      </c>
    </row>
  </sheetData>
  <mergeCells count="1">
    <mergeCell ref="M4:N4"/>
  </mergeCells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view="pageLayout" workbookViewId="0">
      <selection activeCell="B4" sqref="B4:D11"/>
    </sheetView>
  </sheetViews>
  <sheetFormatPr baseColWidth="10" defaultRowHeight="15" x14ac:dyDescent="0"/>
  <cols>
    <col min="2" max="2" width="30.83203125" customWidth="1"/>
    <col min="3" max="3" width="29.83203125" customWidth="1"/>
    <col min="4" max="4" width="45.5" customWidth="1"/>
  </cols>
  <sheetData>
    <row r="1" spans="1:4">
      <c r="B1" t="s">
        <v>66</v>
      </c>
    </row>
    <row r="3" spans="1:4">
      <c r="A3" t="s">
        <v>3</v>
      </c>
      <c r="B3" t="s">
        <v>0</v>
      </c>
      <c r="C3" t="s">
        <v>1</v>
      </c>
      <c r="D3" t="s">
        <v>2</v>
      </c>
    </row>
    <row r="4" spans="1:4">
      <c r="A4" t="s">
        <v>4</v>
      </c>
      <c r="B4" s="1">
        <f>w!G22</f>
        <v>-802.44868657816551</v>
      </c>
      <c r="C4" s="1">
        <f>m!L11</f>
        <v>-598.22656172832865</v>
      </c>
      <c r="D4" s="1">
        <f>B4-C4</f>
        <v>-204.22212484983686</v>
      </c>
    </row>
    <row r="5" spans="1:4">
      <c r="A5" t="s">
        <v>5</v>
      </c>
      <c r="B5" s="1">
        <f>w!H22</f>
        <v>-1.0253690943410609</v>
      </c>
      <c r="C5" s="1">
        <f>m!M11</f>
        <v>-1.1085413598705536</v>
      </c>
      <c r="D5" s="1">
        <f>B5-C5</f>
        <v>8.3172265529492639E-2</v>
      </c>
    </row>
    <row r="6" spans="1:4">
      <c r="A6" t="s">
        <v>6</v>
      </c>
      <c r="B6" s="1"/>
      <c r="C6" s="1"/>
      <c r="D6" s="1"/>
    </row>
    <row r="7" spans="1:4">
      <c r="A7" t="s">
        <v>4</v>
      </c>
      <c r="B7" s="1">
        <f>w!G36</f>
        <v>-83.791759982171044</v>
      </c>
      <c r="C7" s="1">
        <f>m!L22</f>
        <v>-60.173261048270376</v>
      </c>
      <c r="D7" s="1">
        <f>B7-C7</f>
        <v>-23.618498933900668</v>
      </c>
    </row>
    <row r="8" spans="1:4">
      <c r="A8" t="s">
        <v>5</v>
      </c>
      <c r="B8" s="1">
        <f>w!E12+w!H36</f>
        <v>-1.0588297156227782</v>
      </c>
      <c r="C8" s="1">
        <f>m!M22</f>
        <v>-1.1074499780110347</v>
      </c>
      <c r="D8" s="1">
        <f>B8-C8</f>
        <v>4.8620262388256563E-2</v>
      </c>
    </row>
    <row r="9" spans="1:4">
      <c r="A9" t="s">
        <v>8</v>
      </c>
      <c r="B9" s="1"/>
      <c r="C9" s="1"/>
      <c r="D9" s="1"/>
    </row>
    <row r="10" spans="1:4">
      <c r="A10" t="s">
        <v>4</v>
      </c>
      <c r="B10" s="1">
        <f>w!G47</f>
        <v>-4.7394980566116498</v>
      </c>
      <c r="C10" s="1">
        <f>m!L36</f>
        <v>-0.9873979734639553</v>
      </c>
      <c r="D10" s="1">
        <f>B10-C10</f>
        <v>-3.7521000831476945</v>
      </c>
    </row>
    <row r="11" spans="1:4">
      <c r="A11" t="s">
        <v>5</v>
      </c>
      <c r="B11" s="1">
        <f>w!H47</f>
        <v>-1.0588297156227779</v>
      </c>
      <c r="C11" s="1">
        <f>m!M36</f>
        <v>-1.1074499780110345</v>
      </c>
      <c r="D11" s="1">
        <f>B11-C11</f>
        <v>4.8620262388256563E-2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</vt:lpstr>
      <vt:lpstr>m</vt:lpstr>
      <vt:lpstr>w vs. m</vt:lpstr>
    </vt:vector>
  </TitlesOfParts>
  <Company>Simon Fraser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Schulte</dc:creator>
  <cp:lastModifiedBy>Oliver Schulte</cp:lastModifiedBy>
  <dcterms:created xsi:type="dcterms:W3CDTF">2013-06-03T20:55:53Z</dcterms:created>
  <dcterms:modified xsi:type="dcterms:W3CDTF">2016-04-19T01:38:42Z</dcterms:modified>
</cp:coreProperties>
</file>