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heckCompatibility="1" autoCompressPictures="0"/>
  <bookViews>
    <workbookView xWindow="3216" yWindow="24" windowWidth="44820" windowHeight="14616" tabRatio="500" activeTab="5"/>
  </bookViews>
  <sheets>
    <sheet name="w" sheetId="1" r:id="rId1"/>
    <sheet name="m" sheetId="2" r:id="rId2"/>
    <sheet name="w vs. m" sheetId="3" r:id="rId3"/>
    <sheet name="m_table" sheetId="5" r:id="rId4"/>
    <sheet name="w_table" sheetId="6" r:id="rId5"/>
    <sheet name="total" sheetId="7" r:id="rId6"/>
    <sheet name="random" sheetId="8" r:id="rId7"/>
    <sheet name="Sheet2" sheetId="10" r:id="rId8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8" l="1"/>
  <c r="F32" i="8"/>
  <c r="E7" i="10"/>
  <c r="F7" i="10" s="1"/>
  <c r="F5" i="10"/>
  <c r="E5" i="10"/>
  <c r="E4" i="10"/>
  <c r="F4" i="10" s="1"/>
  <c r="E2" i="10"/>
  <c r="F2" i="10" s="1"/>
  <c r="G21" i="8"/>
  <c r="F28" i="8"/>
  <c r="F29" i="8"/>
  <c r="F31" i="8"/>
  <c r="F26" i="8"/>
  <c r="G15" i="8"/>
  <c r="E31" i="8"/>
  <c r="E29" i="8"/>
  <c r="E28" i="8"/>
  <c r="E26" i="8"/>
  <c r="T13" i="7" l="1"/>
  <c r="T12" i="7"/>
  <c r="S12" i="7"/>
  <c r="R12" i="7"/>
  <c r="S10" i="7"/>
  <c r="R10" i="7"/>
  <c r="T10" i="7" s="1"/>
  <c r="S9" i="7"/>
  <c r="T9" i="7" s="1"/>
  <c r="R9" i="7"/>
  <c r="S7" i="7"/>
  <c r="R7" i="7"/>
  <c r="T7" i="7" s="1"/>
  <c r="E15" i="8"/>
  <c r="F15" i="8"/>
  <c r="E17" i="8"/>
  <c r="F17" i="8"/>
  <c r="G17" i="8" s="1"/>
  <c r="E18" i="8"/>
  <c r="F18" i="8"/>
  <c r="G18" i="8"/>
  <c r="E20" i="8"/>
  <c r="F20" i="8"/>
  <c r="G20" i="8"/>
  <c r="E7" i="8" l="1"/>
  <c r="D7" i="8"/>
  <c r="F7" i="8"/>
  <c r="E6" i="8"/>
  <c r="D6" i="8"/>
  <c r="F6" i="8" s="1"/>
  <c r="F16" i="7"/>
  <c r="G16" i="7"/>
  <c r="D16" i="7"/>
  <c r="C16" i="7"/>
  <c r="E15" i="7"/>
  <c r="G15" i="7"/>
  <c r="I15" i="7" s="1"/>
  <c r="C15" i="7"/>
  <c r="H15" i="7" s="1"/>
  <c r="D15" i="7"/>
  <c r="F14" i="7"/>
  <c r="E14" i="7"/>
  <c r="G14" i="7"/>
  <c r="H14" i="7" s="1"/>
  <c r="C14" i="7"/>
  <c r="D14" i="7" s="1"/>
  <c r="F13" i="7"/>
  <c r="G13" i="7"/>
  <c r="C13" i="7"/>
  <c r="D13" i="7"/>
  <c r="F12" i="7"/>
  <c r="E12" i="7"/>
  <c r="G12" i="7"/>
  <c r="I12" i="7" s="1"/>
  <c r="C12" i="7"/>
  <c r="H12" i="7" s="1"/>
  <c r="D12" i="7"/>
  <c r="I10" i="7"/>
  <c r="H10" i="7"/>
  <c r="I7" i="6"/>
  <c r="H7" i="6"/>
  <c r="F6" i="5"/>
  <c r="G6" i="5"/>
  <c r="I6" i="5" s="1"/>
  <c r="D6" i="5"/>
  <c r="C6" i="5"/>
  <c r="E5" i="5"/>
  <c r="G5" i="5" s="1"/>
  <c r="C5" i="5"/>
  <c r="D5" i="5"/>
  <c r="F4" i="5"/>
  <c r="E4" i="5"/>
  <c r="G4" i="5"/>
  <c r="H4" i="5" s="1"/>
  <c r="C4" i="5"/>
  <c r="D4" i="5"/>
  <c r="F3" i="5"/>
  <c r="G3" i="5"/>
  <c r="I3" i="5" s="1"/>
  <c r="C3" i="5"/>
  <c r="D3" i="5"/>
  <c r="F2" i="5"/>
  <c r="G2" i="5" s="1"/>
  <c r="E2" i="5"/>
  <c r="C2" i="5"/>
  <c r="D2" i="5" s="1"/>
  <c r="I13" i="7"/>
  <c r="H13" i="7"/>
  <c r="I16" i="7"/>
  <c r="H16" i="7"/>
  <c r="H3" i="5"/>
  <c r="I8" i="2"/>
  <c r="J8" i="2"/>
  <c r="K8" i="2"/>
  <c r="L8" i="2"/>
  <c r="M8" i="2"/>
  <c r="F35" i="1"/>
  <c r="H35" i="1" s="1"/>
  <c r="J43" i="1" s="1"/>
  <c r="C35" i="1"/>
  <c r="G35" i="1"/>
  <c r="F34" i="1"/>
  <c r="H34" i="1"/>
  <c r="G34" i="1"/>
  <c r="F33" i="1"/>
  <c r="C33" i="1"/>
  <c r="D33" i="1" s="1"/>
  <c r="H33" i="1" s="1"/>
  <c r="J41" i="1" s="1"/>
  <c r="F32" i="1"/>
  <c r="G32" i="1" s="1"/>
  <c r="L40" i="1"/>
  <c r="C32" i="1"/>
  <c r="D32" i="1" s="1"/>
  <c r="H32" i="1" s="1"/>
  <c r="G44" i="1"/>
  <c r="H44" i="1"/>
  <c r="I44" i="1"/>
  <c r="G43" i="1"/>
  <c r="I43" i="1"/>
  <c r="G42" i="1"/>
  <c r="I42" i="1"/>
  <c r="J42" i="1" s="1"/>
  <c r="G41" i="1"/>
  <c r="C41" i="1"/>
  <c r="H41" i="1"/>
  <c r="C40" i="1"/>
  <c r="D41" i="1"/>
  <c r="I41" i="1"/>
  <c r="G40" i="1"/>
  <c r="I40" i="1" s="1"/>
  <c r="I45" i="1" s="1"/>
  <c r="B4" i="3" s="1"/>
  <c r="H40" i="1"/>
  <c r="H45" i="1" s="1"/>
  <c r="D40" i="1"/>
  <c r="J5" i="2"/>
  <c r="K5" i="2"/>
  <c r="I5" i="2"/>
  <c r="K6" i="2"/>
  <c r="I6" i="2"/>
  <c r="M6" i="2"/>
  <c r="J7" i="2"/>
  <c r="K7" i="2"/>
  <c r="I7" i="2"/>
  <c r="M7" i="2"/>
  <c r="M9" i="2" s="1"/>
  <c r="J27" i="2"/>
  <c r="K27" i="2"/>
  <c r="L27" i="2"/>
  <c r="M27" i="2" s="1"/>
  <c r="H27" i="2"/>
  <c r="I27" i="2"/>
  <c r="K28" i="2"/>
  <c r="L28" i="2"/>
  <c r="H28" i="2"/>
  <c r="I28" i="2"/>
  <c r="J29" i="2"/>
  <c r="K29" i="2"/>
  <c r="L29" i="2"/>
  <c r="M29" i="2" s="1"/>
  <c r="H29" i="2"/>
  <c r="I29" i="2"/>
  <c r="N29" i="2"/>
  <c r="J30" i="2"/>
  <c r="L30" i="2"/>
  <c r="M30" i="2" s="1"/>
  <c r="H30" i="2"/>
  <c r="I30" i="2"/>
  <c r="K31" i="2"/>
  <c r="L31" i="2"/>
  <c r="M31" i="2" s="1"/>
  <c r="I31" i="2"/>
  <c r="H31" i="2"/>
  <c r="C43" i="1"/>
  <c r="H43" i="1" s="1"/>
  <c r="F9" i="1"/>
  <c r="D8" i="1"/>
  <c r="F8" i="1"/>
  <c r="D7" i="1"/>
  <c r="F7" i="1"/>
  <c r="F10" i="1"/>
  <c r="L6" i="2"/>
  <c r="L9" i="2" s="1"/>
  <c r="L7" i="2"/>
  <c r="B6" i="2"/>
  <c r="M5" i="2"/>
  <c r="L5" i="2"/>
  <c r="N28" i="2"/>
  <c r="M28" i="2"/>
  <c r="H42" i="1"/>
  <c r="H5" i="5" l="1"/>
  <c r="I5" i="5"/>
  <c r="M32" i="2"/>
  <c r="I2" i="5"/>
  <c r="I7" i="5" s="1"/>
  <c r="H2" i="5"/>
  <c r="H17" i="7"/>
  <c r="J40" i="1"/>
  <c r="H36" i="1"/>
  <c r="I14" i="7"/>
  <c r="I17" i="7" s="1"/>
  <c r="N27" i="2"/>
  <c r="N32" i="2" s="1"/>
  <c r="C4" i="3" s="1"/>
  <c r="D4" i="3" s="1"/>
  <c r="G33" i="1"/>
  <c r="G36" i="1" s="1"/>
  <c r="H6" i="5"/>
  <c r="N31" i="2"/>
  <c r="I4" i="5"/>
  <c r="N30" i="2"/>
  <c r="A50" i="1" l="1"/>
  <c r="J44" i="1"/>
  <c r="H7" i="5"/>
  <c r="L15" i="2"/>
</calcChain>
</file>

<file path=xl/sharedStrings.xml><?xml version="1.0" encoding="utf-8"?>
<sst xmlns="http://schemas.openxmlformats.org/spreadsheetml/2006/main" count="321" uniqueCount="95">
  <si>
    <t>Log-difference Regression</t>
    <phoneticPr fontId="4" type="noConversion"/>
  </si>
  <si>
    <t>Example computations for regression paper</t>
  </si>
  <si>
    <t>Grounding</t>
  </si>
  <si>
    <t>Y= sam</t>
  </si>
  <si>
    <t>Y= anna</t>
  </si>
  <si>
    <t>Y= bob</t>
  </si>
  <si>
    <t>Factor 1</t>
  </si>
  <si>
    <t>Factor 2</t>
  </si>
  <si>
    <t>Log(Product)</t>
  </si>
  <si>
    <t>coffee_drinker</t>
  </si>
  <si>
    <t>Random regression</t>
  </si>
  <si>
    <t>Relevant regression</t>
  </si>
  <si>
    <t>Solve for Bayes net parameters</t>
  </si>
  <si>
    <t>P(man)</t>
  </si>
  <si>
    <t>P(Man|male friend)</t>
  </si>
  <si>
    <t>P(Man|female friend)</t>
  </si>
  <si>
    <t>$\it{CoffeeDr}(sam) = \true$</t>
  </si>
  <si>
    <t>Log-difference</t>
  </si>
  <si>
    <t>n/a</t>
  </si>
  <si>
    <t>Regression Values for Sam being male</t>
    <phoneticPr fontId="4" type="noConversion"/>
  </si>
  <si>
    <t>Child Node Value</t>
  </si>
  <si>
    <t>Parent State</t>
  </si>
  <si>
    <t>$\it{gender}(\Y) = W, \it{Friend}(sam,\Y) = \true$</t>
  </si>
  <si>
    <t>$\it{gender}(\Y) = M, \it{Friend}(sam,\Y) = \true$</t>
  </si>
  <si>
    <t>$\it{CoffeeDr}(sam) = \false$</t>
  </si>
  <si>
    <t>$\it{gender}(sam) = M$</t>
    <phoneticPr fontId="4" type="noConversion"/>
  </si>
  <si>
    <t>$\it{gender}(sam) = M$</t>
    <phoneticPr fontId="4" type="noConversion"/>
  </si>
  <si>
    <t>comparing predicted gender</t>
    <phoneticPr fontId="4" type="noConversion"/>
  </si>
  <si>
    <t>Relevant Frequencies</t>
  </si>
  <si>
    <t>Relevant Count</t>
  </si>
  <si>
    <t xml:space="preserve">log(cp) </t>
  </si>
  <si>
    <t>Conditional Probability</t>
  </si>
  <si>
    <t>weight = log(cp)</t>
  </si>
  <si>
    <t>weight x count</t>
  </si>
  <si>
    <t>weight x frequency</t>
  </si>
  <si>
    <t>Prior Probability</t>
  </si>
  <si>
    <t>weight = log(cp)-log(prior) or log(prior)</t>
  </si>
  <si>
    <t>Child Node Value</t>
    <phoneticPr fontId="4" type="noConversion"/>
  </si>
  <si>
    <t>Parent State</t>
    <phoneticPr fontId="4" type="noConversion"/>
  </si>
  <si>
    <t>$\it{gender}(sam) = W$</t>
    <phoneticPr fontId="4" type="noConversion"/>
  </si>
  <si>
    <t>$\it{gender}(\Y) = W, \it{Friend}(sam,\Y) = \true$</t>
    <phoneticPr fontId="4" type="noConversion"/>
  </si>
  <si>
    <t>$\it{gender}(\Y) = M, \it{Friend}(sam,\Y) = \true$</t>
    <phoneticPr fontId="4" type="noConversion"/>
  </si>
  <si>
    <t>$\it{CoffeeDr}(sam) = \true$</t>
    <phoneticPr fontId="4" type="noConversion"/>
  </si>
  <si>
    <t>$\it{gender}(sam) = W$</t>
    <phoneticPr fontId="4" type="noConversion"/>
  </si>
  <si>
    <t>$\it{CoffeeDr}(sam) = \false$</t>
    <phoneticPr fontId="4" type="noConversion"/>
  </si>
  <si>
    <t>Total</t>
  </si>
  <si>
    <t>log-ilnear sum for P(sam|MB) = W</t>
  </si>
  <si>
    <t>log-ilnear sum for P(sam|MB) = M</t>
  </si>
  <si>
    <t>log-ratio = column1 - column2</t>
  </si>
  <si>
    <t>difference between frequency regressions</t>
  </si>
  <si>
    <t>diff between frequency regressions</t>
  </si>
  <si>
    <t>diff between frequencies</t>
  </si>
  <si>
    <t>count</t>
  </si>
  <si>
    <t>frequency</t>
  </si>
  <si>
    <t>log-difference frequency</t>
  </si>
  <si>
    <t>log-difference count</t>
  </si>
  <si>
    <t>gender(sam) = M</t>
  </si>
  <si>
    <t>CoffeeDr(sam) = T</t>
  </si>
  <si>
    <t>CoffeeDr(sam) = F</t>
  </si>
  <si>
    <t>Sum</t>
  </si>
  <si>
    <t>gender(sam) = W</t>
  </si>
  <si>
    <t>Random Regression</t>
  </si>
  <si>
    <t>Count</t>
  </si>
  <si>
    <t>CP1</t>
  </si>
  <si>
    <t>CP2</t>
  </si>
  <si>
    <t>Count*(ln(CP1)+ln(CP2))</t>
  </si>
  <si>
    <t>y1</t>
  </si>
  <si>
    <t>...</t>
  </si>
  <si>
    <t>y40</t>
  </si>
  <si>
    <t>y41</t>
  </si>
  <si>
    <t>y100</t>
  </si>
  <si>
    <t>Average</t>
  </si>
  <si>
    <t>Relevant FrequencB</t>
  </si>
  <si>
    <t>Conditional ProbabilitB</t>
  </si>
  <si>
    <t>Prior ProbabilitB</t>
  </si>
  <si>
    <t>weight x frequencB</t>
  </si>
  <si>
    <t>gender(B) = W, Friend(sam,B) = T</t>
  </si>
  <si>
    <t>gender(B) = M, Friend(sam,B) = T</t>
  </si>
  <si>
    <t>g(sam) = W</t>
  </si>
  <si>
    <t>g(sam) = M</t>
  </si>
  <si>
    <t>g(B) = W, F(sam,B) = T</t>
  </si>
  <si>
    <t>g(B) = M, F(sam,B) = T</t>
  </si>
  <si>
    <t>cd(sam) = T</t>
  </si>
  <si>
    <t>cd(sam) = F</t>
  </si>
  <si>
    <t>Random regression for g(sam) = W</t>
  </si>
  <si>
    <t>P(cd(sam) = T|g(sam)=W)</t>
  </si>
  <si>
    <t>P(g(sam) = W|g(Y) = W, F(sam,Y) = T)</t>
  </si>
  <si>
    <t>P(g(sam) = W|g(Y) = M, F(sam,Y) = T)</t>
  </si>
  <si>
    <t>P(g(sam) = W|g(B) = W, F(sam,B) = T)</t>
  </si>
  <si>
    <t>P(g(sam) = W|g(B) = M, F(sam,B) = T)</t>
  </si>
  <si>
    <t xml:space="preserve"> (ln(CP1)+ln(CP2))   * Count </t>
  </si>
  <si>
    <t>log-diff-example</t>
  </si>
  <si>
    <t>random</t>
  </si>
  <si>
    <t>ln(CP1)+ln(CP2)</t>
  </si>
  <si>
    <t>Relevant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</si>
</sst>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indexed="8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2" fontId="5" fillId="0" borderId="0" xfId="0" applyNumberFormat="1" applyFont="1"/>
    <xf numFmtId="0" fontId="5" fillId="0" borderId="0" xfId="0" applyFont="1"/>
    <xf numFmtId="2" fontId="0" fillId="0" borderId="0" xfId="0" applyNumberFormat="1"/>
    <xf numFmtId="0" fontId="3" fillId="0" borderId="0" xfId="0" applyFont="1"/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0" fontId="3" fillId="0" borderId="0" xfId="0" applyFont="1" applyAlignment="1"/>
    <xf numFmtId="0" fontId="3" fillId="0" borderId="0" xfId="0" applyFont="1"/>
    <xf numFmtId="164" fontId="6" fillId="0" borderId="0" xfId="0" applyNumberFormat="1" applyFont="1"/>
    <xf numFmtId="164" fontId="7" fillId="0" borderId="0" xfId="0" applyNumberFormat="1" applyFont="1"/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Font="1"/>
    <xf numFmtId="0" fontId="6" fillId="0" borderId="0" xfId="0" applyFont="1" applyBorder="1" applyAlignment="1">
      <alignment wrapText="1"/>
    </xf>
    <xf numFmtId="0" fontId="8" fillId="0" borderId="0" xfId="0" applyFont="1" applyBorder="1" applyAlignment="1">
      <alignment horizontal="center" wrapText="1"/>
    </xf>
    <xf numFmtId="164" fontId="7" fillId="0" borderId="0" xfId="0" applyNumberFormat="1" applyFont="1" applyBorder="1" applyAlignment="1">
      <alignment horizontal="center" wrapText="1"/>
    </xf>
    <xf numFmtId="164" fontId="7" fillId="0" borderId="0" xfId="0" applyNumberFormat="1" applyFont="1" applyBorder="1" applyAlignment="1">
      <alignment horizontal="center" vertical="center" wrapText="1"/>
    </xf>
    <xf numFmtId="0" fontId="0" fillId="0" borderId="2" xfId="0" applyFont="1" applyBorder="1"/>
    <xf numFmtId="0" fontId="0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2" fontId="7" fillId="0" borderId="0" xfId="0" applyNumberFormat="1" applyFo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5" fillId="0" borderId="0" xfId="0" applyFont="1"/>
    <xf numFmtId="0" fontId="3" fillId="0" borderId="0" xfId="0" applyFon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L50"/>
  <sheetViews>
    <sheetView topLeftCell="A21" workbookViewId="0">
      <selection activeCell="H36" sqref="H36"/>
    </sheetView>
  </sheetViews>
  <sheetFormatPr defaultColWidth="11.19921875" defaultRowHeight="15.6" x14ac:dyDescent="0.3"/>
  <cols>
    <col min="1" max="1" width="30.69921875" customWidth="1"/>
    <col min="2" max="2" width="41.5" customWidth="1"/>
    <col min="3" max="3" width="17.19921875" customWidth="1"/>
    <col min="4" max="4" width="21.796875" customWidth="1"/>
    <col min="5" max="5" width="20.69921875" customWidth="1"/>
    <col min="6" max="6" width="20.19921875" customWidth="1"/>
    <col min="7" max="7" width="38.296875" customWidth="1"/>
    <col min="8" max="8" width="35" customWidth="1"/>
    <col min="9" max="9" width="20.796875" customWidth="1"/>
    <col min="10" max="10" width="30.296875" customWidth="1"/>
  </cols>
  <sheetData>
    <row r="2" spans="1:11" x14ac:dyDescent="0.3">
      <c r="A2" t="s">
        <v>1</v>
      </c>
    </row>
    <row r="3" spans="1:11" x14ac:dyDescent="0.3">
      <c r="D3" t="s">
        <v>10</v>
      </c>
    </row>
    <row r="4" spans="1:11" x14ac:dyDescent="0.3">
      <c r="D4" t="s">
        <v>9</v>
      </c>
    </row>
    <row r="5" spans="1:11" x14ac:dyDescent="0.3">
      <c r="A5" t="s">
        <v>2</v>
      </c>
      <c r="D5" t="s">
        <v>6</v>
      </c>
      <c r="E5" t="s">
        <v>7</v>
      </c>
      <c r="F5" t="s">
        <v>8</v>
      </c>
    </row>
    <row r="7" spans="1:11" x14ac:dyDescent="0.3">
      <c r="A7" t="s">
        <v>4</v>
      </c>
      <c r="D7">
        <f>0.2</f>
        <v>0.2</v>
      </c>
      <c r="E7">
        <v>0.7</v>
      </c>
      <c r="F7" s="4">
        <f>LN(D7*E7)</f>
        <v>-1.966112856372833</v>
      </c>
    </row>
    <row r="8" spans="1:11" x14ac:dyDescent="0.3">
      <c r="A8" t="s">
        <v>5</v>
      </c>
      <c r="D8">
        <f>0.2</f>
        <v>0.2</v>
      </c>
      <c r="E8">
        <v>0.3</v>
      </c>
      <c r="F8" s="4">
        <f t="shared" ref="F8:F9" si="0">LN(D8*E8)</f>
        <v>-2.8134107167600364</v>
      </c>
    </row>
    <row r="9" spans="1:11" x14ac:dyDescent="0.3">
      <c r="A9" s="9" t="s">
        <v>3</v>
      </c>
      <c r="B9" s="9"/>
      <c r="C9" s="9"/>
      <c r="D9" s="9">
        <v>0.2</v>
      </c>
      <c r="E9" s="9">
        <v>0.5</v>
      </c>
      <c r="F9" s="4">
        <f t="shared" si="0"/>
        <v>-2.3025850929940455</v>
      </c>
    </row>
    <row r="10" spans="1:11" x14ac:dyDescent="0.3">
      <c r="F10" s="4">
        <f>AVERAGE(F7:F9)</f>
        <v>-2.3607028887089716</v>
      </c>
    </row>
    <row r="11" spans="1:11" x14ac:dyDescent="0.3">
      <c r="F11" s="4"/>
    </row>
    <row r="15" spans="1:11" x14ac:dyDescent="0.3">
      <c r="F15" s="9"/>
      <c r="G15" s="9"/>
    </row>
    <row r="16" spans="1:11" x14ac:dyDescent="0.3">
      <c r="E16" s="4"/>
      <c r="G16" s="4"/>
      <c r="H16" s="4"/>
      <c r="I16" s="4"/>
      <c r="K16" s="4"/>
    </row>
    <row r="17" spans="1:11" x14ac:dyDescent="0.3">
      <c r="E17" s="4"/>
      <c r="G17" s="4"/>
      <c r="H17" s="4"/>
      <c r="I17" s="4"/>
      <c r="K17" s="4"/>
    </row>
    <row r="18" spans="1:11" x14ac:dyDescent="0.3">
      <c r="E18" s="4"/>
      <c r="G18" s="4"/>
      <c r="H18" s="4"/>
      <c r="I18" s="4"/>
      <c r="K18" s="4"/>
    </row>
    <row r="19" spans="1:11" x14ac:dyDescent="0.3">
      <c r="E19" s="4"/>
      <c r="G19" s="4"/>
      <c r="H19" s="4"/>
      <c r="I19" s="4"/>
      <c r="K19" s="4"/>
    </row>
    <row r="20" spans="1:11" x14ac:dyDescent="0.3">
      <c r="E20" s="4"/>
      <c r="G20" s="4"/>
      <c r="H20" s="4"/>
      <c r="I20" s="4"/>
      <c r="K20" s="4"/>
    </row>
    <row r="21" spans="1:11" x14ac:dyDescent="0.3">
      <c r="E21" s="4"/>
      <c r="G21" s="4"/>
      <c r="H21" s="4"/>
      <c r="I21" s="4"/>
      <c r="K21" s="4"/>
    </row>
    <row r="22" spans="1:11" x14ac:dyDescent="0.3">
      <c r="H22" s="4"/>
      <c r="I22" s="4"/>
    </row>
    <row r="26" spans="1:11" x14ac:dyDescent="0.3">
      <c r="A26" s="9"/>
      <c r="B26" s="9"/>
      <c r="C26" s="9"/>
    </row>
    <row r="29" spans="1:11" x14ac:dyDescent="0.3">
      <c r="A29" t="s">
        <v>11</v>
      </c>
    </row>
    <row r="31" spans="1:11" x14ac:dyDescent="0.3">
      <c r="A31" t="s">
        <v>37</v>
      </c>
      <c r="B31" t="s">
        <v>38</v>
      </c>
      <c r="C31" s="7" t="s">
        <v>29</v>
      </c>
      <c r="D31" s="7" t="s">
        <v>28</v>
      </c>
      <c r="E31" s="7" t="s">
        <v>31</v>
      </c>
      <c r="F31" s="9" t="s">
        <v>32</v>
      </c>
      <c r="G31" s="9" t="s">
        <v>33</v>
      </c>
      <c r="H31" s="12" t="s">
        <v>34</v>
      </c>
      <c r="I31" s="12"/>
    </row>
    <row r="32" spans="1:11" x14ac:dyDescent="0.3">
      <c r="A32" t="s">
        <v>39</v>
      </c>
      <c r="B32" t="s">
        <v>40</v>
      </c>
      <c r="C32">
        <f>40</f>
        <v>40</v>
      </c>
      <c r="D32">
        <f>C$32/(C$32+C$33)</f>
        <v>0.4</v>
      </c>
      <c r="E32" s="4">
        <v>0.55000000000000004</v>
      </c>
      <c r="F32" s="11">
        <f>LN(E32)</f>
        <v>-0.59783700075562041</v>
      </c>
      <c r="G32" s="11">
        <f>F32*C32</f>
        <v>-23.913480030224818</v>
      </c>
      <c r="H32" s="11">
        <f>D32*F32</f>
        <v>-0.23913480030224818</v>
      </c>
      <c r="K32" s="4"/>
    </row>
    <row r="33" spans="1:12" x14ac:dyDescent="0.3">
      <c r="A33" t="s">
        <v>39</v>
      </c>
      <c r="B33" t="s">
        <v>41</v>
      </c>
      <c r="C33">
        <f>60</f>
        <v>60</v>
      </c>
      <c r="D33">
        <f>C$33/(C$32+C$33)</f>
        <v>0.6</v>
      </c>
      <c r="E33" s="4">
        <v>0.37</v>
      </c>
      <c r="F33" s="11">
        <f t="shared" ref="F33" si="1">LN(E33)</f>
        <v>-0.9942522733438669</v>
      </c>
      <c r="G33" s="11">
        <f t="shared" ref="G33:G35" si="2">F33*C33</f>
        <v>-59.655136400632017</v>
      </c>
      <c r="H33" s="11">
        <f>D33*F33</f>
        <v>-0.59655136400632014</v>
      </c>
      <c r="K33" s="4"/>
    </row>
    <row r="34" spans="1:12" x14ac:dyDescent="0.3">
      <c r="A34" t="s">
        <v>42</v>
      </c>
      <c r="B34" t="s">
        <v>43</v>
      </c>
      <c r="C34">
        <v>1</v>
      </c>
      <c r="D34">
        <v>1</v>
      </c>
      <c r="E34">
        <v>0.8</v>
      </c>
      <c r="F34" s="11">
        <f>LN(E34)</f>
        <v>-0.22314355131420971</v>
      </c>
      <c r="G34" s="11">
        <f t="shared" si="2"/>
        <v>-0.22314355131420971</v>
      </c>
      <c r="H34" s="11">
        <f>D34*F34</f>
        <v>-0.22314355131420971</v>
      </c>
      <c r="K34" s="4"/>
    </row>
    <row r="35" spans="1:12" x14ac:dyDescent="0.3">
      <c r="A35" t="s">
        <v>44</v>
      </c>
      <c r="B35" t="s">
        <v>39</v>
      </c>
      <c r="C35">
        <f>0</f>
        <v>0</v>
      </c>
      <c r="D35">
        <v>0</v>
      </c>
      <c r="E35">
        <v>0.2</v>
      </c>
      <c r="F35" s="11">
        <f>LN(E35)</f>
        <v>-1.6094379124341003</v>
      </c>
      <c r="G35" s="11">
        <f t="shared" si="2"/>
        <v>0</v>
      </c>
      <c r="H35" s="11">
        <f>D35*F35</f>
        <v>0</v>
      </c>
    </row>
    <row r="36" spans="1:12" x14ac:dyDescent="0.3">
      <c r="F36" t="s">
        <v>45</v>
      </c>
      <c r="G36" s="11">
        <f>SUM(G32:G35)</f>
        <v>-83.791759982171044</v>
      </c>
      <c r="H36" s="11">
        <f>SUM(H32:H35)</f>
        <v>-1.0588297156227782</v>
      </c>
    </row>
    <row r="37" spans="1:12" x14ac:dyDescent="0.3">
      <c r="A37" t="s">
        <v>17</v>
      </c>
    </row>
    <row r="39" spans="1:12" x14ac:dyDescent="0.3">
      <c r="A39" t="s">
        <v>37</v>
      </c>
      <c r="B39" t="s">
        <v>38</v>
      </c>
      <c r="C39" s="7" t="s">
        <v>29</v>
      </c>
      <c r="D39" s="7" t="s">
        <v>28</v>
      </c>
      <c r="E39" s="7" t="s">
        <v>31</v>
      </c>
      <c r="F39" s="7" t="s">
        <v>35</v>
      </c>
      <c r="G39" s="9" t="s">
        <v>36</v>
      </c>
      <c r="H39" s="9" t="s">
        <v>33</v>
      </c>
      <c r="I39" s="13" t="s">
        <v>34</v>
      </c>
      <c r="J39" s="13" t="s">
        <v>51</v>
      </c>
      <c r="K39" s="4"/>
    </row>
    <row r="40" spans="1:12" x14ac:dyDescent="0.3">
      <c r="A40" t="s">
        <v>39</v>
      </c>
      <c r="B40" t="s">
        <v>40</v>
      </c>
      <c r="C40">
        <f>40</f>
        <v>40</v>
      </c>
      <c r="D40">
        <f>C$40/(C$40+C$41)</f>
        <v>0.4</v>
      </c>
      <c r="E40" s="4">
        <v>0.55000000000000004</v>
      </c>
      <c r="F40">
        <v>0.45</v>
      </c>
      <c r="G40" s="11">
        <f>LN(E40)-LN(F40)</f>
        <v>0.20067069546215122</v>
      </c>
      <c r="H40" s="11">
        <f t="shared" ref="H40:H44" si="3">G40*C40</f>
        <v>8.0268278184860478</v>
      </c>
      <c r="I40" s="11">
        <f t="shared" ref="I40:I44" si="4">G40*D40</f>
        <v>8.0268278184860486E-2</v>
      </c>
      <c r="J40" s="4">
        <f>H32-I40</f>
        <v>-0.31940307848710869</v>
      </c>
      <c r="K40" s="4"/>
      <c r="L40">
        <f>0.4*LN(E40)</f>
        <v>-0.23913480030224818</v>
      </c>
    </row>
    <row r="41" spans="1:12" x14ac:dyDescent="0.3">
      <c r="A41" t="s">
        <v>39</v>
      </c>
      <c r="B41" t="s">
        <v>41</v>
      </c>
      <c r="C41">
        <f>60</f>
        <v>60</v>
      </c>
      <c r="D41">
        <f>C$41/(C$40+C$41)</f>
        <v>0.6</v>
      </c>
      <c r="E41" s="4">
        <v>0.37</v>
      </c>
      <c r="F41">
        <v>0.45</v>
      </c>
      <c r="G41" s="11">
        <f>LN(E41)-LN(F41)</f>
        <v>-0.19574457712609528</v>
      </c>
      <c r="H41" s="11">
        <f t="shared" si="3"/>
        <v>-11.744674627565717</v>
      </c>
      <c r="I41" s="11">
        <f t="shared" si="4"/>
        <v>-0.11744674627565715</v>
      </c>
      <c r="J41" s="4">
        <f t="shared" ref="J41:J44" si="5">H33-I41</f>
        <v>-0.47910461773066298</v>
      </c>
      <c r="K41" s="4"/>
    </row>
    <row r="42" spans="1:12" x14ac:dyDescent="0.3">
      <c r="A42" t="s">
        <v>42</v>
      </c>
      <c r="B42" t="s">
        <v>43</v>
      </c>
      <c r="C42">
        <v>1</v>
      </c>
      <c r="D42">
        <v>1</v>
      </c>
      <c r="E42">
        <v>0.8</v>
      </c>
      <c r="F42">
        <v>0.7</v>
      </c>
      <c r="G42" s="11">
        <f>LN(E42)-LN(F42)</f>
        <v>0.13353139262452274</v>
      </c>
      <c r="H42" s="11">
        <f t="shared" si="3"/>
        <v>0.13353139262452274</v>
      </c>
      <c r="I42" s="11">
        <f t="shared" si="4"/>
        <v>0.13353139262452274</v>
      </c>
      <c r="J42" s="4">
        <f t="shared" si="5"/>
        <v>-0.35667494393873245</v>
      </c>
      <c r="K42" s="4"/>
    </row>
    <row r="43" spans="1:12" x14ac:dyDescent="0.3">
      <c r="A43" t="s">
        <v>44</v>
      </c>
      <c r="B43" t="s">
        <v>39</v>
      </c>
      <c r="C43">
        <f>0</f>
        <v>0</v>
      </c>
      <c r="D43">
        <v>0</v>
      </c>
      <c r="E43">
        <v>0.2</v>
      </c>
      <c r="F43">
        <v>0.3</v>
      </c>
      <c r="G43" s="11">
        <f>LN(E43)-LN(F43)</f>
        <v>-0.40546510810816416</v>
      </c>
      <c r="H43" s="11">
        <f t="shared" si="3"/>
        <v>0</v>
      </c>
      <c r="I43" s="11">
        <f t="shared" si="4"/>
        <v>0</v>
      </c>
      <c r="J43" s="4">
        <f t="shared" si="5"/>
        <v>0</v>
      </c>
      <c r="K43" s="4"/>
    </row>
    <row r="44" spans="1:12" x14ac:dyDescent="0.3">
      <c r="A44" t="s">
        <v>39</v>
      </c>
      <c r="B44" t="s">
        <v>18</v>
      </c>
      <c r="C44">
        <v>1</v>
      </c>
      <c r="D44">
        <v>1</v>
      </c>
      <c r="E44" t="s">
        <v>18</v>
      </c>
      <c r="F44">
        <v>0.45</v>
      </c>
      <c r="G44" s="11">
        <f>LN(F44)</f>
        <v>-0.79850769621777162</v>
      </c>
      <c r="H44" s="11">
        <f t="shared" si="3"/>
        <v>-0.79850769621777162</v>
      </c>
      <c r="I44" s="11">
        <f t="shared" si="4"/>
        <v>-0.79850769621777162</v>
      </c>
      <c r="J44" s="4">
        <f t="shared" si="5"/>
        <v>-0.26032201940500654</v>
      </c>
      <c r="K44" s="4"/>
    </row>
    <row r="45" spans="1:12" x14ac:dyDescent="0.3">
      <c r="G45" t="s">
        <v>45</v>
      </c>
      <c r="H45" s="11">
        <f>SUM(H40:H44)</f>
        <v>-4.3828231126729174</v>
      </c>
      <c r="I45" s="11">
        <f>SUM(I40:I44)</f>
        <v>-0.7021547716840455</v>
      </c>
    </row>
    <row r="46" spans="1:12" x14ac:dyDescent="0.3">
      <c r="H46" s="4"/>
      <c r="I46" s="4"/>
    </row>
    <row r="47" spans="1:12" x14ac:dyDescent="0.3">
      <c r="I47" s="4"/>
    </row>
    <row r="48" spans="1:12" x14ac:dyDescent="0.3">
      <c r="A48" t="s">
        <v>50</v>
      </c>
      <c r="H48" s="4"/>
    </row>
    <row r="49" spans="1:8" x14ac:dyDescent="0.3">
      <c r="H49" s="4"/>
    </row>
    <row r="50" spans="1:8" x14ac:dyDescent="0.3">
      <c r="A50" s="11">
        <f>(H36-I45)</f>
        <v>-0.35667494393873267</v>
      </c>
    </row>
  </sheetData>
  <phoneticPr fontId="4" type="noConversion"/>
  <pageMargins left="0.75" right="0.75" top="1" bottom="1" header="0.5" footer="0.5"/>
  <pageSetup scale="40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D16" zoomScale="85" zoomScaleNormal="85" zoomScalePageLayoutView="85" workbookViewId="0">
      <selection activeCell="L35" sqref="L35"/>
    </sheetView>
  </sheetViews>
  <sheetFormatPr defaultColWidth="11.19921875" defaultRowHeight="15.6" x14ac:dyDescent="0.3"/>
  <cols>
    <col min="1" max="1" width="19.796875" customWidth="1"/>
    <col min="2" max="2" width="17.796875" customWidth="1"/>
    <col min="6" max="6" width="17.296875" customWidth="1"/>
    <col min="7" max="7" width="30.69921875" customWidth="1"/>
    <col min="8" max="9" width="9.69921875" customWidth="1"/>
    <col min="10" max="10" width="11.19921875" customWidth="1"/>
    <col min="11" max="11" width="10.69921875" customWidth="1"/>
    <col min="12" max="12" width="22.69921875" customWidth="1"/>
    <col min="13" max="14" width="11.69921875" customWidth="1"/>
  </cols>
  <sheetData>
    <row r="1" spans="1:14" x14ac:dyDescent="0.3">
      <c r="A1" t="s">
        <v>12</v>
      </c>
    </row>
    <row r="2" spans="1:14" x14ac:dyDescent="0.3">
      <c r="F2" t="s">
        <v>19</v>
      </c>
      <c r="G2" t="s">
        <v>30</v>
      </c>
    </row>
    <row r="3" spans="1:14" x14ac:dyDescent="0.3">
      <c r="A3" t="s">
        <v>13</v>
      </c>
      <c r="B3">
        <v>0.55000000000000004</v>
      </c>
    </row>
    <row r="4" spans="1:14" x14ac:dyDescent="0.3">
      <c r="A4" t="s">
        <v>15</v>
      </c>
      <c r="B4">
        <v>0.45</v>
      </c>
      <c r="F4" s="3" t="s">
        <v>20</v>
      </c>
      <c r="G4" s="3" t="s">
        <v>21</v>
      </c>
      <c r="H4" s="6" t="s">
        <v>29</v>
      </c>
      <c r="I4" s="6" t="s">
        <v>28</v>
      </c>
      <c r="J4" s="3" t="s">
        <v>31</v>
      </c>
      <c r="K4" s="3" t="s">
        <v>32</v>
      </c>
      <c r="L4" s="3" t="s">
        <v>33</v>
      </c>
      <c r="M4" s="47" t="s">
        <v>34</v>
      </c>
      <c r="N4" s="47"/>
    </row>
    <row r="5" spans="1:14" x14ac:dyDescent="0.3">
      <c r="F5" s="3" t="s">
        <v>25</v>
      </c>
      <c r="G5" s="3" t="s">
        <v>22</v>
      </c>
      <c r="H5" s="3">
        <v>40</v>
      </c>
      <c r="I5" s="2">
        <f>H5/(H5+H6)</f>
        <v>0.4</v>
      </c>
      <c r="J5" s="3">
        <f>0.45</f>
        <v>0.45</v>
      </c>
      <c r="K5" s="8">
        <f>LN(J5)</f>
        <v>-0.79850769621777162</v>
      </c>
      <c r="L5" s="8">
        <f>K5*H5</f>
        <v>-31.940307848710866</v>
      </c>
      <c r="M5" s="8">
        <f>K5*I5</f>
        <v>-0.31940307848710869</v>
      </c>
      <c r="N5" s="3"/>
    </row>
    <row r="6" spans="1:14" x14ac:dyDescent="0.3">
      <c r="A6" t="s">
        <v>14</v>
      </c>
      <c r="B6">
        <f>1+B4-B4/B3</f>
        <v>0.63181818181818183</v>
      </c>
      <c r="F6" s="3" t="s">
        <v>25</v>
      </c>
      <c r="G6" s="3" t="s">
        <v>23</v>
      </c>
      <c r="H6" s="3">
        <v>60</v>
      </c>
      <c r="I6" s="2">
        <f>H6/(H$5+H$6)</f>
        <v>0.6</v>
      </c>
      <c r="J6" s="3">
        <v>0.63</v>
      </c>
      <c r="K6" s="8">
        <f t="shared" ref="K6:K8" si="0">LN(J6)</f>
        <v>-0.46203545959655867</v>
      </c>
      <c r="L6" s="8">
        <f>K6*H6</f>
        <v>-27.722127575793522</v>
      </c>
      <c r="M6" s="8">
        <f>K6*I6</f>
        <v>-0.2772212757579352</v>
      </c>
      <c r="N6" s="3"/>
    </row>
    <row r="7" spans="1:14" x14ac:dyDescent="0.3">
      <c r="F7" s="3" t="s">
        <v>16</v>
      </c>
      <c r="G7" s="3" t="s">
        <v>25</v>
      </c>
      <c r="H7" s="3">
        <v>1</v>
      </c>
      <c r="I7" s="2">
        <f>H7/(H$7+H$8)</f>
        <v>1</v>
      </c>
      <c r="J7" s="3">
        <f>0.6</f>
        <v>0.6</v>
      </c>
      <c r="K7" s="8">
        <f t="shared" si="0"/>
        <v>-0.51082562376599072</v>
      </c>
      <c r="L7" s="8">
        <f>K7*H7</f>
        <v>-0.51082562376599072</v>
      </c>
      <c r="M7" s="8">
        <f>K7*I7</f>
        <v>-0.51082562376599072</v>
      </c>
      <c r="N7" s="3"/>
    </row>
    <row r="8" spans="1:14" x14ac:dyDescent="0.3">
      <c r="F8" s="3" t="s">
        <v>24</v>
      </c>
      <c r="G8" s="3" t="s">
        <v>26</v>
      </c>
      <c r="H8" s="3">
        <v>0</v>
      </c>
      <c r="I8" s="2">
        <f t="shared" ref="I8" si="1">H8/(H$7+H$8)</f>
        <v>0</v>
      </c>
      <c r="J8" s="3">
        <f>0.4</f>
        <v>0.4</v>
      </c>
      <c r="K8" s="8">
        <f t="shared" si="0"/>
        <v>-0.916290731874155</v>
      </c>
      <c r="L8" s="8">
        <f>K8*H8</f>
        <v>0</v>
      </c>
      <c r="M8" s="8">
        <f>K8*I8</f>
        <v>0</v>
      </c>
      <c r="N8" s="3"/>
    </row>
    <row r="9" spans="1:14" x14ac:dyDescent="0.3">
      <c r="F9" s="3"/>
      <c r="G9" s="3"/>
      <c r="H9" s="6"/>
      <c r="I9" s="6"/>
      <c r="J9" s="3"/>
      <c r="K9" s="3"/>
      <c r="L9" s="11">
        <f>SUM(L5:L8)</f>
        <v>-60.173261048270376</v>
      </c>
      <c r="M9" s="8">
        <f>SUM(M5:M8)</f>
        <v>-1.1074499780110347</v>
      </c>
      <c r="N9" s="3"/>
    </row>
    <row r="13" spans="1:14" x14ac:dyDescent="0.3">
      <c r="L13" t="s">
        <v>49</v>
      </c>
    </row>
    <row r="15" spans="1:14" x14ac:dyDescent="0.3">
      <c r="H15" s="6"/>
      <c r="I15" s="6"/>
      <c r="J15" s="6"/>
      <c r="K15" s="6"/>
      <c r="L15" s="8">
        <f>M9-N32</f>
        <v>-0.35667494393873267</v>
      </c>
      <c r="M15" s="47"/>
      <c r="N15" s="47"/>
    </row>
    <row r="16" spans="1:14" x14ac:dyDescent="0.3">
      <c r="J16" s="3"/>
    </row>
    <row r="17" spans="6:15" x14ac:dyDescent="0.3">
      <c r="J17" s="3"/>
    </row>
    <row r="22" spans="6:15" x14ac:dyDescent="0.3">
      <c r="F22" t="s">
        <v>0</v>
      </c>
    </row>
    <row r="24" spans="6:15" x14ac:dyDescent="0.3">
      <c r="F24" t="s">
        <v>17</v>
      </c>
    </row>
    <row r="26" spans="6:15" x14ac:dyDescent="0.3">
      <c r="F26" t="s">
        <v>20</v>
      </c>
      <c r="G26" t="s">
        <v>21</v>
      </c>
      <c r="H26" s="6" t="s">
        <v>29</v>
      </c>
      <c r="I26" s="6" t="s">
        <v>28</v>
      </c>
      <c r="J26" s="6" t="s">
        <v>31</v>
      </c>
      <c r="K26" s="6" t="s">
        <v>35</v>
      </c>
      <c r="L26" s="5" t="s">
        <v>36</v>
      </c>
      <c r="M26" s="5" t="s">
        <v>33</v>
      </c>
      <c r="N26" s="48" t="s">
        <v>34</v>
      </c>
      <c r="O26" s="48"/>
    </row>
    <row r="27" spans="6:15" x14ac:dyDescent="0.3">
      <c r="F27" t="s">
        <v>25</v>
      </c>
      <c r="G27" t="s">
        <v>22</v>
      </c>
      <c r="H27">
        <f>40</f>
        <v>40</v>
      </c>
      <c r="I27">
        <f>H27/100</f>
        <v>0.4</v>
      </c>
      <c r="J27" s="3">
        <f>0.45</f>
        <v>0.45</v>
      </c>
      <c r="K27">
        <f>0.55</f>
        <v>0.55000000000000004</v>
      </c>
      <c r="L27" s="10">
        <f>LN(J27)-LN(K27)</f>
        <v>-0.20067069546215122</v>
      </c>
      <c r="M27" s="8">
        <f>L27*H27</f>
        <v>-8.0268278184860478</v>
      </c>
      <c r="N27" s="8">
        <f>L27*I27</f>
        <v>-8.0268278184860486E-2</v>
      </c>
      <c r="O27" s="5"/>
    </row>
    <row r="28" spans="6:15" x14ac:dyDescent="0.3">
      <c r="F28" t="s">
        <v>25</v>
      </c>
      <c r="G28" t="s">
        <v>23</v>
      </c>
      <c r="H28">
        <f>60</f>
        <v>60</v>
      </c>
      <c r="I28">
        <f>H28/100</f>
        <v>0.6</v>
      </c>
      <c r="J28" s="3">
        <v>0.63</v>
      </c>
      <c r="K28">
        <f>0.55</f>
        <v>0.55000000000000004</v>
      </c>
      <c r="L28" s="10">
        <f t="shared" ref="L28:L30" si="2">LN(J28)-LN(K28)</f>
        <v>0.13580154115906173</v>
      </c>
      <c r="M28" s="8">
        <f t="shared" ref="M28:M31" si="3">L28*H28</f>
        <v>8.1480924695437036</v>
      </c>
      <c r="N28" s="8">
        <f t="shared" ref="N28:N31" si="4">L28*I28</f>
        <v>8.1480924695437038E-2</v>
      </c>
      <c r="O28" s="5"/>
    </row>
    <row r="29" spans="6:15" x14ac:dyDescent="0.3">
      <c r="F29" t="s">
        <v>16</v>
      </c>
      <c r="G29" t="s">
        <v>25</v>
      </c>
      <c r="H29">
        <f>1</f>
        <v>1</v>
      </c>
      <c r="I29">
        <f>H29</f>
        <v>1</v>
      </c>
      <c r="J29">
        <f>0.6</f>
        <v>0.6</v>
      </c>
      <c r="K29">
        <f>0.7</f>
        <v>0.7</v>
      </c>
      <c r="L29" s="10">
        <f t="shared" si="2"/>
        <v>-0.15415067982725827</v>
      </c>
      <c r="M29" s="8">
        <f t="shared" si="3"/>
        <v>-0.15415067982725827</v>
      </c>
      <c r="N29" s="8">
        <f t="shared" si="4"/>
        <v>-0.15415067982725827</v>
      </c>
      <c r="O29" s="5"/>
    </row>
    <row r="30" spans="6:15" x14ac:dyDescent="0.3">
      <c r="F30" t="s">
        <v>24</v>
      </c>
      <c r="G30" t="s">
        <v>25</v>
      </c>
      <c r="H30">
        <f>0</f>
        <v>0</v>
      </c>
      <c r="I30">
        <f>H30</f>
        <v>0</v>
      </c>
      <c r="J30">
        <f>0.4</f>
        <v>0.4</v>
      </c>
      <c r="K30">
        <v>0.3</v>
      </c>
      <c r="L30" s="10">
        <f t="shared" si="2"/>
        <v>0.28768207245178112</v>
      </c>
      <c r="M30" s="8">
        <f t="shared" si="3"/>
        <v>0</v>
      </c>
      <c r="N30" s="8">
        <f t="shared" si="4"/>
        <v>0</v>
      </c>
      <c r="O30" s="5"/>
    </row>
    <row r="31" spans="6:15" x14ac:dyDescent="0.3">
      <c r="F31" t="s">
        <v>25</v>
      </c>
      <c r="G31" t="s">
        <v>18</v>
      </c>
      <c r="H31">
        <f>1</f>
        <v>1</v>
      </c>
      <c r="I31">
        <f>1</f>
        <v>1</v>
      </c>
      <c r="J31" t="s">
        <v>18</v>
      </c>
      <c r="K31">
        <f>0.55</f>
        <v>0.55000000000000004</v>
      </c>
      <c r="L31" s="10">
        <f>LN(K31)</f>
        <v>-0.59783700075562041</v>
      </c>
      <c r="M31" s="8">
        <f t="shared" si="3"/>
        <v>-0.59783700075562041</v>
      </c>
      <c r="N31" s="8">
        <f t="shared" si="4"/>
        <v>-0.59783700075562041</v>
      </c>
      <c r="O31" s="5"/>
    </row>
    <row r="32" spans="6:15" x14ac:dyDescent="0.3">
      <c r="M32" s="11">
        <f>SUM(M27:M31)</f>
        <v>-0.63072302952522286</v>
      </c>
      <c r="N32" s="11">
        <f>SUM(N27:N31)</f>
        <v>-0.75077503407230206</v>
      </c>
      <c r="O32" s="5"/>
    </row>
    <row r="34" spans="4:15" s="16" customFormat="1" ht="31.2" customHeight="1" x14ac:dyDescent="0.3">
      <c r="D34" s="17"/>
      <c r="E34" s="17"/>
      <c r="O34" s="17"/>
    </row>
    <row r="35" spans="4:15" s="16" customFormat="1" ht="28.2" customHeight="1" x14ac:dyDescent="0.3">
      <c r="D35" s="17"/>
      <c r="E35" s="17"/>
      <c r="O35" s="17"/>
    </row>
    <row r="36" spans="4:15" s="16" customFormat="1" ht="28.2" customHeight="1" x14ac:dyDescent="0.3">
      <c r="D36" s="17"/>
      <c r="E36" s="17"/>
      <c r="O36" s="17"/>
    </row>
    <row r="37" spans="4:15" s="16" customFormat="1" ht="28.2" customHeight="1" x14ac:dyDescent="0.3">
      <c r="D37" s="17"/>
      <c r="E37" s="17"/>
      <c r="O37" s="17"/>
    </row>
    <row r="38" spans="4:15" s="16" customFormat="1" ht="28.2" customHeight="1" x14ac:dyDescent="0.3">
      <c r="D38" s="17"/>
      <c r="E38" s="17"/>
      <c r="O38" s="17"/>
    </row>
    <row r="39" spans="4:15" s="16" customFormat="1" ht="28.2" customHeight="1" x14ac:dyDescent="0.3">
      <c r="D39" s="17"/>
      <c r="E39" s="17"/>
      <c r="O39" s="17"/>
    </row>
    <row r="40" spans="4:15" x14ac:dyDescent="0.3">
      <c r="D40" s="18"/>
      <c r="E40" s="18"/>
      <c r="F40" s="18"/>
      <c r="G40" s="18"/>
      <c r="H40" s="18"/>
      <c r="I40" s="18"/>
      <c r="J40" s="18"/>
      <c r="K40" s="18"/>
      <c r="L40" s="19"/>
      <c r="M40" s="19"/>
      <c r="N40" s="19"/>
      <c r="O40" s="18"/>
    </row>
    <row r="41" spans="4:15" x14ac:dyDescent="0.3">
      <c r="L41" s="5"/>
      <c r="M41" s="5"/>
      <c r="N41" s="5"/>
    </row>
  </sheetData>
  <mergeCells count="3">
    <mergeCell ref="M4:N4"/>
    <mergeCell ref="M15:N15"/>
    <mergeCell ref="N26:O26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view="pageLayout" workbookViewId="0">
      <selection activeCell="B5" sqref="B5"/>
    </sheetView>
  </sheetViews>
  <sheetFormatPr defaultColWidth="11.19921875" defaultRowHeight="15.6" x14ac:dyDescent="0.3"/>
  <cols>
    <col min="1" max="1" width="22" customWidth="1"/>
    <col min="2" max="2" width="30.796875" customWidth="1"/>
    <col min="3" max="3" width="29.796875" customWidth="1"/>
    <col min="4" max="4" width="45.5" customWidth="1"/>
  </cols>
  <sheetData>
    <row r="1" spans="1:4" x14ac:dyDescent="0.3">
      <c r="B1" t="s">
        <v>27</v>
      </c>
    </row>
    <row r="3" spans="1:4" x14ac:dyDescent="0.3">
      <c r="B3" t="s">
        <v>46</v>
      </c>
      <c r="C3" t="s">
        <v>47</v>
      </c>
      <c r="D3" t="s">
        <v>48</v>
      </c>
    </row>
    <row r="4" spans="1:4" x14ac:dyDescent="0.3">
      <c r="A4" t="s">
        <v>54</v>
      </c>
      <c r="B4" s="14">
        <f>w!I45</f>
        <v>-0.7021547716840455</v>
      </c>
      <c r="C4" s="14">
        <f>m!N32</f>
        <v>-0.75077503407230206</v>
      </c>
      <c r="D4" s="1">
        <f>B4-C4</f>
        <v>4.8620262388256563E-2</v>
      </c>
    </row>
    <row r="5" spans="1:4" x14ac:dyDescent="0.3">
      <c r="A5" s="13" t="s">
        <v>53</v>
      </c>
      <c r="B5" s="15">
        <v>-1.0589999999999999</v>
      </c>
      <c r="C5" s="15">
        <v>-1.107</v>
      </c>
      <c r="D5" s="10">
        <v>0.05</v>
      </c>
    </row>
    <row r="6" spans="1:4" x14ac:dyDescent="0.3">
      <c r="A6" t="s">
        <v>55</v>
      </c>
      <c r="B6" s="14">
        <v>-4.3828231126729174</v>
      </c>
      <c r="C6" s="14">
        <v>-0.63072302952522286</v>
      </c>
      <c r="D6" s="4">
        <v>-3.7521000831476945</v>
      </c>
    </row>
    <row r="7" spans="1:4" x14ac:dyDescent="0.3">
      <c r="A7" s="13" t="s">
        <v>52</v>
      </c>
      <c r="B7" s="15">
        <v>-83.792000000000002</v>
      </c>
      <c r="C7" s="15">
        <v>-60.173000000000002</v>
      </c>
      <c r="D7" s="10">
        <v>-23.62</v>
      </c>
    </row>
  </sheetData>
  <phoneticPr fontId="4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7"/>
  <sheetViews>
    <sheetView workbookViewId="0">
      <selection activeCell="B2" sqref="B2"/>
    </sheetView>
  </sheetViews>
  <sheetFormatPr defaultColWidth="8.796875" defaultRowHeight="15.6" x14ac:dyDescent="0.3"/>
  <cols>
    <col min="1" max="1" width="16.296875" style="22" customWidth="1"/>
    <col min="2" max="2" width="29" style="22" customWidth="1"/>
    <col min="3" max="3" width="8.796875" style="22"/>
    <col min="4" max="4" width="9.69921875" style="22" customWidth="1"/>
    <col min="5" max="5" width="10.69921875" style="22" customWidth="1"/>
    <col min="6" max="6" width="10.296875" style="22" customWidth="1"/>
    <col min="7" max="7" width="23" style="22" customWidth="1"/>
    <col min="8" max="9" width="9.69921875" style="22" customWidth="1"/>
    <col min="10" max="16384" width="8.796875" style="22"/>
  </cols>
  <sheetData>
    <row r="1" spans="1:9" s="27" customFormat="1" ht="31.8" thickBot="1" x14ac:dyDescent="0.35">
      <c r="A1" s="32" t="s">
        <v>20</v>
      </c>
      <c r="B1" s="32" t="s">
        <v>21</v>
      </c>
      <c r="C1" s="20" t="s">
        <v>29</v>
      </c>
      <c r="D1" s="20" t="s">
        <v>72</v>
      </c>
      <c r="E1" s="20" t="s">
        <v>73</v>
      </c>
      <c r="F1" s="20" t="s">
        <v>74</v>
      </c>
      <c r="G1" s="21" t="s">
        <v>36</v>
      </c>
      <c r="H1" s="21" t="s">
        <v>33</v>
      </c>
      <c r="I1" s="21" t="s">
        <v>75</v>
      </c>
    </row>
    <row r="2" spans="1:9" ht="21" customHeight="1" x14ac:dyDescent="0.3">
      <c r="A2" s="28" t="s">
        <v>56</v>
      </c>
      <c r="B2" s="28" t="s">
        <v>76</v>
      </c>
      <c r="C2" s="29">
        <f>40</f>
        <v>40</v>
      </c>
      <c r="D2" s="29">
        <f>C2/100</f>
        <v>0.4</v>
      </c>
      <c r="E2" s="29">
        <f>0.45</f>
        <v>0.45</v>
      </c>
      <c r="F2" s="29">
        <f>0.55</f>
        <v>0.55000000000000004</v>
      </c>
      <c r="G2" s="30">
        <f>LN(E2)-LN(F2)</f>
        <v>-0.20067069546215122</v>
      </c>
      <c r="H2" s="30">
        <f>G2*C2</f>
        <v>-8.0268278184860478</v>
      </c>
      <c r="I2" s="30">
        <f>G2*D2</f>
        <v>-8.0268278184860486E-2</v>
      </c>
    </row>
    <row r="3" spans="1:9" ht="21" customHeight="1" x14ac:dyDescent="0.3">
      <c r="A3" s="28" t="s">
        <v>56</v>
      </c>
      <c r="B3" s="28" t="s">
        <v>77</v>
      </c>
      <c r="C3" s="29">
        <f>60</f>
        <v>60</v>
      </c>
      <c r="D3" s="29">
        <f>C3/100</f>
        <v>0.6</v>
      </c>
      <c r="E3" s="29">
        <v>0.63</v>
      </c>
      <c r="F3" s="29">
        <f>0.55</f>
        <v>0.55000000000000004</v>
      </c>
      <c r="G3" s="30">
        <f t="shared" ref="G3:G5" si="0">LN(E3)-LN(F3)</f>
        <v>0.13580154115906173</v>
      </c>
      <c r="H3" s="30">
        <f t="shared" ref="H3:H6" si="1">G3*C3</f>
        <v>8.1480924695437036</v>
      </c>
      <c r="I3" s="30">
        <f t="shared" ref="I3:I6" si="2">G3*D3</f>
        <v>8.1480924695437038E-2</v>
      </c>
    </row>
    <row r="4" spans="1:9" ht="21" customHeight="1" x14ac:dyDescent="0.3">
      <c r="A4" s="28" t="s">
        <v>57</v>
      </c>
      <c r="B4" s="28" t="s">
        <v>56</v>
      </c>
      <c r="C4" s="29">
        <f>1</f>
        <v>1</v>
      </c>
      <c r="D4" s="29">
        <f>C4</f>
        <v>1</v>
      </c>
      <c r="E4" s="29">
        <f>0.6</f>
        <v>0.6</v>
      </c>
      <c r="F4" s="29">
        <f>0.7</f>
        <v>0.7</v>
      </c>
      <c r="G4" s="30">
        <f t="shared" si="0"/>
        <v>-0.15415067982725827</v>
      </c>
      <c r="H4" s="30">
        <f t="shared" si="1"/>
        <v>-0.15415067982725827</v>
      </c>
      <c r="I4" s="30">
        <f t="shared" si="2"/>
        <v>-0.15415067982725827</v>
      </c>
    </row>
    <row r="5" spans="1:9" ht="21" customHeight="1" x14ac:dyDescent="0.3">
      <c r="A5" s="28" t="s">
        <v>58</v>
      </c>
      <c r="B5" s="28" t="s">
        <v>56</v>
      </c>
      <c r="C5" s="29">
        <f>0</f>
        <v>0</v>
      </c>
      <c r="D5" s="29">
        <f>C5</f>
        <v>0</v>
      </c>
      <c r="E5" s="29">
        <f>0.4</f>
        <v>0.4</v>
      </c>
      <c r="F5" s="29">
        <v>0.3</v>
      </c>
      <c r="G5" s="30">
        <f t="shared" si="0"/>
        <v>0.28768207245178112</v>
      </c>
      <c r="H5" s="30">
        <f t="shared" si="1"/>
        <v>0</v>
      </c>
      <c r="I5" s="30">
        <f t="shared" si="2"/>
        <v>0</v>
      </c>
    </row>
    <row r="6" spans="1:9" ht="21" customHeight="1" x14ac:dyDescent="0.3">
      <c r="A6" s="28" t="s">
        <v>56</v>
      </c>
      <c r="B6" s="28" t="s">
        <v>18</v>
      </c>
      <c r="C6" s="29">
        <f>1</f>
        <v>1</v>
      </c>
      <c r="D6" s="29">
        <f>1</f>
        <v>1</v>
      </c>
      <c r="E6" s="29" t="s">
        <v>18</v>
      </c>
      <c r="F6" s="29">
        <f>0.55</f>
        <v>0.55000000000000004</v>
      </c>
      <c r="G6" s="30">
        <f>LN(F6)</f>
        <v>-0.59783700075562041</v>
      </c>
      <c r="H6" s="30">
        <f t="shared" si="1"/>
        <v>-0.59783700075562041</v>
      </c>
      <c r="I6" s="30">
        <f t="shared" si="2"/>
        <v>-0.59783700075562041</v>
      </c>
    </row>
    <row r="7" spans="1:9" ht="21" customHeight="1" x14ac:dyDescent="0.3">
      <c r="A7" s="28"/>
      <c r="B7" s="28"/>
      <c r="C7" s="29"/>
      <c r="D7" s="29"/>
      <c r="E7" s="29"/>
      <c r="F7" s="29"/>
      <c r="G7" s="31" t="s">
        <v>59</v>
      </c>
      <c r="H7" s="31">
        <f>SUM(H2:H6)</f>
        <v>-0.63072302952522286</v>
      </c>
      <c r="I7" s="31">
        <f>SUM(I2:I6)</f>
        <v>-0.75077503407230206</v>
      </c>
    </row>
  </sheetData>
  <pageMargins left="0.7" right="0.7" top="0.75" bottom="0.75" header="0.3" footer="0.3"/>
  <pageSetup scale="88" orientation="landscape"/>
  <ignoredErrors>
    <ignoredError sqref="C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2"/>
  <sheetViews>
    <sheetView workbookViewId="0">
      <selection activeCell="B6" sqref="B6"/>
    </sheetView>
  </sheetViews>
  <sheetFormatPr defaultColWidth="8.796875" defaultRowHeight="15.6" x14ac:dyDescent="0.3"/>
  <cols>
    <col min="1" max="1" width="16.296875" style="22" customWidth="1"/>
    <col min="2" max="2" width="29" style="22" customWidth="1"/>
    <col min="3" max="3" width="8.796875" style="22"/>
    <col min="4" max="4" width="9.69921875" style="22" customWidth="1"/>
    <col min="5" max="5" width="10.69921875" style="22" customWidth="1"/>
    <col min="6" max="6" width="10.296875" style="22" customWidth="1"/>
    <col min="7" max="7" width="23" style="22" customWidth="1"/>
    <col min="8" max="9" width="9.69921875" style="22" customWidth="1"/>
    <col min="10" max="16384" width="8.796875" style="22"/>
  </cols>
  <sheetData>
    <row r="1" spans="1:15" s="27" customFormat="1" ht="31.8" thickBot="1" x14ac:dyDescent="0.35">
      <c r="A1" s="32" t="s">
        <v>20</v>
      </c>
      <c r="B1" s="32" t="s">
        <v>21</v>
      </c>
      <c r="C1" s="20" t="s">
        <v>29</v>
      </c>
      <c r="D1" s="20" t="s">
        <v>72</v>
      </c>
      <c r="E1" s="20" t="s">
        <v>73</v>
      </c>
      <c r="F1" s="20" t="s">
        <v>74</v>
      </c>
      <c r="G1" s="21" t="s">
        <v>36</v>
      </c>
      <c r="H1" s="21" t="s">
        <v>33</v>
      </c>
      <c r="I1" s="21" t="s">
        <v>75</v>
      </c>
    </row>
    <row r="2" spans="1:15" ht="21" customHeight="1" x14ac:dyDescent="0.3">
      <c r="A2" s="28" t="s">
        <v>60</v>
      </c>
      <c r="B2" s="28" t="s">
        <v>76</v>
      </c>
      <c r="C2" s="29">
        <v>40</v>
      </c>
      <c r="D2" s="29">
        <v>0.4</v>
      </c>
      <c r="E2" s="29">
        <v>0.55000000000000004</v>
      </c>
      <c r="F2" s="29">
        <v>0.45</v>
      </c>
      <c r="G2" s="30">
        <v>0.20067069546215122</v>
      </c>
      <c r="H2" s="30">
        <v>8.0268278184860478</v>
      </c>
      <c r="I2" s="30">
        <v>8.0268278184860486E-2</v>
      </c>
    </row>
    <row r="3" spans="1:15" ht="21" customHeight="1" x14ac:dyDescent="0.3">
      <c r="A3" s="28" t="s">
        <v>60</v>
      </c>
      <c r="B3" s="28" t="s">
        <v>77</v>
      </c>
      <c r="C3" s="29">
        <v>60</v>
      </c>
      <c r="D3" s="29">
        <v>0.6</v>
      </c>
      <c r="E3" s="29">
        <v>0.37</v>
      </c>
      <c r="F3" s="29">
        <v>0.45</v>
      </c>
      <c r="G3" s="30">
        <v>-0.19574457712609528</v>
      </c>
      <c r="H3" s="30">
        <v>-11.744674627565717</v>
      </c>
      <c r="I3" s="30">
        <v>-0.11744674627565715</v>
      </c>
    </row>
    <row r="4" spans="1:15" ht="21" customHeight="1" x14ac:dyDescent="0.3">
      <c r="A4" s="28" t="s">
        <v>57</v>
      </c>
      <c r="B4" s="28" t="s">
        <v>60</v>
      </c>
      <c r="C4" s="29">
        <v>1</v>
      </c>
      <c r="D4" s="29">
        <v>1</v>
      </c>
      <c r="E4" s="29">
        <v>0.8</v>
      </c>
      <c r="F4" s="29">
        <v>0.7</v>
      </c>
      <c r="G4" s="30">
        <v>0.13353139262452274</v>
      </c>
      <c r="H4" s="30">
        <v>0.13353139262452274</v>
      </c>
      <c r="I4" s="30">
        <v>0.13353139262452274</v>
      </c>
    </row>
    <row r="5" spans="1:15" ht="21" customHeight="1" x14ac:dyDescent="0.3">
      <c r="A5" s="28" t="s">
        <v>58</v>
      </c>
      <c r="B5" s="28" t="s">
        <v>60</v>
      </c>
      <c r="C5" s="29">
        <v>0</v>
      </c>
      <c r="D5" s="29">
        <v>0</v>
      </c>
      <c r="E5" s="29">
        <v>0.2</v>
      </c>
      <c r="F5" s="29">
        <v>0.3</v>
      </c>
      <c r="G5" s="30">
        <v>-0.40546510810816416</v>
      </c>
      <c r="H5" s="30">
        <v>0</v>
      </c>
      <c r="I5" s="30">
        <v>0</v>
      </c>
    </row>
    <row r="6" spans="1:15" ht="21" customHeight="1" x14ac:dyDescent="0.3">
      <c r="A6" s="28" t="s">
        <v>60</v>
      </c>
      <c r="B6" s="28" t="s">
        <v>18</v>
      </c>
      <c r="C6" s="29">
        <v>1</v>
      </c>
      <c r="D6" s="29">
        <v>1</v>
      </c>
      <c r="E6" s="29" t="s">
        <v>18</v>
      </c>
      <c r="F6" s="29">
        <v>0.45</v>
      </c>
      <c r="G6" s="30">
        <v>-0.79850769621777162</v>
      </c>
      <c r="H6" s="30">
        <v>-0.79850769621777162</v>
      </c>
      <c r="I6" s="30">
        <v>-0.79850769621777162</v>
      </c>
    </row>
    <row r="7" spans="1:15" ht="21" customHeight="1" x14ac:dyDescent="0.3">
      <c r="A7" s="28"/>
      <c r="B7" s="28"/>
      <c r="C7" s="29"/>
      <c r="D7" s="29"/>
      <c r="E7" s="29"/>
      <c r="F7" s="29"/>
      <c r="G7" s="31" t="s">
        <v>59</v>
      </c>
      <c r="H7" s="31">
        <f>SUM(H2:H6)</f>
        <v>-4.3828231126729174</v>
      </c>
      <c r="I7" s="31">
        <f>SUM(I2:I6)</f>
        <v>-0.7021547716840455</v>
      </c>
      <c r="J7" s="29"/>
      <c r="K7" s="29"/>
      <c r="L7" s="29"/>
      <c r="M7" s="30"/>
      <c r="N7" s="30"/>
      <c r="O7" s="30"/>
    </row>
    <row r="8" spans="1:15" x14ac:dyDescent="0.3">
      <c r="I8" s="29"/>
      <c r="J8" s="29"/>
      <c r="K8" s="29"/>
      <c r="L8" s="29"/>
      <c r="M8" s="30"/>
      <c r="N8" s="30"/>
      <c r="O8" s="30"/>
    </row>
    <row r="9" spans="1:15" x14ac:dyDescent="0.3">
      <c r="I9" s="29"/>
      <c r="J9" s="29"/>
      <c r="K9" s="29"/>
      <c r="L9" s="29"/>
      <c r="M9" s="30"/>
      <c r="N9" s="30"/>
      <c r="O9" s="30"/>
    </row>
    <row r="10" spans="1:15" x14ac:dyDescent="0.3">
      <c r="I10" s="29"/>
      <c r="J10" s="29"/>
      <c r="K10" s="29"/>
      <c r="L10" s="29"/>
      <c r="M10" s="30"/>
      <c r="N10" s="30"/>
      <c r="O10" s="30"/>
    </row>
    <row r="11" spans="1:15" x14ac:dyDescent="0.3">
      <c r="I11" s="29"/>
      <c r="J11" s="29"/>
      <c r="K11" s="29"/>
      <c r="L11" s="29"/>
      <c r="M11" s="30"/>
      <c r="N11" s="30"/>
      <c r="O11" s="30"/>
    </row>
    <row r="12" spans="1:15" x14ac:dyDescent="0.3">
      <c r="I12" s="29"/>
      <c r="J12" s="29"/>
      <c r="K12" s="29"/>
      <c r="L12" s="29"/>
      <c r="M12" s="31"/>
      <c r="N12" s="31"/>
      <c r="O12" s="31"/>
    </row>
  </sheetData>
  <pageMargins left="0.7" right="0.7" top="0.75" bottom="0.75" header="0.3" footer="0.3"/>
  <pageSetup scale="6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T18"/>
  <sheetViews>
    <sheetView tabSelected="1" zoomScale="70" zoomScaleNormal="70" workbookViewId="0">
      <selection activeCell="A4" sqref="A4:I17"/>
    </sheetView>
  </sheetViews>
  <sheetFormatPr defaultColWidth="8.796875" defaultRowHeight="15.6" x14ac:dyDescent="0.3"/>
  <cols>
    <col min="1" max="1" width="15.8984375" customWidth="1"/>
    <col min="2" max="2" width="20.796875" customWidth="1"/>
    <col min="4" max="4" width="9.69921875" customWidth="1"/>
    <col min="5" max="5" width="10.69921875" customWidth="1"/>
    <col min="6" max="6" width="10.296875" customWidth="1"/>
    <col min="7" max="7" width="23" customWidth="1"/>
    <col min="8" max="9" width="9.69921875" customWidth="1"/>
    <col min="14" max="14" width="9.69921875" customWidth="1"/>
    <col min="15" max="15" width="32.8984375" customWidth="1"/>
    <col min="16" max="16" width="25" customWidth="1"/>
    <col min="17" max="19" width="9" customWidth="1"/>
    <col min="20" max="20" width="16.3984375" customWidth="1"/>
  </cols>
  <sheetData>
    <row r="2" spans="1:20" x14ac:dyDescent="0.3">
      <c r="B2" t="s">
        <v>91</v>
      </c>
    </row>
    <row r="4" spans="1:20" ht="46.8" x14ac:dyDescent="0.3">
      <c r="A4" s="33" t="s">
        <v>20</v>
      </c>
      <c r="B4" s="33" t="s">
        <v>21</v>
      </c>
      <c r="C4" s="34" t="s">
        <v>29</v>
      </c>
      <c r="D4" s="34" t="s">
        <v>94</v>
      </c>
      <c r="E4" s="34" t="s">
        <v>31</v>
      </c>
      <c r="F4" s="34" t="s">
        <v>35</v>
      </c>
      <c r="G4" s="35" t="s">
        <v>36</v>
      </c>
      <c r="H4" s="35" t="s">
        <v>33</v>
      </c>
      <c r="I4" s="35" t="s">
        <v>34</v>
      </c>
      <c r="N4" t="s">
        <v>92</v>
      </c>
    </row>
    <row r="5" spans="1:20" ht="19.95" customHeight="1" x14ac:dyDescent="0.3">
      <c r="A5" s="23" t="s">
        <v>78</v>
      </c>
      <c r="B5" s="23" t="s">
        <v>80</v>
      </c>
      <c r="C5" s="24">
        <v>40</v>
      </c>
      <c r="D5" s="24">
        <v>0.4</v>
      </c>
      <c r="E5" s="24">
        <v>0.55000000000000004</v>
      </c>
      <c r="F5" s="24">
        <v>0.45</v>
      </c>
      <c r="G5" s="25">
        <v>0.20067069546215122</v>
      </c>
      <c r="H5" s="25">
        <v>8.0268278184860478</v>
      </c>
      <c r="I5" s="25">
        <v>8.0268278184860486E-2</v>
      </c>
    </row>
    <row r="6" spans="1:20" ht="19.95" customHeight="1" x14ac:dyDescent="0.3">
      <c r="A6" s="23" t="s">
        <v>78</v>
      </c>
      <c r="B6" s="23" t="s">
        <v>81</v>
      </c>
      <c r="C6" s="24">
        <v>60</v>
      </c>
      <c r="D6" s="24">
        <v>0.6</v>
      </c>
      <c r="E6" s="24">
        <v>0.37</v>
      </c>
      <c r="F6" s="24">
        <v>0.45</v>
      </c>
      <c r="G6" s="25">
        <v>-0.19574457712609528</v>
      </c>
      <c r="H6" s="25">
        <v>-11.744674627565717</v>
      </c>
      <c r="I6" s="25">
        <v>-0.11744674627565715</v>
      </c>
      <c r="N6" s="39" t="s">
        <v>2</v>
      </c>
      <c r="O6" s="40" t="s">
        <v>6</v>
      </c>
      <c r="P6" s="40" t="s">
        <v>7</v>
      </c>
      <c r="Q6" s="40" t="s">
        <v>63</v>
      </c>
      <c r="R6" s="40" t="s">
        <v>64</v>
      </c>
      <c r="S6" s="40" t="s">
        <v>62</v>
      </c>
      <c r="T6" s="46" t="s">
        <v>90</v>
      </c>
    </row>
    <row r="7" spans="1:20" ht="19.95" customHeight="1" x14ac:dyDescent="0.3">
      <c r="A7" s="23" t="s">
        <v>82</v>
      </c>
      <c r="B7" s="23" t="s">
        <v>78</v>
      </c>
      <c r="C7" s="24">
        <v>1</v>
      </c>
      <c r="D7" s="24">
        <v>1</v>
      </c>
      <c r="E7" s="24">
        <v>0.8</v>
      </c>
      <c r="F7" s="24">
        <v>0.7</v>
      </c>
      <c r="G7" s="25">
        <v>0.13353139262452274</v>
      </c>
      <c r="H7" s="25">
        <v>0.13353139262452274</v>
      </c>
      <c r="I7" s="25">
        <v>0.13353139262452274</v>
      </c>
      <c r="N7" s="41" t="s">
        <v>66</v>
      </c>
      <c r="O7" s="42" t="s">
        <v>88</v>
      </c>
      <c r="P7" s="43" t="s">
        <v>85</v>
      </c>
      <c r="Q7" s="43">
        <v>0.55000000000000004</v>
      </c>
      <c r="R7" s="43">
        <f>0.8</f>
        <v>0.8</v>
      </c>
      <c r="S7" s="43">
        <f>40</f>
        <v>40</v>
      </c>
      <c r="T7" s="44">
        <f>S7*(LN(Q7)+LN(R7))</f>
        <v>-32.839222082793206</v>
      </c>
    </row>
    <row r="8" spans="1:20" ht="19.95" customHeight="1" x14ac:dyDescent="0.3">
      <c r="A8" s="23" t="s">
        <v>83</v>
      </c>
      <c r="B8" s="23" t="s">
        <v>78</v>
      </c>
      <c r="C8" s="24">
        <v>0</v>
      </c>
      <c r="D8" s="24">
        <v>0</v>
      </c>
      <c r="E8" s="24">
        <v>0.2</v>
      </c>
      <c r="F8" s="24">
        <v>0.3</v>
      </c>
      <c r="G8" s="25">
        <v>-0.40546510810816416</v>
      </c>
      <c r="H8" s="25">
        <v>0</v>
      </c>
      <c r="I8" s="25">
        <v>0</v>
      </c>
      <c r="N8" s="41" t="s">
        <v>67</v>
      </c>
      <c r="O8" s="42" t="s">
        <v>67</v>
      </c>
      <c r="P8" s="43" t="s">
        <v>67</v>
      </c>
      <c r="Q8" s="43" t="s">
        <v>67</v>
      </c>
      <c r="R8" s="43" t="s">
        <v>67</v>
      </c>
      <c r="S8" s="43" t="s">
        <v>67</v>
      </c>
      <c r="T8" s="44" t="s">
        <v>67</v>
      </c>
    </row>
    <row r="9" spans="1:20" ht="19.95" customHeight="1" x14ac:dyDescent="0.3">
      <c r="A9" s="23" t="s">
        <v>78</v>
      </c>
      <c r="B9" s="23" t="s">
        <v>18</v>
      </c>
      <c r="C9" s="24">
        <v>1</v>
      </c>
      <c r="D9" s="24">
        <v>1</v>
      </c>
      <c r="E9" s="24" t="s">
        <v>18</v>
      </c>
      <c r="F9" s="24">
        <v>0.45</v>
      </c>
      <c r="G9" s="25">
        <v>-0.79850769621777162</v>
      </c>
      <c r="H9" s="25">
        <v>-0.79850769621777162</v>
      </c>
      <c r="I9" s="25">
        <v>-0.79850769621777162</v>
      </c>
      <c r="N9" s="41" t="s">
        <v>68</v>
      </c>
      <c r="O9" s="42" t="s">
        <v>88</v>
      </c>
      <c r="P9" s="43" t="s">
        <v>85</v>
      </c>
      <c r="Q9" s="43">
        <v>0.55000000000000004</v>
      </c>
      <c r="R9" s="43">
        <f>0.8</f>
        <v>0.8</v>
      </c>
      <c r="S9" s="43">
        <f>40</f>
        <v>40</v>
      </c>
      <c r="T9" s="44">
        <f>S9*(LN(Q9)+LN(R9))</f>
        <v>-32.839222082793206</v>
      </c>
    </row>
    <row r="10" spans="1:20" ht="19.95" customHeight="1" x14ac:dyDescent="0.3">
      <c r="A10" s="23"/>
      <c r="B10" s="23"/>
      <c r="C10" s="24"/>
      <c r="D10" s="24"/>
      <c r="E10" s="24"/>
      <c r="F10" s="24"/>
      <c r="G10" s="26" t="s">
        <v>59</v>
      </c>
      <c r="H10" s="26">
        <f>SUM(H5:H9)</f>
        <v>-4.3828231126729174</v>
      </c>
      <c r="I10" s="26">
        <f>SUM(I5:I9)</f>
        <v>-0.7021547716840455</v>
      </c>
      <c r="N10" s="41" t="s">
        <v>69</v>
      </c>
      <c r="O10" s="42" t="s">
        <v>89</v>
      </c>
      <c r="P10" s="43" t="s">
        <v>85</v>
      </c>
      <c r="Q10" s="43">
        <v>0.37</v>
      </c>
      <c r="R10" s="43">
        <f>0.8</f>
        <v>0.8</v>
      </c>
      <c r="S10" s="43">
        <f>60</f>
        <v>60</v>
      </c>
      <c r="T10" s="44">
        <f>S10*(LN(Q10)+LN(R10))</f>
        <v>-73.043749479484603</v>
      </c>
    </row>
    <row r="11" spans="1:20" ht="19.95" customHeight="1" x14ac:dyDescent="0.3">
      <c r="A11" s="23"/>
      <c r="B11" s="23"/>
      <c r="C11" s="24"/>
      <c r="D11" s="24"/>
      <c r="E11" s="24"/>
      <c r="F11" s="24"/>
      <c r="G11" s="26"/>
      <c r="H11" s="26"/>
      <c r="I11" s="26"/>
      <c r="N11" s="41" t="s">
        <v>67</v>
      </c>
      <c r="O11" s="42" t="s">
        <v>67</v>
      </c>
      <c r="P11" s="43" t="s">
        <v>67</v>
      </c>
      <c r="Q11" s="43" t="s">
        <v>67</v>
      </c>
      <c r="R11" s="43" t="s">
        <v>67</v>
      </c>
      <c r="S11" s="43" t="s">
        <v>67</v>
      </c>
      <c r="T11" s="44" t="s">
        <v>67</v>
      </c>
    </row>
    <row r="12" spans="1:20" ht="19.95" customHeight="1" x14ac:dyDescent="0.3">
      <c r="A12" s="23" t="s">
        <v>79</v>
      </c>
      <c r="B12" s="23" t="s">
        <v>80</v>
      </c>
      <c r="C12" s="24">
        <f>40</f>
        <v>40</v>
      </c>
      <c r="D12" s="24">
        <f>C12/100</f>
        <v>0.4</v>
      </c>
      <c r="E12" s="24">
        <f>0.45</f>
        <v>0.45</v>
      </c>
      <c r="F12" s="24">
        <f>0.55</f>
        <v>0.55000000000000004</v>
      </c>
      <c r="G12" s="25">
        <f>LN(E12)-LN(F12)</f>
        <v>-0.20067069546215122</v>
      </c>
      <c r="H12" s="25">
        <f>G12*C12</f>
        <v>-8.0268278184860478</v>
      </c>
      <c r="I12" s="25">
        <f>G12*D12</f>
        <v>-8.0268278184860486E-2</v>
      </c>
      <c r="N12" s="41" t="s">
        <v>70</v>
      </c>
      <c r="O12" s="42" t="s">
        <v>89</v>
      </c>
      <c r="P12" s="43" t="s">
        <v>85</v>
      </c>
      <c r="Q12" s="43">
        <v>0.37</v>
      </c>
      <c r="R12" s="43">
        <f>0.8</f>
        <v>0.8</v>
      </c>
      <c r="S12" s="43">
        <f>60</f>
        <v>60</v>
      </c>
      <c r="T12" s="44">
        <f>S12*(LN(Q12)+LN(R12))</f>
        <v>-73.043749479484603</v>
      </c>
    </row>
    <row r="13" spans="1:20" ht="19.95" customHeight="1" x14ac:dyDescent="0.3">
      <c r="A13" s="23" t="s">
        <v>79</v>
      </c>
      <c r="B13" s="23" t="s">
        <v>81</v>
      </c>
      <c r="C13" s="24">
        <f>60</f>
        <v>60</v>
      </c>
      <c r="D13" s="24">
        <f>C13/100</f>
        <v>0.6</v>
      </c>
      <c r="E13" s="24">
        <v>0.63</v>
      </c>
      <c r="F13" s="24">
        <f>0.55</f>
        <v>0.55000000000000004</v>
      </c>
      <c r="G13" s="25">
        <f t="shared" ref="G13:G15" si="0">LN(E13)-LN(F13)</f>
        <v>0.13580154115906173</v>
      </c>
      <c r="H13" s="25">
        <f t="shared" ref="H13:H16" si="1">G13*C13</f>
        <v>8.1480924695437036</v>
      </c>
      <c r="I13" s="25">
        <f t="shared" ref="I13:I16" si="2">G13*D13</f>
        <v>8.1480924695437038E-2</v>
      </c>
      <c r="N13" s="41"/>
      <c r="O13" s="41"/>
      <c r="P13" s="41"/>
      <c r="Q13" s="41"/>
      <c r="R13" s="41"/>
      <c r="S13" s="41" t="s">
        <v>71</v>
      </c>
      <c r="T13" s="45">
        <f>random!F8</f>
        <v>-1.0588297156227782</v>
      </c>
    </row>
    <row r="14" spans="1:20" ht="19.95" customHeight="1" x14ac:dyDescent="0.3">
      <c r="A14" s="23" t="s">
        <v>82</v>
      </c>
      <c r="B14" s="23" t="s">
        <v>79</v>
      </c>
      <c r="C14" s="24">
        <f>1</f>
        <v>1</v>
      </c>
      <c r="D14" s="24">
        <f>C14</f>
        <v>1</v>
      </c>
      <c r="E14" s="24">
        <f>0.6</f>
        <v>0.6</v>
      </c>
      <c r="F14" s="24">
        <f>0.7</f>
        <v>0.7</v>
      </c>
      <c r="G14" s="25">
        <f t="shared" si="0"/>
        <v>-0.15415067982725827</v>
      </c>
      <c r="H14" s="25">
        <f t="shared" si="1"/>
        <v>-0.15415067982725827</v>
      </c>
      <c r="I14" s="25">
        <f t="shared" si="2"/>
        <v>-0.15415067982725827</v>
      </c>
    </row>
    <row r="15" spans="1:20" ht="19.95" customHeight="1" x14ac:dyDescent="0.3">
      <c r="A15" s="23" t="s">
        <v>83</v>
      </c>
      <c r="B15" s="23" t="s">
        <v>79</v>
      </c>
      <c r="C15" s="24">
        <f>0</f>
        <v>0</v>
      </c>
      <c r="D15" s="24">
        <f>C15</f>
        <v>0</v>
      </c>
      <c r="E15" s="24">
        <f>0.4</f>
        <v>0.4</v>
      </c>
      <c r="F15" s="24">
        <v>0.3</v>
      </c>
      <c r="G15" s="25">
        <f t="shared" si="0"/>
        <v>0.28768207245178112</v>
      </c>
      <c r="H15" s="25">
        <f t="shared" si="1"/>
        <v>0</v>
      </c>
      <c r="I15" s="25">
        <f t="shared" si="2"/>
        <v>0</v>
      </c>
    </row>
    <row r="16" spans="1:20" ht="19.95" customHeight="1" x14ac:dyDescent="0.3">
      <c r="A16" s="23" t="s">
        <v>79</v>
      </c>
      <c r="B16" s="23" t="s">
        <v>18</v>
      </c>
      <c r="C16" s="24">
        <f>1</f>
        <v>1</v>
      </c>
      <c r="D16" s="24">
        <f>1</f>
        <v>1</v>
      </c>
      <c r="E16" s="24" t="s">
        <v>18</v>
      </c>
      <c r="F16" s="24">
        <f>0.55</f>
        <v>0.55000000000000004</v>
      </c>
      <c r="G16" s="25">
        <f>LN(F16)</f>
        <v>-0.59783700075562041</v>
      </c>
      <c r="H16" s="25">
        <f t="shared" si="1"/>
        <v>-0.59783700075562041</v>
      </c>
      <c r="I16" s="25">
        <f t="shared" si="2"/>
        <v>-0.59783700075562041</v>
      </c>
    </row>
    <row r="17" spans="1:9" ht="19.95" customHeight="1" x14ac:dyDescent="0.3">
      <c r="A17" s="23"/>
      <c r="B17" s="23"/>
      <c r="C17" s="24"/>
      <c r="D17" s="24"/>
      <c r="E17" s="24"/>
      <c r="F17" s="24"/>
      <c r="G17" s="26" t="s">
        <v>59</v>
      </c>
      <c r="H17" s="26">
        <f>SUM(H12:H16)</f>
        <v>-0.63072302952522286</v>
      </c>
      <c r="I17" s="26">
        <f>SUM(I12:I16)</f>
        <v>-0.75077503407230206</v>
      </c>
    </row>
    <row r="18" spans="1:9" x14ac:dyDescent="0.3">
      <c r="A18" s="36"/>
      <c r="B18" s="36"/>
      <c r="C18" s="36"/>
      <c r="D18" s="36"/>
      <c r="E18" s="36"/>
      <c r="F18" s="36"/>
      <c r="G18" s="36"/>
      <c r="H18" s="36"/>
      <c r="I18" s="36"/>
    </row>
  </sheetData>
  <printOptions horizontalCentered="1" verticalCentered="1"/>
  <pageMargins left="0.25" right="0.25" top="0.75" bottom="0.75" header="0.3" footer="0.3"/>
  <pageSetup paperSize="6" fitToWidth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2"/>
  <sheetViews>
    <sheetView topLeftCell="A16" workbookViewId="0">
      <selection activeCell="F8" sqref="F8"/>
    </sheetView>
  </sheetViews>
  <sheetFormatPr defaultColWidth="11.19921875" defaultRowHeight="15.6" x14ac:dyDescent="0.3"/>
  <cols>
    <col min="1" max="1" width="9.69921875" style="36" customWidth="1"/>
    <col min="2" max="2" width="32.8984375" style="36" customWidth="1"/>
    <col min="3" max="3" width="25" style="36" customWidth="1"/>
    <col min="4" max="5" width="9" style="36" customWidth="1"/>
    <col min="6" max="6" width="14.8984375" style="36" customWidth="1"/>
    <col min="7" max="7" width="16.3984375" style="36" customWidth="1"/>
    <col min="8" max="16384" width="11.19921875" style="36"/>
  </cols>
  <sheetData>
    <row r="1" spans="1:7" x14ac:dyDescent="0.3">
      <c r="A1" s="36" t="s">
        <v>61</v>
      </c>
    </row>
    <row r="3" spans="1:7" x14ac:dyDescent="0.3">
      <c r="A3" s="37" t="s">
        <v>84</v>
      </c>
      <c r="B3" s="37"/>
      <c r="C3" s="37"/>
      <c r="D3" s="37"/>
      <c r="E3" s="37"/>
      <c r="F3" s="37"/>
    </row>
    <row r="4" spans="1:7" x14ac:dyDescent="0.3">
      <c r="A4" s="37"/>
      <c r="B4" s="37"/>
      <c r="C4" s="37"/>
      <c r="D4" s="37"/>
      <c r="E4" s="37"/>
      <c r="F4" s="37"/>
    </row>
    <row r="5" spans="1:7" x14ac:dyDescent="0.3">
      <c r="A5" s="37" t="s">
        <v>6</v>
      </c>
      <c r="B5" s="37" t="s">
        <v>7</v>
      </c>
      <c r="C5" s="37" t="s">
        <v>63</v>
      </c>
      <c r="D5" s="37" t="s">
        <v>64</v>
      </c>
      <c r="E5" s="37" t="s">
        <v>62</v>
      </c>
      <c r="F5" s="37" t="s">
        <v>65</v>
      </c>
    </row>
    <row r="6" spans="1:7" ht="78" x14ac:dyDescent="0.3">
      <c r="A6" s="23" t="s">
        <v>86</v>
      </c>
      <c r="B6" s="37" t="s">
        <v>85</v>
      </c>
      <c r="C6" s="37">
        <v>0.55000000000000004</v>
      </c>
      <c r="D6" s="37">
        <f>0.8</f>
        <v>0.8</v>
      </c>
      <c r="E6" s="37">
        <f>40</f>
        <v>40</v>
      </c>
      <c r="F6" s="37">
        <f>E6*(LN(C6)+LN(D6))</f>
        <v>-32.839222082793206</v>
      </c>
    </row>
    <row r="7" spans="1:7" ht="78" x14ac:dyDescent="0.3">
      <c r="A7" s="23" t="s">
        <v>87</v>
      </c>
      <c r="B7" s="37" t="s">
        <v>85</v>
      </c>
      <c r="C7" s="37">
        <v>0.37</v>
      </c>
      <c r="D7" s="37">
        <f>0.8</f>
        <v>0.8</v>
      </c>
      <c r="E7" s="37">
        <f>60</f>
        <v>60</v>
      </c>
      <c r="F7" s="37">
        <f>E7*(LN(C7)+LN(D7))</f>
        <v>-73.043749479484603</v>
      </c>
    </row>
    <row r="8" spans="1:7" x14ac:dyDescent="0.3">
      <c r="A8" s="37"/>
      <c r="B8" s="37"/>
      <c r="C8" s="37"/>
      <c r="D8" s="37"/>
      <c r="E8" s="37"/>
      <c r="F8" s="15">
        <f>SUM(F6:F7)/100</f>
        <v>-1.0588297156227782</v>
      </c>
    </row>
    <row r="9" spans="1:7" x14ac:dyDescent="0.3">
      <c r="A9" s="37"/>
      <c r="B9" s="37"/>
      <c r="C9" s="37"/>
      <c r="D9" s="37"/>
      <c r="E9" s="37"/>
      <c r="F9" s="38"/>
    </row>
    <row r="10" spans="1:7" x14ac:dyDescent="0.3">
      <c r="A10" s="37"/>
      <c r="B10" s="37"/>
      <c r="C10" s="37"/>
      <c r="D10" s="37"/>
      <c r="E10" s="37"/>
      <c r="F10" s="38"/>
    </row>
    <row r="12" spans="1:7" x14ac:dyDescent="0.3">
      <c r="B12" s="37" t="s">
        <v>84</v>
      </c>
      <c r="C12" s="37"/>
      <c r="D12" s="37"/>
      <c r="E12" s="37"/>
      <c r="F12" s="37"/>
      <c r="G12" s="37"/>
    </row>
    <row r="13" spans="1:7" x14ac:dyDescent="0.3">
      <c r="B13" s="37"/>
      <c r="C13" s="37"/>
      <c r="D13" s="37"/>
      <c r="E13" s="37"/>
      <c r="F13" s="37"/>
      <c r="G13" s="37"/>
    </row>
    <row r="14" spans="1:7" ht="28.2" customHeight="1" x14ac:dyDescent="0.3">
      <c r="A14" s="39" t="s">
        <v>2</v>
      </c>
      <c r="B14" s="40" t="s">
        <v>6</v>
      </c>
      <c r="C14" s="40" t="s">
        <v>7</v>
      </c>
      <c r="D14" s="40" t="s">
        <v>63</v>
      </c>
      <c r="E14" s="40" t="s">
        <v>64</v>
      </c>
      <c r="F14" s="40" t="s">
        <v>62</v>
      </c>
      <c r="G14" s="46" t="s">
        <v>90</v>
      </c>
    </row>
    <row r="15" spans="1:7" x14ac:dyDescent="0.3">
      <c r="A15" s="41" t="s">
        <v>66</v>
      </c>
      <c r="B15" s="42" t="s">
        <v>88</v>
      </c>
      <c r="C15" s="43" t="s">
        <v>85</v>
      </c>
      <c r="D15" s="43">
        <v>0.55000000000000004</v>
      </c>
      <c r="E15" s="43">
        <f>0.8</f>
        <v>0.8</v>
      </c>
      <c r="F15" s="43">
        <f>40</f>
        <v>40</v>
      </c>
      <c r="G15" s="44">
        <f>F15*(LN(D15)+LN(E15))</f>
        <v>-32.839222082793206</v>
      </c>
    </row>
    <row r="16" spans="1:7" x14ac:dyDescent="0.3">
      <c r="A16" s="41" t="s">
        <v>67</v>
      </c>
      <c r="B16" s="42" t="s">
        <v>67</v>
      </c>
      <c r="C16" s="43" t="s">
        <v>67</v>
      </c>
      <c r="D16" s="43" t="s">
        <v>67</v>
      </c>
      <c r="E16" s="43" t="s">
        <v>67</v>
      </c>
      <c r="F16" s="43" t="s">
        <v>67</v>
      </c>
      <c r="G16" s="44" t="s">
        <v>67</v>
      </c>
    </row>
    <row r="17" spans="1:7" x14ac:dyDescent="0.3">
      <c r="A17" s="41" t="s">
        <v>68</v>
      </c>
      <c r="B17" s="42" t="s">
        <v>88</v>
      </c>
      <c r="C17" s="43" t="s">
        <v>85</v>
      </c>
      <c r="D17" s="43">
        <v>0.55000000000000004</v>
      </c>
      <c r="E17" s="43">
        <f>0.8</f>
        <v>0.8</v>
      </c>
      <c r="F17" s="43">
        <f>40</f>
        <v>40</v>
      </c>
      <c r="G17" s="44">
        <f>F17*(LN(D17)+LN(E17))</f>
        <v>-32.839222082793206</v>
      </c>
    </row>
    <row r="18" spans="1:7" x14ac:dyDescent="0.3">
      <c r="A18" s="41" t="s">
        <v>69</v>
      </c>
      <c r="B18" s="42" t="s">
        <v>89</v>
      </c>
      <c r="C18" s="43" t="s">
        <v>85</v>
      </c>
      <c r="D18" s="43">
        <v>0.37</v>
      </c>
      <c r="E18" s="43">
        <f>0.8</f>
        <v>0.8</v>
      </c>
      <c r="F18" s="43">
        <f>60</f>
        <v>60</v>
      </c>
      <c r="G18" s="44">
        <f>F18*(LN(D18)+LN(E18))</f>
        <v>-73.043749479484603</v>
      </c>
    </row>
    <row r="19" spans="1:7" x14ac:dyDescent="0.3">
      <c r="A19" s="41" t="s">
        <v>67</v>
      </c>
      <c r="B19" s="42" t="s">
        <v>67</v>
      </c>
      <c r="C19" s="43" t="s">
        <v>67</v>
      </c>
      <c r="D19" s="43" t="s">
        <v>67</v>
      </c>
      <c r="E19" s="43" t="s">
        <v>67</v>
      </c>
      <c r="F19" s="43" t="s">
        <v>67</v>
      </c>
      <c r="G19" s="44" t="s">
        <v>67</v>
      </c>
    </row>
    <row r="20" spans="1:7" x14ac:dyDescent="0.3">
      <c r="A20" s="41" t="s">
        <v>70</v>
      </c>
      <c r="B20" s="42" t="s">
        <v>89</v>
      </c>
      <c r="C20" s="43" t="s">
        <v>85</v>
      </c>
      <c r="D20" s="43">
        <v>0.37</v>
      </c>
      <c r="E20" s="43">
        <f>0.8</f>
        <v>0.8</v>
      </c>
      <c r="F20" s="43">
        <f>60</f>
        <v>60</v>
      </c>
      <c r="G20" s="44">
        <f>F20*(LN(D20)+LN(E20))</f>
        <v>-73.043749479484603</v>
      </c>
    </row>
    <row r="21" spans="1:7" x14ac:dyDescent="0.3">
      <c r="A21" s="41"/>
      <c r="B21" s="41"/>
      <c r="C21" s="41"/>
      <c r="D21" s="41"/>
      <c r="E21" s="41"/>
      <c r="F21" s="41" t="s">
        <v>71</v>
      </c>
      <c r="G21" s="45">
        <f>F8</f>
        <v>-1.0588297156227782</v>
      </c>
    </row>
    <row r="25" spans="1:7" x14ac:dyDescent="0.3">
      <c r="A25" s="39" t="s">
        <v>2</v>
      </c>
      <c r="B25" s="40" t="s">
        <v>6</v>
      </c>
      <c r="C25" s="40" t="s">
        <v>7</v>
      </c>
      <c r="D25" s="40" t="s">
        <v>63</v>
      </c>
      <c r="E25" s="40" t="s">
        <v>64</v>
      </c>
      <c r="F25" s="46" t="s">
        <v>93</v>
      </c>
    </row>
    <row r="26" spans="1:7" x14ac:dyDescent="0.3">
      <c r="A26" s="41" t="s">
        <v>66</v>
      </c>
      <c r="B26" s="42" t="s">
        <v>88</v>
      </c>
      <c r="C26" s="43" t="s">
        <v>85</v>
      </c>
      <c r="D26" s="43">
        <v>0.55000000000000004</v>
      </c>
      <c r="E26" s="43">
        <f>0.8</f>
        <v>0.8</v>
      </c>
      <c r="F26" s="44">
        <f>(LN(D26)+LN(E26))</f>
        <v>-0.82098055206983012</v>
      </c>
    </row>
    <row r="27" spans="1:7" x14ac:dyDescent="0.3">
      <c r="A27" s="41" t="s">
        <v>67</v>
      </c>
      <c r="B27" s="42" t="s">
        <v>67</v>
      </c>
      <c r="C27" s="43" t="s">
        <v>67</v>
      </c>
      <c r="D27" s="43" t="s">
        <v>67</v>
      </c>
      <c r="E27" s="43" t="s">
        <v>67</v>
      </c>
      <c r="F27" s="44"/>
    </row>
    <row r="28" spans="1:7" x14ac:dyDescent="0.3">
      <c r="A28" s="41" t="s">
        <v>68</v>
      </c>
      <c r="B28" s="42" t="s">
        <v>88</v>
      </c>
      <c r="C28" s="43" t="s">
        <v>85</v>
      </c>
      <c r="D28" s="43">
        <v>0.55000000000000004</v>
      </c>
      <c r="E28" s="43">
        <f>0.8</f>
        <v>0.8</v>
      </c>
      <c r="F28" s="44">
        <f t="shared" ref="F27:F31" si="0">(LN(D28)+LN(E28))</f>
        <v>-0.82098055206983012</v>
      </c>
    </row>
    <row r="29" spans="1:7" x14ac:dyDescent="0.3">
      <c r="A29" s="41" t="s">
        <v>69</v>
      </c>
      <c r="B29" s="42" t="s">
        <v>89</v>
      </c>
      <c r="C29" s="43" t="s">
        <v>85</v>
      </c>
      <c r="D29" s="43">
        <v>0.37</v>
      </c>
      <c r="E29" s="43">
        <f>0.8</f>
        <v>0.8</v>
      </c>
      <c r="F29" s="44">
        <f t="shared" si="0"/>
        <v>-1.2173958246580767</v>
      </c>
    </row>
    <row r="30" spans="1:7" x14ac:dyDescent="0.3">
      <c r="A30" s="41" t="s">
        <v>67</v>
      </c>
      <c r="B30" s="42" t="s">
        <v>67</v>
      </c>
      <c r="C30" s="43" t="s">
        <v>67</v>
      </c>
      <c r="D30" s="43" t="s">
        <v>67</v>
      </c>
      <c r="E30" s="43" t="s">
        <v>67</v>
      </c>
      <c r="F30" s="44"/>
    </row>
    <row r="31" spans="1:7" x14ac:dyDescent="0.3">
      <c r="A31" s="41" t="s">
        <v>70</v>
      </c>
      <c r="B31" s="42" t="s">
        <v>89</v>
      </c>
      <c r="C31" s="43" t="s">
        <v>85</v>
      </c>
      <c r="D31" s="43">
        <v>0.37</v>
      </c>
      <c r="E31" s="43">
        <f>0.8</f>
        <v>0.8</v>
      </c>
      <c r="F31" s="44">
        <f t="shared" si="0"/>
        <v>-1.2173958246580767</v>
      </c>
    </row>
    <row r="32" spans="1:7" x14ac:dyDescent="0.3">
      <c r="A32" s="41"/>
      <c r="B32" s="41"/>
      <c r="C32" s="41"/>
      <c r="D32" s="41"/>
      <c r="E32" s="41" t="s">
        <v>71</v>
      </c>
      <c r="F32" s="45">
        <f>F8</f>
        <v>-1.0588297156227782</v>
      </c>
    </row>
  </sheetData>
  <phoneticPr fontId="9" type="noConversion"/>
  <pageMargins left="0.75" right="0.75" top="1" bottom="1" header="0.5" footer="0.5"/>
  <pageSetup scale="74" orientation="portrait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"/>
  <sheetViews>
    <sheetView workbookViewId="0">
      <selection sqref="A1:F8"/>
    </sheetView>
  </sheetViews>
  <sheetFormatPr defaultRowHeight="15.6" x14ac:dyDescent="0.3"/>
  <cols>
    <col min="1" max="1" width="9.69921875" customWidth="1"/>
    <col min="2" max="2" width="32.8984375" customWidth="1"/>
    <col min="3" max="3" width="25" customWidth="1"/>
    <col min="4" max="5" width="9" customWidth="1"/>
    <col min="6" max="6" width="14.8984375" customWidth="1"/>
  </cols>
  <sheetData>
    <row r="1" spans="1:6" x14ac:dyDescent="0.3">
      <c r="A1" s="39" t="s">
        <v>2</v>
      </c>
      <c r="B1" s="40" t="s">
        <v>6</v>
      </c>
      <c r="C1" s="40" t="s">
        <v>7</v>
      </c>
      <c r="D1" s="40" t="s">
        <v>63</v>
      </c>
      <c r="E1" s="40" t="s">
        <v>64</v>
      </c>
      <c r="F1" s="46" t="s">
        <v>93</v>
      </c>
    </row>
    <row r="2" spans="1:6" x14ac:dyDescent="0.3">
      <c r="A2" s="41" t="s">
        <v>66</v>
      </c>
      <c r="B2" s="42" t="s">
        <v>88</v>
      </c>
      <c r="C2" s="43" t="s">
        <v>85</v>
      </c>
      <c r="D2" s="43">
        <v>0.55000000000000004</v>
      </c>
      <c r="E2" s="43">
        <f>0.8</f>
        <v>0.8</v>
      </c>
      <c r="F2" s="44">
        <f>(LN(D2)+LN(E2))</f>
        <v>-0.82098055206983012</v>
      </c>
    </row>
    <row r="3" spans="1:6" x14ac:dyDescent="0.3">
      <c r="A3" s="41" t="s">
        <v>67</v>
      </c>
      <c r="B3" s="42" t="s">
        <v>67</v>
      </c>
      <c r="C3" s="43" t="s">
        <v>67</v>
      </c>
      <c r="D3" s="43" t="s">
        <v>67</v>
      </c>
      <c r="E3" s="43" t="s">
        <v>67</v>
      </c>
      <c r="F3" s="44"/>
    </row>
    <row r="4" spans="1:6" x14ac:dyDescent="0.3">
      <c r="A4" s="41" t="s">
        <v>68</v>
      </c>
      <c r="B4" s="42" t="s">
        <v>88</v>
      </c>
      <c r="C4" s="43" t="s">
        <v>85</v>
      </c>
      <c r="D4" s="43">
        <v>0.55000000000000004</v>
      </c>
      <c r="E4" s="43">
        <f>0.8</f>
        <v>0.8</v>
      </c>
      <c r="F4" s="44">
        <f t="shared" ref="F4:F7" si="0">(LN(D4)+LN(E4))</f>
        <v>-0.82098055206983012</v>
      </c>
    </row>
    <row r="5" spans="1:6" x14ac:dyDescent="0.3">
      <c r="A5" s="41" t="s">
        <v>69</v>
      </c>
      <c r="B5" s="42" t="s">
        <v>89</v>
      </c>
      <c r="C5" s="43" t="s">
        <v>85</v>
      </c>
      <c r="D5" s="43">
        <v>0.37</v>
      </c>
      <c r="E5" s="43">
        <f>0.8</f>
        <v>0.8</v>
      </c>
      <c r="F5" s="44">
        <f t="shared" si="0"/>
        <v>-1.2173958246580767</v>
      </c>
    </row>
    <row r="6" spans="1:6" x14ac:dyDescent="0.3">
      <c r="A6" s="41" t="s">
        <v>67</v>
      </c>
      <c r="B6" s="42" t="s">
        <v>67</v>
      </c>
      <c r="C6" s="43" t="s">
        <v>67</v>
      </c>
      <c r="D6" s="43" t="s">
        <v>67</v>
      </c>
      <c r="E6" s="43" t="s">
        <v>67</v>
      </c>
      <c r="F6" s="44"/>
    </row>
    <row r="7" spans="1:6" x14ac:dyDescent="0.3">
      <c r="A7" s="41" t="s">
        <v>70</v>
      </c>
      <c r="B7" s="42" t="s">
        <v>89</v>
      </c>
      <c r="C7" s="43" t="s">
        <v>85</v>
      </c>
      <c r="D7" s="43">
        <v>0.37</v>
      </c>
      <c r="E7" s="43">
        <f>0.8</f>
        <v>0.8</v>
      </c>
      <c r="F7" s="44">
        <f t="shared" si="0"/>
        <v>-1.2173958246580767</v>
      </c>
    </row>
    <row r="8" spans="1:6" x14ac:dyDescent="0.3">
      <c r="A8" s="41"/>
      <c r="B8" s="41"/>
      <c r="C8" s="41"/>
      <c r="D8" s="41"/>
      <c r="E8" s="41" t="s">
        <v>71</v>
      </c>
      <c r="F8" s="45">
        <v>-1.0589999999999999</v>
      </c>
    </row>
  </sheetData>
  <printOptions horizontalCentered="1" verticalCentered="1"/>
  <pageMargins left="0.7" right="0.7" top="0.75" bottom="0.75" header="0.3" footer="0.3"/>
  <pageSetup paperSize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</vt:lpstr>
      <vt:lpstr>m</vt:lpstr>
      <vt:lpstr>w vs. m</vt:lpstr>
      <vt:lpstr>m_table</vt:lpstr>
      <vt:lpstr>w_table</vt:lpstr>
      <vt:lpstr>total</vt:lpstr>
      <vt:lpstr>random</vt:lpstr>
      <vt:lpstr>Sheet2</vt:lpstr>
    </vt:vector>
  </TitlesOfParts>
  <Company>Simon Fraser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Schulte</dc:creator>
  <cp:lastModifiedBy>Zhensong Qian</cp:lastModifiedBy>
  <cp:lastPrinted>2013-11-07T19:07:44Z</cp:lastPrinted>
  <dcterms:created xsi:type="dcterms:W3CDTF">2013-06-03T20:55:53Z</dcterms:created>
  <dcterms:modified xsi:type="dcterms:W3CDTF">2013-11-08T19:06:00Z</dcterms:modified>
</cp:coreProperties>
</file>