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ECH\Mech 4\MECH431\"/>
    </mc:Choice>
  </mc:AlternateContent>
  <xr:revisionPtr revIDLastSave="0" documentId="13_ncr:1_{17C9D7B6-2641-43D7-A204-8372E8081AD9}" xr6:coauthVersionLast="44" xr6:coauthVersionMax="44" xr10:uidLastSave="{00000000-0000-0000-0000-000000000000}"/>
  <bookViews>
    <workbookView xWindow="-108" yWindow="-108" windowWidth="23256" windowHeight="12720" activeTab="1" xr2:uid="{41D29B6B-EF91-42CC-9A4F-B374EBA33426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S8" i="2" l="1"/>
  <c r="S9" i="2"/>
  <c r="S10" i="2"/>
  <c r="S11" i="2"/>
  <c r="S12" i="2"/>
  <c r="S13" i="2"/>
  <c r="S14" i="2"/>
  <c r="S15" i="2"/>
  <c r="S16" i="2"/>
  <c r="S17" i="2"/>
  <c r="S18" i="2"/>
  <c r="S19" i="2"/>
  <c r="S20" i="2"/>
  <c r="S21" i="2"/>
  <c r="S22" i="2"/>
  <c r="S23" i="2"/>
  <c r="S24" i="2"/>
  <c r="S25" i="2"/>
  <c r="S26" i="2"/>
  <c r="S27" i="2"/>
  <c r="S28" i="2"/>
  <c r="S29" i="2"/>
  <c r="S30" i="2"/>
  <c r="S31" i="2"/>
  <c r="S32" i="2"/>
  <c r="S7" i="2"/>
  <c r="R7" i="2"/>
  <c r="D32" i="2"/>
  <c r="E32" i="2"/>
  <c r="G32" i="2"/>
  <c r="G8" i="2"/>
  <c r="I7" i="2"/>
  <c r="H7" i="2"/>
  <c r="G7" i="2"/>
  <c r="E7" i="2"/>
  <c r="F7" i="2" s="1"/>
  <c r="H8" i="2"/>
  <c r="T4" i="2"/>
  <c r="E9" i="2"/>
  <c r="F9" i="2" s="1"/>
  <c r="D9" i="2"/>
  <c r="D10" i="2" s="1"/>
  <c r="D11" i="2" s="1"/>
  <c r="D12" i="2" s="1"/>
  <c r="D13" i="2" s="1"/>
  <c r="D14" i="2" s="1"/>
  <c r="D15" i="2" s="1"/>
  <c r="D16" i="2" s="1"/>
  <c r="D17" i="2" s="1"/>
  <c r="D18" i="2" s="1"/>
  <c r="D19" i="2" s="1"/>
  <c r="D20" i="2" s="1"/>
  <c r="D21" i="2" s="1"/>
  <c r="D22" i="2" s="1"/>
  <c r="D23" i="2" s="1"/>
  <c r="D24" i="2" s="1"/>
  <c r="D25" i="2" s="1"/>
  <c r="D26" i="2" s="1"/>
  <c r="D27" i="2" s="1"/>
  <c r="D28" i="2" s="1"/>
  <c r="D29" i="2" s="1"/>
  <c r="D30" i="2" s="1"/>
  <c r="D31" i="2" s="1"/>
  <c r="F8" i="2"/>
  <c r="F5" i="1"/>
  <c r="F4" i="1"/>
  <c r="E5" i="1"/>
  <c r="E4" i="1"/>
  <c r="K3" i="1"/>
  <c r="I3" i="1"/>
  <c r="H3" i="1"/>
  <c r="F3" i="1"/>
  <c r="L7" i="2" l="1"/>
  <c r="M7" i="2" s="1"/>
  <c r="N7" i="2" s="1"/>
  <c r="O7" i="2" s="1"/>
  <c r="L8" i="2"/>
  <c r="E10" i="2"/>
  <c r="I8" i="2"/>
  <c r="G9" i="2" s="1"/>
  <c r="H4" i="1"/>
  <c r="M8" i="2" l="1"/>
  <c r="N8" i="2" s="1"/>
  <c r="P7" i="2"/>
  <c r="F10" i="2"/>
  <c r="E11" i="2"/>
  <c r="H9" i="2"/>
  <c r="I4" i="1"/>
  <c r="K4" i="1" s="1"/>
  <c r="O8" i="2" l="1"/>
  <c r="P8" i="2" s="1"/>
  <c r="I9" i="2"/>
  <c r="G10" i="2" s="1"/>
  <c r="H10" i="2" s="1"/>
  <c r="I10" i="2" s="1"/>
  <c r="G11" i="2" s="1"/>
  <c r="H11" i="2" s="1"/>
  <c r="I11" i="2" s="1"/>
  <c r="G12" i="2" s="1"/>
  <c r="H12" i="2" s="1"/>
  <c r="I12" i="2" s="1"/>
  <c r="G13" i="2" s="1"/>
  <c r="H13" i="2" s="1"/>
  <c r="I13" i="2" s="1"/>
  <c r="G14" i="2" s="1"/>
  <c r="L9" i="2"/>
  <c r="M9" i="2" s="1"/>
  <c r="N9" i="2" s="1"/>
  <c r="O9" i="2" s="1"/>
  <c r="R9" i="2" s="1"/>
  <c r="E12" i="2"/>
  <c r="F11" i="2"/>
  <c r="J4" i="1"/>
  <c r="D5" i="1" s="1"/>
  <c r="H5" i="1" s="1"/>
  <c r="R8" i="2" l="1"/>
  <c r="P9" i="2"/>
  <c r="L10" i="2"/>
  <c r="M10" i="2" s="1"/>
  <c r="N10" i="2" s="1"/>
  <c r="O10" i="2" s="1"/>
  <c r="R10" i="2" s="1"/>
  <c r="L11" i="2"/>
  <c r="M11" i="2" s="1"/>
  <c r="N11" i="2" s="1"/>
  <c r="O11" i="2" s="1"/>
  <c r="R11" i="2" s="1"/>
  <c r="H14" i="2"/>
  <c r="I14" i="2" s="1"/>
  <c r="G15" i="2" s="1"/>
  <c r="H15" i="2" s="1"/>
  <c r="I15" i="2" s="1"/>
  <c r="G16" i="2" s="1"/>
  <c r="E13" i="2"/>
  <c r="F12" i="2"/>
  <c r="L12" i="2" s="1"/>
  <c r="M12" i="2" s="1"/>
  <c r="N12" i="2" s="1"/>
  <c r="O12" i="2" s="1"/>
  <c r="R12" i="2" s="1"/>
  <c r="I5" i="1"/>
  <c r="K5" i="1" s="1"/>
  <c r="P10" i="2" l="1"/>
  <c r="P11" i="2"/>
  <c r="P12" i="2"/>
  <c r="F13" i="2"/>
  <c r="L13" i="2" s="1"/>
  <c r="M13" i="2" s="1"/>
  <c r="N13" i="2" s="1"/>
  <c r="O13" i="2" s="1"/>
  <c r="R13" i="2" s="1"/>
  <c r="E14" i="2"/>
  <c r="H16" i="2"/>
  <c r="I16" i="2"/>
  <c r="G17" i="2" s="1"/>
  <c r="J5" i="1"/>
  <c r="P13" i="2" l="1"/>
  <c r="E15" i="2"/>
  <c r="F14" i="2"/>
  <c r="L14" i="2" s="1"/>
  <c r="M14" i="2" s="1"/>
  <c r="N14" i="2" s="1"/>
  <c r="O14" i="2" s="1"/>
  <c r="R14" i="2" s="1"/>
  <c r="H17" i="2"/>
  <c r="I17" i="2" s="1"/>
  <c r="G18" i="2" s="1"/>
  <c r="P14" i="2" l="1"/>
  <c r="E16" i="2"/>
  <c r="F15" i="2"/>
  <c r="L15" i="2" s="1"/>
  <c r="H18" i="2"/>
  <c r="I18" i="2" s="1"/>
  <c r="G19" i="2" s="1"/>
  <c r="M15" i="2" l="1"/>
  <c r="N15" i="2" s="1"/>
  <c r="O15" i="2" s="1"/>
  <c r="R15" i="2" s="1"/>
  <c r="E17" i="2"/>
  <c r="F16" i="2"/>
  <c r="L16" i="2" s="1"/>
  <c r="M16" i="2" s="1"/>
  <c r="N16" i="2" s="1"/>
  <c r="O16" i="2" s="1"/>
  <c r="R16" i="2" s="1"/>
  <c r="H19" i="2"/>
  <c r="I19" i="2" s="1"/>
  <c r="G20" i="2" s="1"/>
  <c r="P16" i="2" l="1"/>
  <c r="P15" i="2"/>
  <c r="E18" i="2"/>
  <c r="F17" i="2"/>
  <c r="L17" i="2" s="1"/>
  <c r="M17" i="2" s="1"/>
  <c r="N17" i="2" s="1"/>
  <c r="O17" i="2" s="1"/>
  <c r="R17" i="2" s="1"/>
  <c r="H20" i="2"/>
  <c r="I20" i="2" s="1"/>
  <c r="G21" i="2" s="1"/>
  <c r="P17" i="2" l="1"/>
  <c r="E19" i="2"/>
  <c r="F18" i="2"/>
  <c r="L18" i="2" s="1"/>
  <c r="M18" i="2" s="1"/>
  <c r="N18" i="2" s="1"/>
  <c r="O18" i="2" s="1"/>
  <c r="R18" i="2" s="1"/>
  <c r="H21" i="2"/>
  <c r="I21" i="2" s="1"/>
  <c r="G22" i="2" s="1"/>
  <c r="P18" i="2" l="1"/>
  <c r="E20" i="2"/>
  <c r="F19" i="2"/>
  <c r="L19" i="2" s="1"/>
  <c r="H22" i="2"/>
  <c r="I22" i="2" s="1"/>
  <c r="G23" i="2" s="1"/>
  <c r="M19" i="2" l="1"/>
  <c r="N19" i="2" s="1"/>
  <c r="O19" i="2" s="1"/>
  <c r="R19" i="2" s="1"/>
  <c r="F20" i="2"/>
  <c r="L20" i="2" s="1"/>
  <c r="M20" i="2" s="1"/>
  <c r="N20" i="2" s="1"/>
  <c r="O20" i="2" s="1"/>
  <c r="R20" i="2" s="1"/>
  <c r="E21" i="2"/>
  <c r="H23" i="2"/>
  <c r="I23" i="2" s="1"/>
  <c r="G24" i="2" s="1"/>
  <c r="P20" i="2" l="1"/>
  <c r="P19" i="2"/>
  <c r="F21" i="2"/>
  <c r="L21" i="2" s="1"/>
  <c r="M21" i="2" s="1"/>
  <c r="N21" i="2" s="1"/>
  <c r="O21" i="2" s="1"/>
  <c r="R21" i="2" s="1"/>
  <c r="E22" i="2"/>
  <c r="H24" i="2"/>
  <c r="I24" i="2" s="1"/>
  <c r="G25" i="2" s="1"/>
  <c r="P21" i="2" l="1"/>
  <c r="E23" i="2"/>
  <c r="F22" i="2"/>
  <c r="L22" i="2" s="1"/>
  <c r="H25" i="2"/>
  <c r="I25" i="2" s="1"/>
  <c r="G26" i="2" s="1"/>
  <c r="M22" i="2" l="1"/>
  <c r="N22" i="2" s="1"/>
  <c r="O22" i="2" s="1"/>
  <c r="R22" i="2" s="1"/>
  <c r="E24" i="2"/>
  <c r="F23" i="2"/>
  <c r="L23" i="2" s="1"/>
  <c r="M23" i="2" s="1"/>
  <c r="N23" i="2" s="1"/>
  <c r="O23" i="2" s="1"/>
  <c r="R23" i="2" s="1"/>
  <c r="H26" i="2"/>
  <c r="I26" i="2" s="1"/>
  <c r="G27" i="2" s="1"/>
  <c r="P23" i="2" l="1"/>
  <c r="P22" i="2"/>
  <c r="E25" i="2"/>
  <c r="F24" i="2"/>
  <c r="L24" i="2" s="1"/>
  <c r="M24" i="2" s="1"/>
  <c r="N24" i="2" s="1"/>
  <c r="O24" i="2" s="1"/>
  <c r="R24" i="2" s="1"/>
  <c r="H27" i="2"/>
  <c r="I27" i="2" s="1"/>
  <c r="G28" i="2" s="1"/>
  <c r="P24" i="2" l="1"/>
  <c r="E26" i="2"/>
  <c r="F25" i="2"/>
  <c r="L25" i="2" s="1"/>
  <c r="M25" i="2" s="1"/>
  <c r="N25" i="2" s="1"/>
  <c r="O25" i="2" s="1"/>
  <c r="R25" i="2" s="1"/>
  <c r="H28" i="2"/>
  <c r="I28" i="2" s="1"/>
  <c r="G29" i="2" s="1"/>
  <c r="P25" i="2" l="1"/>
  <c r="E27" i="2"/>
  <c r="F26" i="2"/>
  <c r="L26" i="2" s="1"/>
  <c r="M26" i="2" s="1"/>
  <c r="N26" i="2" s="1"/>
  <c r="O26" i="2" s="1"/>
  <c r="R26" i="2" s="1"/>
  <c r="H29" i="2"/>
  <c r="I29" i="2" s="1"/>
  <c r="G30" i="2" s="1"/>
  <c r="P26" i="2" l="1"/>
  <c r="E28" i="2"/>
  <c r="F27" i="2"/>
  <c r="L27" i="2" s="1"/>
  <c r="H30" i="2"/>
  <c r="I30" i="2" s="1"/>
  <c r="G31" i="2" s="1"/>
  <c r="M27" i="2" l="1"/>
  <c r="N27" i="2" s="1"/>
  <c r="O27" i="2" s="1"/>
  <c r="R27" i="2" s="1"/>
  <c r="E29" i="2"/>
  <c r="F28" i="2"/>
  <c r="L28" i="2" s="1"/>
  <c r="M28" i="2" s="1"/>
  <c r="N28" i="2" s="1"/>
  <c r="O28" i="2" s="1"/>
  <c r="R28" i="2" s="1"/>
  <c r="H31" i="2"/>
  <c r="I31" i="2" s="1"/>
  <c r="P28" i="2" l="1"/>
  <c r="P27" i="2"/>
  <c r="E30" i="2"/>
  <c r="F29" i="2"/>
  <c r="L29" i="2" s="1"/>
  <c r="M29" i="2" s="1"/>
  <c r="N29" i="2" s="1"/>
  <c r="O29" i="2" s="1"/>
  <c r="R29" i="2" s="1"/>
  <c r="H32" i="2"/>
  <c r="I32" i="2" s="1"/>
  <c r="P29" i="2" l="1"/>
  <c r="E31" i="2"/>
  <c r="F30" i="2"/>
  <c r="L30" i="2" s="1"/>
  <c r="M30" i="2" s="1"/>
  <c r="N30" i="2" s="1"/>
  <c r="O30" i="2" s="1"/>
  <c r="R30" i="2" s="1"/>
  <c r="P30" i="2" l="1"/>
  <c r="F31" i="2"/>
  <c r="L31" i="2" s="1"/>
  <c r="M31" i="2" l="1"/>
  <c r="N31" i="2" s="1"/>
  <c r="O31" i="2" s="1"/>
  <c r="R31" i="2" s="1"/>
  <c r="F32" i="2"/>
  <c r="L32" i="2" s="1"/>
  <c r="P31" i="2" l="1"/>
  <c r="M32" i="2"/>
  <c r="N32" i="2" s="1"/>
  <c r="O32" i="2" s="1"/>
  <c r="R32" i="2" l="1"/>
  <c r="R34" i="2" s="1"/>
  <c r="T34" i="2"/>
  <c r="P32" i="2"/>
</calcChain>
</file>

<file path=xl/sharedStrings.xml><?xml version="1.0" encoding="utf-8"?>
<sst xmlns="http://schemas.openxmlformats.org/spreadsheetml/2006/main" count="40" uniqueCount="37">
  <si>
    <t>year</t>
  </si>
  <si>
    <t>opening ucc</t>
  </si>
  <si>
    <t>purchases</t>
  </si>
  <si>
    <t>rate</t>
  </si>
  <si>
    <t>ucc additions</t>
  </si>
  <si>
    <t xml:space="preserve">dispositions </t>
  </si>
  <si>
    <t>available UCC</t>
  </si>
  <si>
    <t>CCA</t>
  </si>
  <si>
    <t>ending UCC balance</t>
  </si>
  <si>
    <t xml:space="preserve">tax shield </t>
  </si>
  <si>
    <t>tax rate</t>
  </si>
  <si>
    <t>tech</t>
  </si>
  <si>
    <t xml:space="preserve">cost </t>
  </si>
  <si>
    <t>mortgage</t>
  </si>
  <si>
    <t>tax</t>
  </si>
  <si>
    <t>MARR</t>
  </si>
  <si>
    <t>CCA %</t>
  </si>
  <si>
    <t>allowable increase</t>
  </si>
  <si>
    <t xml:space="preserve">inflation rate </t>
  </si>
  <si>
    <t xml:space="preserve">housing spec rate </t>
  </si>
  <si>
    <t xml:space="preserve">revenue from rent </t>
  </si>
  <si>
    <t>init UCC</t>
  </si>
  <si>
    <t>End UCC</t>
  </si>
  <si>
    <t>costs</t>
  </si>
  <si>
    <t>btcf</t>
  </si>
  <si>
    <t>Net</t>
  </si>
  <si>
    <t>ATCF</t>
  </si>
  <si>
    <t>income to be taxed</t>
  </si>
  <si>
    <t>interest</t>
  </si>
  <si>
    <t>Ncfo</t>
  </si>
  <si>
    <t>month</t>
  </si>
  <si>
    <t>after tax npv</t>
  </si>
  <si>
    <t xml:space="preserve">cost basis </t>
  </si>
  <si>
    <t>IRR</t>
  </si>
  <si>
    <t>Dispositions</t>
  </si>
  <si>
    <t>For NPV</t>
  </si>
  <si>
    <t>For IRR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</si>
</sst>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9" fontId="0" fillId="0" borderId="0" xfId="0" applyNumberFormat="1"/>
    <xf numFmtId="0" fontId="1" fillId="0" borderId="0" xfId="0" applyFont="1"/>
    <xf numFmtId="0" fontId="1" fillId="2" borderId="1" xfId="0" applyFont="1" applyFill="1" applyBorder="1"/>
    <xf numFmtId="0" fontId="0" fillId="2" borderId="1" xfId="0" applyFill="1" applyBorder="1"/>
    <xf numFmtId="0" fontId="0" fillId="2" borderId="0" xfId="0" applyFill="1" applyBorder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D9E0C9-3AE9-4C52-9512-843291DB6D98}">
  <dimension ref="C2:K10"/>
  <sheetViews>
    <sheetView workbookViewId="0">
      <selection activeCell="C11" sqref="C11"/>
    </sheetView>
  </sheetViews>
  <sheetFormatPr defaultRowHeight="14.4" x14ac:dyDescent="0.3"/>
  <cols>
    <col min="4" max="4" width="15.109375" customWidth="1"/>
    <col min="5" max="5" width="16.109375" customWidth="1"/>
    <col min="6" max="6" width="20" customWidth="1"/>
    <col min="7" max="7" width="19.6640625" customWidth="1"/>
    <col min="8" max="8" width="17.5546875" customWidth="1"/>
    <col min="9" max="9" width="11.21875" customWidth="1"/>
    <col min="10" max="10" width="17.21875" customWidth="1"/>
  </cols>
  <sheetData>
    <row r="2" spans="3:11" x14ac:dyDescent="0.3">
      <c r="C2" s="3" t="s">
        <v>0</v>
      </c>
      <c r="D2" s="3" t="s">
        <v>1</v>
      </c>
      <c r="E2" s="3" t="s">
        <v>2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8</v>
      </c>
      <c r="K2" s="3" t="s">
        <v>9</v>
      </c>
    </row>
    <row r="3" spans="3:11" x14ac:dyDescent="0.3">
      <c r="C3" s="4">
        <v>2019</v>
      </c>
      <c r="D3" s="4">
        <v>0</v>
      </c>
      <c r="E3" s="4">
        <v>3317</v>
      </c>
      <c r="F3" s="4">
        <f>E3/2</f>
        <v>1658.5</v>
      </c>
      <c r="G3" s="4">
        <v>0</v>
      </c>
      <c r="H3" s="4">
        <f>F3</f>
        <v>1658.5</v>
      </c>
      <c r="I3" s="4">
        <f>H3*D6</f>
        <v>331.70000000000005</v>
      </c>
      <c r="J3" s="4">
        <v>1326.8</v>
      </c>
      <c r="K3" s="4">
        <f>I3*D7</f>
        <v>6.6340000000000012</v>
      </c>
    </row>
    <row r="4" spans="3:11" x14ac:dyDescent="0.3">
      <c r="C4" s="4">
        <v>2020</v>
      </c>
      <c r="D4" s="4">
        <v>1326.7</v>
      </c>
      <c r="E4" s="4">
        <f>IF(D8=1,3317,2000)</f>
        <v>3317</v>
      </c>
      <c r="F4" s="4">
        <f>E4/2+E3/2</f>
        <v>3317</v>
      </c>
      <c r="G4" s="4">
        <v>0</v>
      </c>
      <c r="H4" s="4">
        <f>D4+F4</f>
        <v>4643.7</v>
      </c>
      <c r="I4" s="4">
        <f>H4*D6</f>
        <v>928.74</v>
      </c>
      <c r="J4" s="4">
        <f>H4-I4</f>
        <v>3714.96</v>
      </c>
      <c r="K4" s="4">
        <f>I4*D7</f>
        <v>18.5748</v>
      </c>
    </row>
    <row r="5" spans="3:11" x14ac:dyDescent="0.3">
      <c r="C5" s="4">
        <v>2021</v>
      </c>
      <c r="D5" s="4">
        <f>J4</f>
        <v>3714.96</v>
      </c>
      <c r="E5" s="4">
        <f>IF(D8=1,3317,2000)</f>
        <v>3317</v>
      </c>
      <c r="F5" s="4">
        <f>E5/2+E4/2</f>
        <v>3317</v>
      </c>
      <c r="G5" s="4">
        <v>0</v>
      </c>
      <c r="H5" s="4">
        <f>D5+F5</f>
        <v>7031.96</v>
      </c>
      <c r="I5" s="4">
        <f>H5*D7</f>
        <v>140.63920000000002</v>
      </c>
      <c r="J5" s="4">
        <f>H5-I5</f>
        <v>6891.3208000000004</v>
      </c>
      <c r="K5" s="4">
        <f>I5*D8</f>
        <v>140.63920000000002</v>
      </c>
    </row>
    <row r="6" spans="3:11" x14ac:dyDescent="0.3">
      <c r="C6" t="s">
        <v>3</v>
      </c>
      <c r="D6">
        <v>0.2</v>
      </c>
      <c r="G6" s="1"/>
    </row>
    <row r="7" spans="3:11" x14ac:dyDescent="0.3">
      <c r="C7" t="s">
        <v>10</v>
      </c>
      <c r="D7" s="5">
        <v>0.02</v>
      </c>
    </row>
    <row r="8" spans="3:11" x14ac:dyDescent="0.3">
      <c r="C8" t="s">
        <v>11</v>
      </c>
      <c r="D8">
        <v>1</v>
      </c>
    </row>
    <row r="10" spans="3:11" x14ac:dyDescent="0.3">
      <c r="C10" t="s">
        <v>30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507BFE-0D74-4A20-B8FD-B919397BFF69}">
  <dimension ref="C1:T34"/>
  <sheetViews>
    <sheetView tabSelected="1" topLeftCell="B1" zoomScale="80" zoomScaleNormal="80" workbookViewId="0">
      <selection activeCell="U13" sqref="U13"/>
    </sheetView>
  </sheetViews>
  <sheetFormatPr defaultRowHeight="14.4" x14ac:dyDescent="0.3"/>
  <cols>
    <col min="4" max="4" width="17" customWidth="1"/>
    <col min="5" max="5" width="16.109375" customWidth="1"/>
    <col min="6" max="6" width="12" customWidth="1"/>
    <col min="7" max="7" width="21.6640625" customWidth="1"/>
    <col min="8" max="8" width="8.6640625" customWidth="1"/>
    <col min="9" max="11" width="15" customWidth="1"/>
    <col min="12" max="12" width="17.77734375" customWidth="1"/>
    <col min="14" max="14" width="15.6640625" customWidth="1"/>
    <col min="17" max="17" width="12.77734375" customWidth="1"/>
    <col min="18" max="18" width="17.33203125" customWidth="1"/>
  </cols>
  <sheetData>
    <row r="1" spans="3:20" x14ac:dyDescent="0.3">
      <c r="C1" s="3"/>
      <c r="D1" s="3" t="s">
        <v>14</v>
      </c>
      <c r="E1" s="3">
        <v>0.38</v>
      </c>
      <c r="F1" s="3"/>
      <c r="G1" s="3" t="s">
        <v>16</v>
      </c>
      <c r="H1" s="3">
        <v>0.04</v>
      </c>
      <c r="I1" s="3" t="s">
        <v>18</v>
      </c>
      <c r="J1" s="3"/>
      <c r="K1" s="3"/>
      <c r="L1" s="3">
        <v>1.7999999999999999E-2</v>
      </c>
    </row>
    <row r="2" spans="3:20" x14ac:dyDescent="0.3">
      <c r="C2" s="3"/>
      <c r="D2" s="3" t="s">
        <v>15</v>
      </c>
      <c r="E2" s="3">
        <v>3.5000000000000003E-2</v>
      </c>
      <c r="F2" s="3"/>
      <c r="G2" s="3" t="s">
        <v>17</v>
      </c>
      <c r="H2" s="3">
        <v>3.6999999999999998E-2</v>
      </c>
      <c r="I2" s="3" t="s">
        <v>19</v>
      </c>
      <c r="J2" s="3"/>
      <c r="K2" s="3"/>
      <c r="L2" s="3">
        <v>0.15</v>
      </c>
      <c r="P2" t="s">
        <v>32</v>
      </c>
      <c r="Q2">
        <v>300000</v>
      </c>
    </row>
    <row r="3" spans="3:20" x14ac:dyDescent="0.3">
      <c r="C3" s="3" t="s">
        <v>12</v>
      </c>
      <c r="D3" s="3" t="s">
        <v>13</v>
      </c>
      <c r="E3" s="3"/>
      <c r="F3" s="3"/>
      <c r="G3" s="3"/>
      <c r="H3" s="3"/>
      <c r="I3" s="3"/>
      <c r="J3" s="3"/>
      <c r="K3" s="3"/>
      <c r="L3" s="3"/>
      <c r="M3" s="2"/>
      <c r="N3" s="2"/>
      <c r="O3" s="2"/>
      <c r="P3" s="2"/>
      <c r="Q3" s="2"/>
      <c r="R3" s="2"/>
    </row>
    <row r="4" spans="3:20" x14ac:dyDescent="0.3">
      <c r="C4" s="3">
        <v>1200000</v>
      </c>
      <c r="D4" s="3">
        <v>900000</v>
      </c>
      <c r="E4" s="3"/>
      <c r="F4" s="3"/>
      <c r="G4" s="3"/>
      <c r="H4" s="3"/>
      <c r="I4" s="3"/>
      <c r="J4" s="3"/>
      <c r="K4" s="3"/>
      <c r="L4" s="3"/>
      <c r="T4">
        <f>(1+E2)*(1+L1)</f>
        <v>1.0536299999999998</v>
      </c>
    </row>
    <row r="6" spans="3:20" x14ac:dyDescent="0.3">
      <c r="C6" s="2" t="s">
        <v>0</v>
      </c>
      <c r="D6" s="2" t="s">
        <v>20</v>
      </c>
      <c r="E6" s="2" t="s">
        <v>23</v>
      </c>
      <c r="F6" s="2" t="s">
        <v>24</v>
      </c>
      <c r="G6" s="2" t="s">
        <v>21</v>
      </c>
      <c r="H6" s="2" t="s">
        <v>7</v>
      </c>
      <c r="I6" s="2" t="s">
        <v>22</v>
      </c>
      <c r="J6" s="2" t="s">
        <v>34</v>
      </c>
      <c r="K6" s="2" t="s">
        <v>28</v>
      </c>
      <c r="L6" s="2" t="s">
        <v>27</v>
      </c>
      <c r="M6" s="2" t="s">
        <v>14</v>
      </c>
      <c r="N6" s="2" t="s">
        <v>25</v>
      </c>
      <c r="O6" s="2" t="s">
        <v>26</v>
      </c>
      <c r="P6" s="2" t="s">
        <v>29</v>
      </c>
      <c r="Q6" s="2"/>
      <c r="R6" s="2" t="s">
        <v>35</v>
      </c>
      <c r="S6" s="2" t="s">
        <v>36</v>
      </c>
    </row>
    <row r="7" spans="3:20" x14ac:dyDescent="0.3">
      <c r="C7">
        <v>0</v>
      </c>
      <c r="D7">
        <v>0</v>
      </c>
      <c r="E7">
        <f>-28000-75000-300000</f>
        <v>-403000</v>
      </c>
      <c r="F7">
        <f>E7</f>
        <v>-403000</v>
      </c>
      <c r="G7">
        <f>$Q$2/4</f>
        <v>75000</v>
      </c>
      <c r="H7">
        <f>$H$1*G7</f>
        <v>3000</v>
      </c>
      <c r="I7">
        <f>G7-H7</f>
        <v>72000</v>
      </c>
      <c r="J7">
        <v>0</v>
      </c>
      <c r="K7">
        <v>18606.63</v>
      </c>
      <c r="L7">
        <f>F7-H7-K7</f>
        <v>-424606.63</v>
      </c>
      <c r="M7">
        <f>$E$1*L7</f>
        <v>-161350.51939999999</v>
      </c>
      <c r="N7">
        <f>L7-M7</f>
        <v>-263256.11060000001</v>
      </c>
      <c r="O7">
        <f>N7+H7+K7</f>
        <v>-241649.48060000001</v>
      </c>
      <c r="P7">
        <f>O7-K7</f>
        <v>-260256.11060000001</v>
      </c>
      <c r="R7">
        <f>O7*($T$4^-C7)</f>
        <v>-241649.48060000001</v>
      </c>
      <c r="S7">
        <f>R7*((1+$L$1)^-C7)</f>
        <v>-241649.48060000001</v>
      </c>
    </row>
    <row r="8" spans="3:20" x14ac:dyDescent="0.3">
      <c r="C8">
        <v>1</v>
      </c>
      <c r="D8">
        <v>35000</v>
      </c>
      <c r="E8">
        <v>-17000</v>
      </c>
      <c r="F8">
        <f>E8+D8</f>
        <v>18000</v>
      </c>
      <c r="G8">
        <f>G7+I7</f>
        <v>147000</v>
      </c>
      <c r="H8">
        <f>$H$1*G8</f>
        <v>5880</v>
      </c>
      <c r="I8">
        <f>G8-H8</f>
        <v>141120</v>
      </c>
      <c r="J8">
        <v>0</v>
      </c>
      <c r="K8">
        <v>18606.63</v>
      </c>
      <c r="L8">
        <f>F8-H8-K8</f>
        <v>-6486.630000000001</v>
      </c>
      <c r="M8">
        <f>$E$1*L8</f>
        <v>-2464.9194000000002</v>
      </c>
      <c r="N8">
        <f>L8-M8</f>
        <v>-4021.7106000000008</v>
      </c>
      <c r="O8">
        <f>N8+H8+K8</f>
        <v>20464.919399999999</v>
      </c>
      <c r="P8">
        <f>O8-K8</f>
        <v>1858.2893999999978</v>
      </c>
      <c r="R8">
        <f>O8*($T$4^-C8)</f>
        <v>19423.250476922643</v>
      </c>
      <c r="S8">
        <f t="shared" ref="S8:S32" si="0">R8*((1+$L$1)^-C8)</f>
        <v>19079.813828018312</v>
      </c>
    </row>
    <row r="9" spans="3:20" x14ac:dyDescent="0.3">
      <c r="C9">
        <v>2</v>
      </c>
      <c r="D9">
        <f>D8*$H$2+D8</f>
        <v>36295</v>
      </c>
      <c r="E9">
        <f>-17000-(0.018*17000)</f>
        <v>-17306</v>
      </c>
      <c r="F9">
        <f t="shared" ref="F9:F32" si="1">E9+D9</f>
        <v>18989</v>
      </c>
      <c r="G9">
        <f>G8+I8</f>
        <v>288120</v>
      </c>
      <c r="H9">
        <f t="shared" ref="H9:H32" si="2">$H$1*G9</f>
        <v>11524.800000000001</v>
      </c>
      <c r="I9">
        <f>G9-H9</f>
        <v>276595.20000000001</v>
      </c>
      <c r="J9">
        <v>0</v>
      </c>
      <c r="K9">
        <v>18606.63</v>
      </c>
      <c r="L9">
        <f>F9-H9-K9</f>
        <v>-11142.430000000002</v>
      </c>
      <c r="M9">
        <f t="shared" ref="M9:M32" si="3">$E$1*L9</f>
        <v>-4234.1234000000004</v>
      </c>
      <c r="N9">
        <f t="shared" ref="N9:N32" si="4">L9-M9</f>
        <v>-6908.3066000000017</v>
      </c>
      <c r="O9">
        <f>N9+H9+K9</f>
        <v>23223.1234</v>
      </c>
      <c r="P9">
        <f t="shared" ref="P9:P32" si="5">O9-K9</f>
        <v>4616.4933999999994</v>
      </c>
      <c r="R9">
        <f t="shared" ref="R9:R32" si="6">O9*($T$4^-C9)</f>
        <v>20919.166389883285</v>
      </c>
      <c r="S9">
        <f t="shared" si="0"/>
        <v>20185.932575027971</v>
      </c>
    </row>
    <row r="10" spans="3:20" x14ac:dyDescent="0.3">
      <c r="C10">
        <v>3</v>
      </c>
      <c r="D10">
        <f t="shared" ref="D10:D31" si="7">D9*$H$2+D9</f>
        <v>37637.915000000001</v>
      </c>
      <c r="E10">
        <f>E9+(E9*0.018)</f>
        <v>-17617.508000000002</v>
      </c>
      <c r="F10">
        <f t="shared" si="1"/>
        <v>20020.406999999999</v>
      </c>
      <c r="G10">
        <f>I9</f>
        <v>276595.20000000001</v>
      </c>
      <c r="H10">
        <f t="shared" si="2"/>
        <v>11063.808000000001</v>
      </c>
      <c r="I10">
        <f>G10-H10</f>
        <v>265531.39199999999</v>
      </c>
      <c r="J10">
        <v>0</v>
      </c>
      <c r="K10">
        <v>18606.63</v>
      </c>
      <c r="L10">
        <f>F10-H10-K10</f>
        <v>-9650.0310000000027</v>
      </c>
      <c r="M10">
        <f t="shared" si="3"/>
        <v>-3667.0117800000012</v>
      </c>
      <c r="N10">
        <f t="shared" si="4"/>
        <v>-5983.019220000002</v>
      </c>
      <c r="O10">
        <f>N10+H10+K10</f>
        <v>23687.41878</v>
      </c>
      <c r="P10">
        <f t="shared" si="5"/>
        <v>5080.788779999999</v>
      </c>
      <c r="R10">
        <f t="shared" si="6"/>
        <v>20251.320868251885</v>
      </c>
      <c r="S10">
        <f t="shared" si="0"/>
        <v>19195.968155899493</v>
      </c>
    </row>
    <row r="11" spans="3:20" x14ac:dyDescent="0.3">
      <c r="C11">
        <v>4</v>
      </c>
      <c r="D11">
        <f t="shared" si="7"/>
        <v>39030.517854999998</v>
      </c>
      <c r="E11">
        <f t="shared" ref="E11:E32" si="8">E10+(E10*0.018)</f>
        <v>-17934.623144000001</v>
      </c>
      <c r="F11">
        <f t="shared" si="1"/>
        <v>21095.894710999997</v>
      </c>
      <c r="G11">
        <f t="shared" ref="G11:G32" si="9">I10</f>
        <v>265531.39199999999</v>
      </c>
      <c r="H11">
        <f t="shared" si="2"/>
        <v>10621.25568</v>
      </c>
      <c r="I11">
        <f>G11-H11</f>
        <v>254910.13631999999</v>
      </c>
      <c r="J11">
        <v>0</v>
      </c>
      <c r="K11">
        <v>18606.63</v>
      </c>
      <c r="L11">
        <f>F11-H11-K11</f>
        <v>-8131.990969000004</v>
      </c>
      <c r="M11">
        <f t="shared" si="3"/>
        <v>-3090.1565682200016</v>
      </c>
      <c r="N11">
        <f t="shared" si="4"/>
        <v>-5041.8344007800024</v>
      </c>
      <c r="O11">
        <f>N11+H11+K11</f>
        <v>24186.051279219999</v>
      </c>
      <c r="P11">
        <f t="shared" si="5"/>
        <v>5579.4212792199978</v>
      </c>
      <c r="R11">
        <f t="shared" si="6"/>
        <v>19625.126199209793</v>
      </c>
      <c r="S11">
        <f t="shared" si="0"/>
        <v>18273.483530899914</v>
      </c>
    </row>
    <row r="12" spans="3:20" x14ac:dyDescent="0.3">
      <c r="C12">
        <v>5</v>
      </c>
      <c r="D12">
        <f t="shared" si="7"/>
        <v>40474.647015634997</v>
      </c>
      <c r="E12">
        <f t="shared" si="8"/>
        <v>-18257.446360592003</v>
      </c>
      <c r="F12">
        <f t="shared" si="1"/>
        <v>22217.200655042994</v>
      </c>
      <c r="G12">
        <f t="shared" si="9"/>
        <v>254910.13631999999</v>
      </c>
      <c r="H12">
        <f t="shared" si="2"/>
        <v>10196.4054528</v>
      </c>
      <c r="I12">
        <f>G12-H12</f>
        <v>244713.73086719998</v>
      </c>
      <c r="J12">
        <v>0</v>
      </c>
      <c r="K12">
        <v>18606.63</v>
      </c>
      <c r="L12">
        <f>F12-H12-K12</f>
        <v>-6585.8347977570065</v>
      </c>
      <c r="M12">
        <f t="shared" si="3"/>
        <v>-2502.6172231476626</v>
      </c>
      <c r="N12">
        <f t="shared" si="4"/>
        <v>-4083.217574609344</v>
      </c>
      <c r="O12">
        <f>N12+H12+K12</f>
        <v>24719.817878190657</v>
      </c>
      <c r="P12">
        <f t="shared" si="5"/>
        <v>6113.1878781906562</v>
      </c>
      <c r="R12">
        <f t="shared" si="6"/>
        <v>19037.268176550955</v>
      </c>
      <c r="S12">
        <f t="shared" si="0"/>
        <v>17412.684768488914</v>
      </c>
    </row>
    <row r="13" spans="3:20" x14ac:dyDescent="0.3">
      <c r="C13">
        <v>6</v>
      </c>
      <c r="D13">
        <f t="shared" si="7"/>
        <v>41972.208955213493</v>
      </c>
      <c r="E13">
        <f t="shared" si="8"/>
        <v>-18586.080395082659</v>
      </c>
      <c r="F13">
        <f t="shared" si="1"/>
        <v>23386.128560130834</v>
      </c>
      <c r="G13">
        <f t="shared" si="9"/>
        <v>244713.73086719998</v>
      </c>
      <c r="H13">
        <f t="shared" si="2"/>
        <v>9788.5492346880001</v>
      </c>
      <c r="I13">
        <f>G13-H13</f>
        <v>234925.18163251199</v>
      </c>
      <c r="J13">
        <v>0</v>
      </c>
      <c r="K13">
        <v>18606.63</v>
      </c>
      <c r="L13">
        <f>F13-H13-K13</f>
        <v>-5009.0506745571674</v>
      </c>
      <c r="M13">
        <f t="shared" si="3"/>
        <v>-1903.4392563317238</v>
      </c>
      <c r="N13">
        <f t="shared" si="4"/>
        <v>-3105.6114182254437</v>
      </c>
      <c r="O13">
        <f>N13+H13+K13</f>
        <v>25289.567816462557</v>
      </c>
      <c r="P13">
        <f t="shared" si="5"/>
        <v>6682.9378164625559</v>
      </c>
      <c r="R13">
        <f t="shared" si="6"/>
        <v>18484.709971986285</v>
      </c>
      <c r="S13">
        <f t="shared" si="0"/>
        <v>16608.330279946207</v>
      </c>
    </row>
    <row r="14" spans="3:20" x14ac:dyDescent="0.3">
      <c r="C14">
        <v>7</v>
      </c>
      <c r="D14">
        <f t="shared" si="7"/>
        <v>43525.180686556392</v>
      </c>
      <c r="E14">
        <f t="shared" si="8"/>
        <v>-18920.629842194146</v>
      </c>
      <c r="F14">
        <f t="shared" si="1"/>
        <v>24604.550844362246</v>
      </c>
      <c r="G14">
        <f t="shared" si="9"/>
        <v>234925.18163251199</v>
      </c>
      <c r="H14">
        <f t="shared" si="2"/>
        <v>9397.007265300479</v>
      </c>
      <c r="I14">
        <f>G14-H14</f>
        <v>225528.1743672115</v>
      </c>
      <c r="J14">
        <v>0</v>
      </c>
      <c r="K14">
        <v>18606.63</v>
      </c>
      <c r="L14">
        <f>F14-H14-K14</f>
        <v>-3399.0864209382344</v>
      </c>
      <c r="M14">
        <f t="shared" si="3"/>
        <v>-1291.6528399565291</v>
      </c>
      <c r="N14">
        <f t="shared" si="4"/>
        <v>-2107.4335809817053</v>
      </c>
      <c r="O14">
        <f>N14+H14+K14</f>
        <v>25896.203684318774</v>
      </c>
      <c r="P14">
        <f t="shared" si="5"/>
        <v>7289.5736843187733</v>
      </c>
      <c r="R14">
        <f t="shared" si="6"/>
        <v>17964.668505369846</v>
      </c>
      <c r="S14">
        <f t="shared" si="0"/>
        <v>15855.675964728998</v>
      </c>
    </row>
    <row r="15" spans="3:20" x14ac:dyDescent="0.3">
      <c r="C15">
        <v>8</v>
      </c>
      <c r="D15">
        <f t="shared" si="7"/>
        <v>45135.612371958981</v>
      </c>
      <c r="E15">
        <f t="shared" si="8"/>
        <v>-19261.20117935364</v>
      </c>
      <c r="F15">
        <f t="shared" si="1"/>
        <v>25874.411192605341</v>
      </c>
      <c r="G15">
        <f t="shared" si="9"/>
        <v>225528.1743672115</v>
      </c>
      <c r="H15">
        <f t="shared" si="2"/>
        <v>9021.1269746884609</v>
      </c>
      <c r="I15">
        <f>G15-H15</f>
        <v>216507.04739252303</v>
      </c>
      <c r="J15">
        <v>0</v>
      </c>
      <c r="K15">
        <v>18606.63</v>
      </c>
      <c r="L15">
        <f>F15-H15-K15</f>
        <v>-1753.3457820831209</v>
      </c>
      <c r="M15">
        <f t="shared" si="3"/>
        <v>-666.27139719158595</v>
      </c>
      <c r="N15">
        <f t="shared" si="4"/>
        <v>-1087.0743848915349</v>
      </c>
      <c r="O15">
        <f>N15+H15+K15</f>
        <v>26540.682589796925</v>
      </c>
      <c r="P15">
        <f t="shared" si="5"/>
        <v>7934.0525897969237</v>
      </c>
      <c r="R15">
        <f t="shared" si="6"/>
        <v>17474.592854231039</v>
      </c>
      <c r="S15">
        <f t="shared" si="0"/>
        <v>15150.42590445267</v>
      </c>
    </row>
    <row r="16" spans="3:20" x14ac:dyDescent="0.3">
      <c r="C16">
        <v>9</v>
      </c>
      <c r="D16">
        <f t="shared" si="7"/>
        <v>46805.630029721462</v>
      </c>
      <c r="E16">
        <f t="shared" si="8"/>
        <v>-19607.902800582007</v>
      </c>
      <c r="F16">
        <f t="shared" si="1"/>
        <v>27197.727229139455</v>
      </c>
      <c r="G16">
        <f t="shared" si="9"/>
        <v>216507.04739252303</v>
      </c>
      <c r="H16">
        <f t="shared" si="2"/>
        <v>8660.2818957009222</v>
      </c>
      <c r="I16">
        <f>G16-H16</f>
        <v>207846.7654968221</v>
      </c>
      <c r="J16">
        <v>0</v>
      </c>
      <c r="K16">
        <v>18606.63</v>
      </c>
      <c r="L16">
        <f>F16-H16-K16</f>
        <v>-69.184666561468475</v>
      </c>
      <c r="M16">
        <f t="shared" si="3"/>
        <v>-26.29017329335802</v>
      </c>
      <c r="N16">
        <f t="shared" si="4"/>
        <v>-42.894493268110452</v>
      </c>
      <c r="O16">
        <f>N16+H16+K16</f>
        <v>27224.017402432815</v>
      </c>
      <c r="P16">
        <f t="shared" si="5"/>
        <v>8617.3874024328143</v>
      </c>
      <c r="R16">
        <f t="shared" si="6"/>
        <v>17012.144524823812</v>
      </c>
      <c r="S16">
        <f t="shared" si="0"/>
        <v>14488.688038166252</v>
      </c>
    </row>
    <row r="17" spans="3:19" x14ac:dyDescent="0.3">
      <c r="C17">
        <v>10</v>
      </c>
      <c r="D17">
        <f t="shared" si="7"/>
        <v>48537.438340821158</v>
      </c>
      <c r="E17">
        <f t="shared" si="8"/>
        <v>-19960.845050992484</v>
      </c>
      <c r="F17">
        <f t="shared" si="1"/>
        <v>28576.593289828674</v>
      </c>
      <c r="G17">
        <f t="shared" si="9"/>
        <v>207846.7654968221</v>
      </c>
      <c r="H17">
        <f t="shared" si="2"/>
        <v>8313.8706198728851</v>
      </c>
      <c r="I17">
        <f>G17-H17</f>
        <v>199532.89487694923</v>
      </c>
      <c r="J17">
        <v>0</v>
      </c>
      <c r="K17">
        <v>18606.63</v>
      </c>
      <c r="L17">
        <f>F17-H17-K17</f>
        <v>1656.0926699557858</v>
      </c>
      <c r="M17">
        <f t="shared" si="3"/>
        <v>629.31521458319867</v>
      </c>
      <c r="N17">
        <f t="shared" si="4"/>
        <v>1026.7774553725872</v>
      </c>
      <c r="O17">
        <f>N17+H17+K17</f>
        <v>27947.278075245471</v>
      </c>
      <c r="P17">
        <f t="shared" si="5"/>
        <v>9340.64807524547</v>
      </c>
      <c r="R17">
        <f t="shared" si="6"/>
        <v>16575.179422515375</v>
      </c>
      <c r="S17">
        <f t="shared" si="0"/>
        <v>13866.934310042538</v>
      </c>
    </row>
    <row r="18" spans="3:19" x14ac:dyDescent="0.3">
      <c r="C18">
        <v>11</v>
      </c>
      <c r="D18">
        <f t="shared" si="7"/>
        <v>50333.323559431541</v>
      </c>
      <c r="E18">
        <f t="shared" si="8"/>
        <v>-20320.14026191035</v>
      </c>
      <c r="F18">
        <f t="shared" si="1"/>
        <v>30013.183297521191</v>
      </c>
      <c r="G18">
        <f t="shared" si="9"/>
        <v>199532.89487694923</v>
      </c>
      <c r="H18">
        <f t="shared" si="2"/>
        <v>7981.3157950779696</v>
      </c>
      <c r="I18">
        <f>G18-H18</f>
        <v>191551.57908187126</v>
      </c>
      <c r="J18">
        <v>0</v>
      </c>
      <c r="K18">
        <v>18606.63</v>
      </c>
      <c r="L18">
        <f>F18-H18-K18</f>
        <v>3425.2375024432222</v>
      </c>
      <c r="M18">
        <f t="shared" si="3"/>
        <v>1301.5902509284244</v>
      </c>
      <c r="N18">
        <f t="shared" si="4"/>
        <v>2123.647251514798</v>
      </c>
      <c r="O18">
        <f>N18+H18+K18</f>
        <v>28711.593046592767</v>
      </c>
      <c r="P18">
        <f t="shared" si="5"/>
        <v>10104.963046592766</v>
      </c>
      <c r="R18">
        <f t="shared" si="6"/>
        <v>16161.731373571249</v>
      </c>
      <c r="S18">
        <f t="shared" si="0"/>
        <v>13281.9648329954</v>
      </c>
    </row>
    <row r="19" spans="3:19" x14ac:dyDescent="0.3">
      <c r="C19">
        <v>12</v>
      </c>
      <c r="D19">
        <f t="shared" si="7"/>
        <v>52195.656531130509</v>
      </c>
      <c r="E19">
        <f t="shared" si="8"/>
        <v>-20685.902786624738</v>
      </c>
      <c r="F19">
        <f t="shared" si="1"/>
        <v>31509.753744505771</v>
      </c>
      <c r="G19">
        <f t="shared" si="9"/>
        <v>191551.57908187126</v>
      </c>
      <c r="H19">
        <f t="shared" si="2"/>
        <v>7662.06316327485</v>
      </c>
      <c r="I19">
        <f>G19-H19</f>
        <v>183889.51591859641</v>
      </c>
      <c r="J19">
        <v>0</v>
      </c>
      <c r="K19">
        <v>18606.63</v>
      </c>
      <c r="L19">
        <f>F19-H19-K19</f>
        <v>5241.0605812309186</v>
      </c>
      <c r="M19">
        <f t="shared" si="3"/>
        <v>1991.6030208677491</v>
      </c>
      <c r="N19">
        <f t="shared" si="4"/>
        <v>3249.4575603631693</v>
      </c>
      <c r="O19">
        <f>N19+H19+K19</f>
        <v>29518.15072363802</v>
      </c>
      <c r="P19">
        <f t="shared" si="5"/>
        <v>10911.520723638019</v>
      </c>
      <c r="R19">
        <f t="shared" si="6"/>
        <v>15769.997063372115</v>
      </c>
      <c r="S19">
        <f t="shared" si="0"/>
        <v>12730.875658704277</v>
      </c>
    </row>
    <row r="20" spans="3:19" x14ac:dyDescent="0.3">
      <c r="C20">
        <v>13</v>
      </c>
      <c r="D20">
        <f t="shared" si="7"/>
        <v>54126.895822782339</v>
      </c>
      <c r="E20">
        <f t="shared" si="8"/>
        <v>-21058.249036783982</v>
      </c>
      <c r="F20">
        <f t="shared" si="1"/>
        <v>33068.646785998353</v>
      </c>
      <c r="G20">
        <f t="shared" si="9"/>
        <v>183889.51591859641</v>
      </c>
      <c r="H20">
        <f t="shared" si="2"/>
        <v>7355.5806367438563</v>
      </c>
      <c r="I20">
        <f>G20-H20</f>
        <v>176533.93528185255</v>
      </c>
      <c r="J20">
        <v>0</v>
      </c>
      <c r="K20">
        <v>18606.63</v>
      </c>
      <c r="L20">
        <f>F20-H20-K20</f>
        <v>7106.4361492544958</v>
      </c>
      <c r="M20">
        <f t="shared" si="3"/>
        <v>2700.4457367167083</v>
      </c>
      <c r="N20">
        <f t="shared" si="4"/>
        <v>4405.9904125377871</v>
      </c>
      <c r="O20">
        <f>N20+H20+K20</f>
        <v>30368.201049281644</v>
      </c>
      <c r="P20">
        <f t="shared" si="5"/>
        <v>11761.571049281643</v>
      </c>
      <c r="R20">
        <f t="shared" si="6"/>
        <v>15398.322267932817</v>
      </c>
      <c r="S20">
        <f t="shared" si="0"/>
        <v>12211.029786632436</v>
      </c>
    </row>
    <row r="21" spans="3:19" x14ac:dyDescent="0.3">
      <c r="C21">
        <v>14</v>
      </c>
      <c r="D21">
        <f t="shared" si="7"/>
        <v>56129.590968225282</v>
      </c>
      <c r="E21">
        <f t="shared" si="8"/>
        <v>-21437.297519446092</v>
      </c>
      <c r="F21">
        <f t="shared" si="1"/>
        <v>34692.293448779194</v>
      </c>
      <c r="G21">
        <f t="shared" si="9"/>
        <v>176533.93528185255</v>
      </c>
      <c r="H21">
        <f t="shared" si="2"/>
        <v>7061.3574112741026</v>
      </c>
      <c r="I21">
        <f>G21-H21</f>
        <v>169472.57787057845</v>
      </c>
      <c r="J21">
        <v>0</v>
      </c>
      <c r="K21">
        <v>18606.63</v>
      </c>
      <c r="L21">
        <f>F21-H21-K21</f>
        <v>9024.3060375050882</v>
      </c>
      <c r="M21">
        <f t="shared" si="3"/>
        <v>3429.2362942519335</v>
      </c>
      <c r="N21">
        <f t="shared" si="4"/>
        <v>5595.0697432531542</v>
      </c>
      <c r="O21">
        <f>N21+H21+K21</f>
        <v>31263.057154527258</v>
      </c>
      <c r="P21">
        <f t="shared" si="5"/>
        <v>12656.427154527257</v>
      </c>
      <c r="R21">
        <f t="shared" si="6"/>
        <v>15045.189266384501</v>
      </c>
      <c r="S21">
        <f t="shared" si="0"/>
        <v>11720.031082375335</v>
      </c>
    </row>
    <row r="22" spans="3:19" x14ac:dyDescent="0.3">
      <c r="C22">
        <v>15</v>
      </c>
      <c r="D22">
        <f t="shared" si="7"/>
        <v>58206.385834049615</v>
      </c>
      <c r="E22">
        <f t="shared" si="8"/>
        <v>-21823.168874796123</v>
      </c>
      <c r="F22">
        <f t="shared" si="1"/>
        <v>36383.216959253492</v>
      </c>
      <c r="G22">
        <f t="shared" si="9"/>
        <v>169472.57787057845</v>
      </c>
      <c r="H22">
        <f t="shared" si="2"/>
        <v>6778.9031148231379</v>
      </c>
      <c r="I22">
        <f>G22-H22</f>
        <v>162693.67475575532</v>
      </c>
      <c r="J22">
        <v>0</v>
      </c>
      <c r="K22">
        <v>18606.63</v>
      </c>
      <c r="L22">
        <f>F22-H22-K22</f>
        <v>10997.683844430354</v>
      </c>
      <c r="M22">
        <f t="shared" si="3"/>
        <v>4179.1198608835348</v>
      </c>
      <c r="N22">
        <f t="shared" si="4"/>
        <v>6818.5639835468191</v>
      </c>
      <c r="O22">
        <f>N22+H22+K22</f>
        <v>32204.097098369959</v>
      </c>
      <c r="P22">
        <f t="shared" si="5"/>
        <v>13597.467098369958</v>
      </c>
      <c r="R22">
        <f t="shared" si="6"/>
        <v>14709.20533192187</v>
      </c>
      <c r="S22">
        <f t="shared" si="0"/>
        <v>11255.700809523212</v>
      </c>
    </row>
    <row r="23" spans="3:19" x14ac:dyDescent="0.3">
      <c r="C23">
        <v>16</v>
      </c>
      <c r="D23">
        <f t="shared" si="7"/>
        <v>60360.022109909449</v>
      </c>
      <c r="E23">
        <f t="shared" si="8"/>
        <v>-22215.985914542453</v>
      </c>
      <c r="F23">
        <f t="shared" si="1"/>
        <v>38144.036195366993</v>
      </c>
      <c r="G23">
        <f t="shared" si="9"/>
        <v>162693.67475575532</v>
      </c>
      <c r="H23">
        <f t="shared" si="2"/>
        <v>6507.7469902302128</v>
      </c>
      <c r="I23">
        <f>G23-H23</f>
        <v>156185.92776552509</v>
      </c>
      <c r="J23">
        <v>0</v>
      </c>
      <c r="K23">
        <v>18606.63</v>
      </c>
      <c r="L23">
        <f>F23-H23-K23</f>
        <v>13029.659205136781</v>
      </c>
      <c r="M23">
        <f t="shared" si="3"/>
        <v>4951.2704979519767</v>
      </c>
      <c r="N23">
        <f t="shared" si="4"/>
        <v>8078.3887071848039</v>
      </c>
      <c r="O23">
        <f>N23+H23+K23</f>
        <v>33192.765697415016</v>
      </c>
      <c r="P23">
        <f t="shared" si="5"/>
        <v>14586.135697415015</v>
      </c>
      <c r="R23">
        <f t="shared" si="6"/>
        <v>14389.092207690657</v>
      </c>
      <c r="S23">
        <f t="shared" si="0"/>
        <v>10816.056509571052</v>
      </c>
    </row>
    <row r="24" spans="3:19" x14ac:dyDescent="0.3">
      <c r="C24">
        <v>17</v>
      </c>
      <c r="D24">
        <f t="shared" si="7"/>
        <v>62593.342927976097</v>
      </c>
      <c r="E24">
        <f t="shared" si="8"/>
        <v>-22615.873661004218</v>
      </c>
      <c r="F24">
        <f t="shared" si="1"/>
        <v>39977.469266971879</v>
      </c>
      <c r="G24">
        <f t="shared" si="9"/>
        <v>156185.92776552509</v>
      </c>
      <c r="H24">
        <f t="shared" si="2"/>
        <v>6247.4371106210037</v>
      </c>
      <c r="I24">
        <f>G24-H24</f>
        <v>149938.49065490408</v>
      </c>
      <c r="J24">
        <v>0</v>
      </c>
      <c r="K24">
        <v>18606.63</v>
      </c>
      <c r="L24">
        <f>F24-H24-K24</f>
        <v>15123.402156350876</v>
      </c>
      <c r="M24">
        <f t="shared" si="3"/>
        <v>5746.8928194133332</v>
      </c>
      <c r="N24">
        <f t="shared" si="4"/>
        <v>9376.5093369375427</v>
      </c>
      <c r="O24">
        <f>N24+H24+K24</f>
        <v>34230.576447558546</v>
      </c>
      <c r="P24">
        <f t="shared" si="5"/>
        <v>15623.946447558545</v>
      </c>
      <c r="R24">
        <f t="shared" si="6"/>
        <v>14083.676482274022</v>
      </c>
      <c r="S24">
        <f t="shared" si="0"/>
        <v>10399.292991624059</v>
      </c>
    </row>
    <row r="25" spans="3:19" x14ac:dyDescent="0.3">
      <c r="C25">
        <v>18</v>
      </c>
      <c r="D25">
        <f t="shared" si="7"/>
        <v>64909.296616311214</v>
      </c>
      <c r="E25">
        <f t="shared" si="8"/>
        <v>-23022.959386902294</v>
      </c>
      <c r="F25">
        <f t="shared" si="1"/>
        <v>41886.33722940892</v>
      </c>
      <c r="G25">
        <f t="shared" si="9"/>
        <v>149938.49065490408</v>
      </c>
      <c r="H25">
        <f t="shared" si="2"/>
        <v>5997.5396261961632</v>
      </c>
      <c r="I25">
        <f>G25-H25</f>
        <v>143940.9510287079</v>
      </c>
      <c r="J25">
        <v>0</v>
      </c>
      <c r="K25">
        <v>18606.63</v>
      </c>
      <c r="L25">
        <f>F25-H25-K25</f>
        <v>17282.167603212754</v>
      </c>
      <c r="M25">
        <f t="shared" si="3"/>
        <v>6567.2236892208466</v>
      </c>
      <c r="N25">
        <f t="shared" si="4"/>
        <v>10714.943913991909</v>
      </c>
      <c r="O25">
        <f>N25+H25+K25</f>
        <v>35319.113540188075</v>
      </c>
      <c r="P25">
        <f t="shared" si="5"/>
        <v>16712.483540188074</v>
      </c>
      <c r="R25">
        <f t="shared" si="6"/>
        <v>13791.880786899335</v>
      </c>
      <c r="S25">
        <f t="shared" si="0"/>
        <v>10003.765218052344</v>
      </c>
    </row>
    <row r="26" spans="3:19" x14ac:dyDescent="0.3">
      <c r="C26">
        <v>19</v>
      </c>
      <c r="D26">
        <f t="shared" si="7"/>
        <v>67310.940591114733</v>
      </c>
      <c r="E26">
        <f t="shared" si="8"/>
        <v>-23437.372655866537</v>
      </c>
      <c r="F26">
        <f t="shared" si="1"/>
        <v>43873.567935248197</v>
      </c>
      <c r="G26">
        <f t="shared" si="9"/>
        <v>143940.9510287079</v>
      </c>
      <c r="H26">
        <f t="shared" si="2"/>
        <v>5757.638041148316</v>
      </c>
      <c r="I26">
        <f>G26-H26</f>
        <v>138183.31298755959</v>
      </c>
      <c r="J26">
        <v>0</v>
      </c>
      <c r="K26">
        <v>18606.63</v>
      </c>
      <c r="L26">
        <f>F26-H26-K26</f>
        <v>19509.299894099877</v>
      </c>
      <c r="M26">
        <f t="shared" si="3"/>
        <v>7413.5339597579532</v>
      </c>
      <c r="N26">
        <f t="shared" si="4"/>
        <v>12095.765934341924</v>
      </c>
      <c r="O26">
        <f>N26+H26+K26</f>
        <v>36460.033975490238</v>
      </c>
      <c r="P26">
        <f t="shared" si="5"/>
        <v>17853.403975490237</v>
      </c>
      <c r="R26">
        <f t="shared" si="6"/>
        <v>13512.715743293367</v>
      </c>
      <c r="S26">
        <f t="shared" si="0"/>
        <v>9627.9728941365011</v>
      </c>
    </row>
    <row r="27" spans="3:19" x14ac:dyDescent="0.3">
      <c r="C27">
        <v>20</v>
      </c>
      <c r="D27">
        <f t="shared" si="7"/>
        <v>69801.445392985974</v>
      </c>
      <c r="E27">
        <f t="shared" si="8"/>
        <v>-23859.245363672133</v>
      </c>
      <c r="F27">
        <f t="shared" si="1"/>
        <v>45942.200029313841</v>
      </c>
      <c r="G27">
        <f t="shared" si="9"/>
        <v>138183.31298755959</v>
      </c>
      <c r="H27">
        <f t="shared" si="2"/>
        <v>5527.3325195023835</v>
      </c>
      <c r="I27">
        <f>G27-H27</f>
        <v>132655.98046805721</v>
      </c>
      <c r="J27">
        <v>0</v>
      </c>
      <c r="K27">
        <v>18606.63</v>
      </c>
      <c r="L27">
        <f>F27-H27-K27</f>
        <v>21808.237509811453</v>
      </c>
      <c r="M27">
        <f t="shared" si="3"/>
        <v>8287.1302537283518</v>
      </c>
      <c r="N27">
        <f t="shared" si="4"/>
        <v>13521.107256083102</v>
      </c>
      <c r="O27">
        <f>N27+H27+K27</f>
        <v>37655.069775585485</v>
      </c>
      <c r="P27">
        <f t="shared" si="5"/>
        <v>19048.439775585484</v>
      </c>
      <c r="R27">
        <f t="shared" si="6"/>
        <v>13245.272597321235</v>
      </c>
      <c r="S27">
        <f t="shared" si="0"/>
        <v>9270.5465893769124</v>
      </c>
    </row>
    <row r="28" spans="3:19" x14ac:dyDescent="0.3">
      <c r="C28">
        <v>21</v>
      </c>
      <c r="D28">
        <f t="shared" si="7"/>
        <v>72384.098872526461</v>
      </c>
      <c r="E28">
        <f t="shared" si="8"/>
        <v>-24288.711780218233</v>
      </c>
      <c r="F28">
        <f t="shared" si="1"/>
        <v>48095.387092308229</v>
      </c>
      <c r="G28">
        <f t="shared" si="9"/>
        <v>132655.98046805721</v>
      </c>
      <c r="H28">
        <f t="shared" si="2"/>
        <v>5306.2392187222886</v>
      </c>
      <c r="I28">
        <f>G28-H28</f>
        <v>127349.74124933493</v>
      </c>
      <c r="J28">
        <v>0</v>
      </c>
      <c r="K28">
        <v>18606.63</v>
      </c>
      <c r="L28">
        <f>F28-H28-K28</f>
        <v>24182.517873585941</v>
      </c>
      <c r="M28">
        <f t="shared" si="3"/>
        <v>9189.3567919626585</v>
      </c>
      <c r="N28">
        <f t="shared" si="4"/>
        <v>14993.161081623282</v>
      </c>
      <c r="O28">
        <f>N28+H28+K28</f>
        <v>38906.030300345577</v>
      </c>
      <c r="P28">
        <f t="shared" si="5"/>
        <v>20299.400300345576</v>
      </c>
      <c r="R28">
        <f t="shared" si="6"/>
        <v>12988.716479206434</v>
      </c>
      <c r="S28">
        <f t="shared" si="0"/>
        <v>8930.2352357482268</v>
      </c>
    </row>
    <row r="29" spans="3:19" x14ac:dyDescent="0.3">
      <c r="C29">
        <v>22</v>
      </c>
      <c r="D29">
        <f t="shared" si="7"/>
        <v>75062.310530809948</v>
      </c>
      <c r="E29">
        <f t="shared" si="8"/>
        <v>-24725.90859226216</v>
      </c>
      <c r="F29">
        <f t="shared" si="1"/>
        <v>50336.401938547788</v>
      </c>
      <c r="G29">
        <f t="shared" si="9"/>
        <v>127349.74124933493</v>
      </c>
      <c r="H29">
        <f t="shared" si="2"/>
        <v>5093.9896499733968</v>
      </c>
      <c r="I29">
        <f>G29-H29</f>
        <v>122255.75159936152</v>
      </c>
      <c r="J29">
        <v>0</v>
      </c>
      <c r="K29">
        <v>18606.63</v>
      </c>
      <c r="L29">
        <f>F29-H29-K29</f>
        <v>26635.782288574392</v>
      </c>
      <c r="M29">
        <f t="shared" si="3"/>
        <v>10121.597269658268</v>
      </c>
      <c r="N29">
        <f t="shared" si="4"/>
        <v>16514.185018916123</v>
      </c>
      <c r="O29">
        <f>N29+H29+K29</f>
        <v>40214.804668889527</v>
      </c>
      <c r="P29">
        <f t="shared" si="5"/>
        <v>21608.174668889525</v>
      </c>
      <c r="R29">
        <f t="shared" si="6"/>
        <v>12742.280236293276</v>
      </c>
      <c r="S29">
        <f t="shared" si="0"/>
        <v>8605.8948639757436</v>
      </c>
    </row>
    <row r="30" spans="3:19" x14ac:dyDescent="0.3">
      <c r="C30">
        <v>23</v>
      </c>
      <c r="D30">
        <f t="shared" si="7"/>
        <v>77839.616020449917</v>
      </c>
      <c r="E30">
        <f t="shared" si="8"/>
        <v>-25170.974946922877</v>
      </c>
      <c r="F30">
        <f t="shared" si="1"/>
        <v>52668.64107352704</v>
      </c>
      <c r="G30">
        <f t="shared" si="9"/>
        <v>122255.75159936152</v>
      </c>
      <c r="H30">
        <f t="shared" si="2"/>
        <v>4890.2300639744608</v>
      </c>
      <c r="I30">
        <f>G30-H30</f>
        <v>117365.52153538706</v>
      </c>
      <c r="J30">
        <v>0</v>
      </c>
      <c r="K30">
        <v>18606.63</v>
      </c>
      <c r="L30">
        <f>F30-H30-K30</f>
        <v>29171.781009552582</v>
      </c>
      <c r="M30">
        <f t="shared" si="3"/>
        <v>11085.276783629981</v>
      </c>
      <c r="N30">
        <f t="shared" si="4"/>
        <v>18086.504225922603</v>
      </c>
      <c r="O30">
        <f>N30+H30+K30</f>
        <v>41583.364289897065</v>
      </c>
      <c r="P30">
        <f t="shared" si="5"/>
        <v>22976.734289897064</v>
      </c>
      <c r="R30">
        <f t="shared" si="6"/>
        <v>12505.258789023737</v>
      </c>
      <c r="S30">
        <f t="shared" si="0"/>
        <v>8296.4784530807192</v>
      </c>
    </row>
    <row r="31" spans="3:19" x14ac:dyDescent="0.3">
      <c r="C31">
        <v>24</v>
      </c>
      <c r="D31">
        <f t="shared" si="7"/>
        <v>80719.681813206567</v>
      </c>
      <c r="E31">
        <f t="shared" si="8"/>
        <v>-25624.052495967488</v>
      </c>
      <c r="F31">
        <f t="shared" si="1"/>
        <v>55095.62931723908</v>
      </c>
      <c r="G31">
        <f t="shared" si="9"/>
        <v>117365.52153538706</v>
      </c>
      <c r="H31">
        <f t="shared" si="2"/>
        <v>4694.6208614154821</v>
      </c>
      <c r="I31">
        <f>G31-H31</f>
        <v>112670.90067397157</v>
      </c>
      <c r="J31">
        <v>0</v>
      </c>
      <c r="K31">
        <v>18606.63</v>
      </c>
      <c r="L31">
        <f>F31-H31-K31</f>
        <v>31794.378455823597</v>
      </c>
      <c r="M31">
        <f t="shared" si="3"/>
        <v>12081.863813212967</v>
      </c>
      <c r="N31">
        <f t="shared" si="4"/>
        <v>19712.514642610629</v>
      </c>
      <c r="O31">
        <f>N31+H31+K31</f>
        <v>43013.765504026116</v>
      </c>
      <c r="P31">
        <f t="shared" si="5"/>
        <v>24407.135504026115</v>
      </c>
      <c r="R31">
        <f t="shared" si="6"/>
        <v>12277.003965097352</v>
      </c>
      <c r="S31">
        <f t="shared" si="0"/>
        <v>8001.026781154319</v>
      </c>
    </row>
    <row r="32" spans="3:19" x14ac:dyDescent="0.3">
      <c r="C32">
        <v>25</v>
      </c>
      <c r="D32">
        <f>D31*$H$2+D31+J32+85900761*(T4)^-25</f>
        <v>23403568.776223373</v>
      </c>
      <c r="E32">
        <f>E31+(E31*0.018)</f>
        <v>-26085.285440894902</v>
      </c>
      <c r="F32">
        <f t="shared" si="1"/>
        <v>23377483.490782477</v>
      </c>
      <c r="G32">
        <f>I31-J32</f>
        <v>62670.90067397157</v>
      </c>
      <c r="H32">
        <f t="shared" si="2"/>
        <v>2506.8360269588629</v>
      </c>
      <c r="I32">
        <f>G32-H32</f>
        <v>60164.06464701271</v>
      </c>
      <c r="J32" s="6">
        <v>50000</v>
      </c>
      <c r="K32">
        <v>18606.63</v>
      </c>
      <c r="L32">
        <f>F32-H32-K32</f>
        <v>23356370.024755519</v>
      </c>
      <c r="M32">
        <f t="shared" si="3"/>
        <v>8875420.6094070971</v>
      </c>
      <c r="N32">
        <f t="shared" si="4"/>
        <v>14480949.415348422</v>
      </c>
      <c r="O32">
        <f>N32+H32+K32</f>
        <v>14502062.881375382</v>
      </c>
      <c r="P32">
        <f t="shared" si="5"/>
        <v>14483456.251375381</v>
      </c>
      <c r="R32">
        <f t="shared" si="6"/>
        <v>3928498.4765797802</v>
      </c>
      <c r="S32">
        <f t="shared" si="0"/>
        <v>2514966.1208818541</v>
      </c>
    </row>
    <row r="34" spans="17:20" x14ac:dyDescent="0.3">
      <c r="Q34" t="s">
        <v>31</v>
      </c>
      <c r="R34">
        <f>SUM(R7:R32)</f>
        <v>4070236.7659598072</v>
      </c>
      <c r="S34" t="s">
        <v>33</v>
      </c>
      <c r="T34" s="1">
        <f>IRR(S7:S32)</f>
        <v>0.12803883837051755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F9CF31-4FE2-4B42-9AD3-E6F9DEDAEE78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Arjun Singh Vadehra</dc:creator>
  <cp:lastModifiedBy>Arjun Singh Vadehra</cp:lastModifiedBy>
  <dcterms:created xsi:type="dcterms:W3CDTF">2020-08-06T05:04:24Z</dcterms:created>
  <dcterms:modified xsi:type="dcterms:W3CDTF">2020-08-10T00:24:57Z</dcterms:modified>
</cp:coreProperties>
</file>